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gsi/Desktop/Boot_Camp/Analysis_Projects/Crowdfunding_analysis/"/>
    </mc:Choice>
  </mc:AlternateContent>
  <xr:revisionPtr revIDLastSave="0" documentId="13_ncr:1_{F57841CD-35A5-654C-B77B-AE60FCDF355B}" xr6:coauthVersionLast="47" xr6:coauthVersionMax="47" xr10:uidLastSave="{00000000-0000-0000-0000-000000000000}"/>
  <bookViews>
    <workbookView xWindow="0" yWindow="500" windowWidth="30280" windowHeight="16060" xr2:uid="{00000000-000D-0000-FFFF-FFFF00000000}"/>
  </bookViews>
  <sheets>
    <sheet name="Theater Outcomes by Launch Date" sheetId="10" r:id="rId1"/>
    <sheet name="Outcomes Based on Goals" sheetId="11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" l="1"/>
  <c r="B12" i="11"/>
  <c r="D12" i="11"/>
  <c r="C13" i="11"/>
  <c r="B13" i="11"/>
  <c r="C4" i="11"/>
  <c r="D4" i="11"/>
  <c r="B4" i="11"/>
  <c r="D13" i="11"/>
  <c r="D11" i="11"/>
  <c r="D10" i="11"/>
  <c r="D9" i="11"/>
  <c r="D8" i="11"/>
  <c r="D7" i="11"/>
  <c r="D6" i="11"/>
  <c r="D5" i="11"/>
  <c r="D3" i="11"/>
  <c r="D2" i="11"/>
  <c r="H2" i="11" s="1"/>
  <c r="C11" i="11"/>
  <c r="C10" i="11"/>
  <c r="C9" i="11"/>
  <c r="C8" i="11"/>
  <c r="C7" i="11"/>
  <c r="C6" i="11"/>
  <c r="C5" i="11"/>
  <c r="C3" i="11"/>
  <c r="C2" i="11"/>
  <c r="G2" i="11" s="1"/>
  <c r="B11" i="11"/>
  <c r="B10" i="11"/>
  <c r="B9" i="11"/>
  <c r="B8" i="11"/>
  <c r="B7" i="11"/>
  <c r="B6" i="11"/>
  <c r="B5" i="11"/>
  <c r="B3" i="11"/>
  <c r="E3" i="11" s="1"/>
  <c r="B2" i="11"/>
  <c r="E2" i="1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E12" i="11" l="1"/>
  <c r="H12" i="11" s="1"/>
  <c r="G12" i="11"/>
  <c r="F12" i="11"/>
  <c r="G3" i="11"/>
  <c r="H3" i="11"/>
  <c r="F9" i="11"/>
  <c r="G8" i="11"/>
  <c r="G10" i="11"/>
  <c r="H9" i="11"/>
  <c r="E11" i="11"/>
  <c r="G11" i="11" s="1"/>
  <c r="F2" i="11"/>
  <c r="F3" i="11"/>
  <c r="E10" i="11"/>
  <c r="H10" i="11" s="1"/>
  <c r="E9" i="11"/>
  <c r="G9" i="11" s="1"/>
  <c r="E8" i="11"/>
  <c r="F8" i="11" s="1"/>
  <c r="E7" i="11"/>
  <c r="F7" i="11" s="1"/>
  <c r="E6" i="11"/>
  <c r="H6" i="11" s="1"/>
  <c r="E5" i="11"/>
  <c r="F5" i="11" s="1"/>
  <c r="E13" i="11"/>
  <c r="H13" i="11" s="1"/>
  <c r="G13" i="11"/>
  <c r="E4" i="11"/>
  <c r="G5" i="11" l="1"/>
  <c r="F6" i="11"/>
  <c r="F11" i="11"/>
  <c r="H11" i="11"/>
  <c r="H8" i="11"/>
  <c r="H5" i="11"/>
  <c r="F13" i="11"/>
  <c r="F10" i="11"/>
  <c r="G6" i="11"/>
  <c r="G7" i="11"/>
  <c r="H7" i="11"/>
  <c r="H4" i="11"/>
  <c r="F4" i="11"/>
  <c r="G4" i="11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<sst xmlns="http://schemas.openxmlformats.org/spreadsheetml/2006/main" count="32976" uniqueCount="8400">
  <si>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</si>
  <si>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</si>
  <si>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</si>
  <si>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</si>
  <si>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</si>
  <si>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</si>
  <si>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</si>
  <si>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</si>
  <si>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</si>
  <si>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</si>
  <si>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</si>
  <si>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</si>
  <si>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</si>
  <si>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</si>
  <si>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</si>
  <si>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</si>
  <si>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</si>
  <si>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</si>
  <si>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</si>
  <si>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</si>
  <si>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</si>
  <si>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</si>
  <si>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</si>
  <si>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</si>
  <si>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</si>
  <si>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</si>
  <si>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</si>
  <si>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</si>
  <si>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</si>
  <si>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</si>
  <si>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</si>
  <si>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</si>
  <si>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</si>
  <si>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</si>
  <si>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</si>
  <si>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</si>
  <si>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</si>
  <si>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</si>
  <si>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</si>
  <si>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</si>
  <si>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</si>
  <si>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</si>
  <si>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</si>
  <si>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</si>
  <si>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</si>
  <si>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</si>
  <si>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</si>
  <si>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</si>
  <si>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</si>
  <si>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</si>
  <si>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</si>
  <si>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</si>
  <si>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</si>
  <si>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</si>
  <si>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</si>
  <si>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</si>
  <si>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</si>
  <si>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</si>
  <si>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</si>
  <si>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</si>
  <si>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</si>
  <si>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</si>
  <si>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</si>
  <si>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</si>
  <si>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</si>
  <si>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</si>
  <si>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</si>
  <si>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</si>
  <si>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</si>
  <si>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</si>
  <si>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</si>
  <si>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</si>
  <si>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</si>
  <si>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</si>
  <si>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</si>
  <si>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</si>
  <si>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</si>
  <si>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</si>
  <si>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</si>
  <si>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</si>
  <si>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</si>
  <si>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</si>
  <si>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</si>
  <si>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</si>
  <si>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</si>
  <si>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</si>
  <si>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</si>
  <si>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</si>
  <si>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</si>
  <si>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</si>
  <si>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</si>
  <si>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</si>
  <si>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</si>
  <si>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</si>
  <si>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</si>
  <si>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</si>
  <si>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</si>
  <si>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</si>
  <si>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</si>
  <si>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</si>
  <si>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</si>
  <si>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</si>
  <si>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</si>
  <si>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</si>
  <si>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</si>
  <si>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</si>
  <si>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</si>
  <si>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</si>
  <si>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</si>
  <si>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</si>
  <si>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</si>
  <si>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</si>
  <si>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</si>
  <si>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</si>
  <si>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</si>
  <si>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</si>
  <si>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</si>
  <si>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</si>
  <si>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</si>
  <si>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</si>
  <si>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</si>
  <si>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</si>
  <si>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</si>
  <si>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</si>
  <si>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</si>
  <si>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</si>
  <si>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</si>
  <si>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</si>
  <si>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</si>
  <si>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</si>
  <si>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</si>
  <si>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</si>
  <si>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</si>
  <si>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</si>
  <si>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</si>
  <si>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</si>
  <si>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</si>
  <si>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</si>
  <si>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</si>
  <si>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</si>
  <si>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</si>
  <si>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</si>
  <si>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</si>
  <si>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</si>
  <si>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</si>
  <si>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</si>
  <si>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</si>
  <si>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</si>
  <si>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</si>
  <si>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</si>
  <si>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</si>
  <si>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</si>
  <si>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</si>
  <si>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</si>
  <si>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</si>
  <si>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</si>
  <si>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</si>
  <si>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</si>
  <si>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</si>
  <si>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</si>
  <si>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</si>
  <si>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</si>
  <si>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</si>
  <si>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</si>
  <si>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</si>
  <si>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</si>
  <si>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</si>
  <si>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</si>
  <si>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</si>
  <si>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</si>
  <si>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</si>
  <si>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</si>
  <si>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</si>
  <si>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</si>
  <si>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</si>
  <si>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</si>
  <si>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</si>
  <si>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</si>
  <si>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</si>
  <si>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</si>
  <si>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</si>
  <si>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</si>
  <si>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</si>
  <si>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</si>
  <si>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</si>
  <si>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</si>
  <si>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</si>
  <si>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</si>
  <si>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</si>
  <si>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</si>
  <si>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</si>
  <si>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</si>
  <si>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</si>
  <si>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</si>
  <si>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</si>
  <si>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</si>
  <si>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</si>
  <si>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</si>
  <si>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</si>
  <si>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</si>
  <si>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</si>
  <si>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</si>
  <si>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</si>
  <si>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</si>
  <si>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</si>
  <si>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</si>
  <si>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</si>
  <si>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</si>
  <si>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</si>
  <si>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</si>
  <si>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</si>
  <si>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</si>
  <si>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</si>
  <si>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</si>
  <si>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</si>
  <si>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</si>
  <si>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</si>
  <si>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</si>
  <si>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</si>
  <si>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</si>
  <si>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</si>
  <si>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</si>
  <si>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</si>
  <si>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</si>
  <si>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</si>
  <si>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</si>
  <si>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</si>
  <si>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</si>
  <si>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</si>
  <si>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</si>
  <si>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</si>
  <si>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</si>
  <si>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</si>
  <si>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</si>
  <si>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</si>
  <si>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</si>
  <si>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</si>
  <si>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</si>
  <si>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</si>
  <si>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</si>
  <si>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</si>
  <si>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</si>
  <si>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</si>
  <si>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</si>
  <si>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</si>
  <si>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</si>
  <si>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</si>
  <si>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</si>
  <si>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</si>
  <si>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</si>
  <si>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</si>
  <si>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</si>
  <si>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</si>
  <si>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</si>
  <si>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</si>
  <si>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</si>
  <si>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</si>
  <si>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</si>
  <si>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</si>
  <si>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</si>
  <si>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</si>
  <si>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</si>
  <si>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</si>
  <si>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</si>
  <si>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</si>
  <si>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</si>
  <si>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</si>
  <si>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</si>
  <si>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</si>
  <si>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</si>
  <si>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</si>
  <si>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</si>
  <si>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</si>
  <si>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</si>
  <si>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</si>
  <si>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</si>
  <si>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</si>
  <si>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</si>
  <si>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</si>
  <si>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</si>
  <si>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</si>
  <si>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</si>
  <si>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</si>
  <si>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</si>
  <si>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</si>
  <si>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</si>
  <si>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</si>
  <si>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</si>
  <si>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</si>
  <si>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</si>
  <si>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</si>
  <si>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</si>
  <si>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</si>
  <si>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</si>
  <si>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</si>
  <si>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</si>
  <si>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</si>
  <si>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</si>
  <si>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</si>
  <si>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</si>
  <si>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</si>
  <si>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</si>
  <si>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</si>
  <si>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</si>
  <si>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</si>
  <si>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</si>
  <si>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</si>
  <si>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</si>
  <si>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</si>
  <si>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</si>
  <si>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</si>
  <si>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</si>
  <si>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</si>
  <si>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</si>
  <si>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</si>
  <si>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</si>
  <si>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</si>
  <si>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</si>
  <si>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</si>
  <si>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</si>
  <si>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</si>
  <si>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</si>
  <si>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</si>
  <si>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</si>
  <si>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</si>
  <si>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</si>
  <si>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</si>
  <si>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</si>
  <si>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</si>
  <si>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</si>
  <si>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</si>
  <si>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</si>
  <si>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</si>
  <si>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</si>
  <si>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</si>
  <si>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</si>
  <si>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</si>
  <si>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</si>
  <si>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</si>
  <si>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</si>
  <si>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</si>
  <si>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</si>
  <si>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</si>
  <si>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</si>
  <si>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</si>
  <si>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</si>
  <si>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</si>
  <si>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</si>
  <si>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</si>
  <si>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</si>
  <si>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</si>
  <si>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</si>
  <si>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</si>
  <si>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</si>
  <si>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</si>
  <si>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</si>
  <si>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</si>
  <si>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</si>
  <si>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</si>
  <si>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</si>
  <si>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</si>
  <si>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</si>
  <si>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</si>
  <si>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</si>
  <si>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</si>
  <si>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</si>
  <si>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</si>
  <si>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</si>
  <si>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</si>
  <si>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</si>
  <si>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</si>
  <si>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</si>
  <si>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</si>
  <si>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</si>
  <si>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</si>
  <si>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</si>
  <si>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</si>
  <si>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</si>
  <si>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</si>
  <si>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</si>
  <si>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</si>
  <si>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</si>
  <si>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</si>
  <si>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</si>
  <si>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</si>
  <si>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</si>
  <si>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</si>
  <si>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</si>
  <si>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</si>
  <si>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</si>
  <si>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</si>
  <si>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</si>
  <si>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</si>
  <si>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</si>
  <si>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</si>
  <si>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</si>
  <si>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</si>
  <si>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</si>
  <si>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</si>
  <si>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</si>
  <si>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</si>
  <si>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</si>
  <si>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</si>
  <si>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</si>
  <si>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</si>
  <si>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</si>
  <si>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</si>
  <si>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</si>
  <si>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</si>
  <si>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</si>
  <si>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</si>
  <si>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</si>
  <si>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</si>
  <si>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</si>
  <si>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</si>
  <si>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</si>
  <si>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</si>
  <si>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</si>
  <si>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</si>
  <si>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</si>
  <si>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</si>
  <si>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</si>
  <si>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</si>
  <si>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</si>
  <si>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</si>
  <si>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</si>
  <si>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</si>
  <si>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</si>
  <si>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</si>
  <si>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</si>
  <si>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</si>
  <si>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</si>
  <si>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</si>
  <si>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</si>
  <si>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</si>
  <si>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</si>
  <si>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</si>
  <si>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</si>
  <si>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</si>
  <si>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</si>
  <si>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</si>
  <si>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</si>
  <si>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</si>
  <si>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</si>
  <si>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</si>
  <si>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</si>
  <si>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</si>
  <si>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</si>
  <si>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</si>
  <si>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</si>
  <si>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</si>
  <si>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</si>
  <si>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</si>
  <si>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</si>
  <si>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</si>
  <si>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</si>
  <si>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</si>
  <si>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</si>
  <si>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</si>
  <si>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</si>
  <si>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</si>
  <si>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</si>
  <si>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</si>
  <si>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</si>
  <si>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</si>
  <si>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</si>
  <si>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</si>
  <si>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</si>
  <si>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</si>
  <si>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</si>
  <si>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</si>
  <si>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</si>
  <si>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</si>
  <si>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</si>
  <si>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</si>
  <si>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</si>
  <si>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</si>
  <si>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</si>
  <si>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</si>
  <si>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</si>
  <si>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</si>
  <si>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</si>
  <si>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</si>
  <si>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</si>
  <si>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</si>
  <si>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</si>
  <si>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</si>
  <si>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</si>
  <si>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</si>
  <si>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</si>
  <si>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</si>
  <si>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</si>
  <si>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</si>
  <si>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</si>
  <si>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</si>
  <si>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</si>
  <si>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</si>
  <si>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</si>
  <si>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</si>
  <si>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</si>
  <si>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</si>
  <si>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</si>
  <si>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</si>
  <si>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</si>
  <si>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</si>
  <si>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</si>
  <si>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</si>
  <si>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</si>
  <si>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</si>
  <si>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</si>
  <si>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</si>
  <si>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</si>
  <si>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</si>
  <si>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</si>
  <si>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</si>
  <si>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</si>
  <si>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</si>
  <si>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</si>
  <si>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</si>
  <si>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</si>
  <si>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</si>
  <si>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</si>
  <si>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</si>
  <si>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</si>
  <si>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</si>
  <si>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</si>
  <si>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</si>
  <si>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</si>
  <si>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</si>
  <si>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</si>
  <si>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</si>
  <si>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</si>
  <si>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</si>
  <si>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</si>
  <si>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</si>
  <si>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</si>
  <si>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</si>
  <si>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</si>
  <si>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</si>
  <si>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</si>
  <si>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</si>
  <si>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</si>
  <si>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</si>
  <si>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</si>
  <si>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</si>
  <si>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</si>
  <si>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</si>
  <si>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</si>
  <si>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</si>
  <si>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</si>
  <si>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</si>
  <si>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</si>
  <si>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</si>
  <si>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</si>
  <si>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</si>
  <si>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</si>
  <si>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</si>
  <si>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</si>
  <si>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</si>
  <si>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</si>
  <si>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</si>
  <si>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</si>
  <si>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</si>
  <si>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</si>
  <si>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</si>
  <si>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</si>
  <si>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</si>
  <si>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</si>
  <si>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</si>
  <si>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</si>
  <si>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</si>
  <si>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</si>
  <si>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</si>
  <si>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</si>
  <si>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</si>
  <si>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</si>
  <si>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</si>
  <si>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</si>
  <si>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</si>
  <si>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</si>
  <si>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</si>
  <si>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</si>
  <si>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</si>
  <si>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</si>
  <si>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</si>
  <si>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</si>
  <si>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</si>
  <si>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</si>
  <si>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</si>
  <si>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</si>
  <si>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</si>
  <si>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</si>
  <si>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</si>
  <si>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</si>
  <si>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</si>
  <si>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</si>
  <si>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</si>
  <si>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</si>
  <si>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</si>
  <si>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</si>
  <si>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</si>
  <si>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</si>
  <si>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</si>
  <si>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</si>
  <si>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</si>
  <si>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</si>
  <si>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</si>
  <si>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</si>
  <si>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</si>
  <si>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</si>
  <si>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</si>
  <si>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</si>
  <si>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</si>
  <si>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</si>
  <si>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</si>
  <si>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</si>
  <si>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</si>
  <si>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</si>
  <si>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</si>
  <si>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</si>
  <si>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</si>
  <si>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</si>
  <si>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</si>
  <si>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</si>
  <si>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</si>
  <si>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</si>
  <si>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</si>
  <si>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</si>
  <si>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</si>
  <si>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</si>
  <si>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</si>
  <si>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</si>
  <si>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</si>
  <si>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</si>
  <si>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</si>
  <si>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</si>
  <si>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</si>
  <si>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</si>
  <si>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</si>
  <si>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</si>
  <si>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</si>
  <si>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</si>
  <si>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</si>
  <si>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</si>
  <si>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</si>
  <si>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</si>
  <si>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</si>
  <si>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</si>
  <si>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</si>
  <si>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</si>
  <si>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</si>
  <si>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</si>
  <si>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</si>
  <si>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</si>
  <si>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</si>
  <si>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</si>
  <si>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</si>
  <si>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</si>
  <si>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</si>
  <si>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</si>
  <si>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</si>
  <si>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</si>
  <si>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</si>
  <si>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</si>
  <si>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</si>
  <si>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</si>
  <si>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</si>
  <si>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</si>
  <si>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</si>
  <si>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</si>
  <si>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</si>
  <si>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</si>
  <si>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</si>
  <si>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</si>
  <si>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</si>
  <si>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</si>
  <si>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</si>
  <si>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</si>
  <si>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</si>
  <si>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</si>
  <si>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</si>
  <si>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</si>
  <si>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</si>
  <si>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</si>
  <si>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</si>
  <si>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</si>
  <si>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</si>
  <si>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</si>
  <si>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</si>
  <si>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</si>
  <si>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</si>
  <si>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</si>
  <si>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</si>
  <si>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</si>
  <si>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</si>
  <si>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</si>
  <si>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</si>
  <si>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</si>
  <si>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</si>
  <si>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</si>
  <si>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</si>
  <si>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</si>
  <si>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</si>
  <si>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</si>
  <si>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</si>
  <si>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</si>
  <si>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</si>
  <si>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</si>
  <si>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</si>
  <si>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</si>
  <si>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</si>
  <si>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</si>
  <si>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</si>
  <si>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</si>
  <si>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</si>
  <si>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</si>
  <si>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</si>
  <si>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</si>
  <si>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</si>
  <si>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</si>
  <si>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</si>
  <si>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</si>
  <si>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</si>
  <si>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</si>
  <si>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</si>
  <si>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</si>
  <si>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</si>
  <si>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</si>
  <si>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</si>
  <si>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</si>
  <si>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</si>
  <si>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</si>
  <si>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</si>
  <si>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</si>
  <si>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</si>
  <si>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</si>
  <si>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</si>
  <si>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</si>
  <si>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</si>
  <si>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</si>
  <si>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</si>
  <si>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</si>
  <si>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</si>
  <si>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</si>
  <si>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</si>
  <si>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</si>
  <si>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</si>
  <si>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</si>
  <si>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</si>
  <si>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</si>
  <si>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</si>
  <si>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</si>
  <si>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</si>
  <si>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</si>
  <si>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</si>
  <si>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</si>
  <si>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</si>
  <si>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</si>
  <si>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</si>
  <si>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</si>
  <si>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</si>
  <si>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</si>
  <si>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</si>
  <si>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</si>
  <si>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</si>
  <si>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</si>
  <si>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</si>
  <si>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</si>
  <si>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</si>
  <si>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</si>
  <si>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</si>
  <si>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</si>
  <si>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</si>
  <si>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</si>
  <si>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</si>
  <si>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</si>
  <si>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</si>
  <si>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</si>
  <si>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</si>
  <si>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</si>
  <si>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</si>
  <si>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</si>
  <si>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</si>
  <si>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</si>
  <si>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</si>
  <si>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</si>
  <si>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</si>
  <si>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</si>
  <si>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</si>
  <si>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</si>
  <si>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</si>
  <si>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</si>
  <si>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</si>
  <si>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</si>
  <si>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</si>
  <si>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</si>
  <si>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</si>
  <si>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</si>
  <si>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</si>
  <si>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</si>
  <si>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</si>
  <si>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</si>
  <si>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</si>
  <si>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</si>
  <si>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</si>
  <si>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</si>
  <si>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</si>
  <si>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</si>
  <si>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</si>
  <si>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</si>
  <si>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</si>
  <si>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</si>
  <si>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</si>
  <si>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</si>
  <si>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</si>
  <si>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</si>
  <si>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</si>
  <si>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</si>
  <si>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</si>
  <si>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</si>
  <si>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</si>
  <si>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</si>
  <si>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</si>
  <si>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</si>
  <si>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</si>
  <si>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</si>
  <si>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</si>
  <si>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</si>
  <si>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</si>
  <si>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</si>
  <si>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</si>
  <si>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</si>
  <si>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</si>
  <si>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</si>
  <si>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</si>
  <si>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</si>
  <si>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</si>
  <si>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</si>
  <si>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</si>
  <si>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</si>
  <si>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</si>
  <si>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</si>
  <si>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</si>
  <si>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</si>
  <si>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</si>
  <si>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</si>
  <si>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</si>
  <si>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</si>
  <si>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</si>
  <si>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</si>
  <si>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</si>
  <si>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</si>
  <si>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</si>
  <si>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</si>
  <si>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</si>
  <si>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</si>
  <si>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</si>
  <si>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</si>
  <si>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</si>
  <si>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</si>
  <si>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</si>
  <si>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</si>
  <si>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</si>
  <si>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</si>
  <si>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</si>
  <si>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</si>
  <si>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</si>
  <si>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</si>
  <si>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</si>
  <si>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</si>
  <si>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</si>
  <si>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</si>
  <si>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</si>
  <si>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</si>
  <si>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</si>
  <si>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</si>
  <si>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</si>
  <si>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</si>
  <si>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</si>
  <si>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</si>
  <si>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</si>
  <si>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</si>
  <si>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</si>
  <si>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</si>
  <si>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</si>
  <si>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</si>
  <si>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</si>
  <si>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</si>
  <si>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</si>
  <si>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</si>
  <si>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</si>
  <si>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</si>
  <si>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</si>
  <si>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</si>
  <si>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</si>
  <si>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</si>
  <si>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</si>
  <si>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</si>
  <si>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</si>
  <si>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</si>
  <si>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</si>
  <si>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</si>
  <si>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</si>
  <si>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</si>
  <si>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</si>
  <si>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</si>
  <si>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</si>
  <si>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</si>
  <si>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</si>
  <si>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</si>
  <si>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</si>
  <si>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</si>
  <si>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</si>
  <si>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</si>
  <si>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</si>
  <si>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</si>
  <si>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</si>
  <si>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</si>
  <si>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</si>
  <si>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</si>
  <si>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</si>
  <si>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</si>
  <si>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</si>
  <si>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</si>
  <si>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</si>
  <si>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</si>
  <si>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</si>
  <si>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</si>
  <si>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</si>
  <si>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</si>
  <si>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</si>
  <si>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</si>
  <si>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</si>
  <si>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</si>
  <si>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</si>
  <si>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</si>
  <si>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</si>
  <si>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</si>
  <si>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</si>
  <si>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</si>
  <si>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</si>
  <si>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</si>
  <si>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</si>
  <si>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</si>
  <si>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</si>
  <si>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</si>
  <si>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</si>
  <si>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</si>
  <si>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</si>
  <si>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</si>
  <si>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</si>
  <si>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</si>
  <si>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</si>
  <si>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</si>
  <si>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</si>
  <si>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</si>
  <si>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</si>
  <si>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</si>
  <si>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</si>
  <si>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</si>
  <si>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</si>
  <si>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</si>
  <si>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</si>
  <si>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</si>
  <si>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</si>
  <si>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</si>
  <si>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</si>
  <si>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</si>
  <si>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</si>
  <si>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</si>
  <si>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</si>
  <si>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</si>
  <si>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</si>
  <si>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</si>
  <si>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</si>
  <si>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</si>
  <si>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</si>
  <si>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</si>
  <si>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</si>
  <si>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</si>
  <si>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</si>
  <si>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</si>
  <si>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</si>
  <si>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</si>
  <si>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</si>
  <si>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</si>
  <si>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</si>
  <si>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</si>
  <si>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</si>
  <si>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</si>
  <si>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</si>
  <si>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</si>
  <si>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</si>
  <si>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</si>
  <si>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</si>
  <si>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</si>
  <si>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</si>
  <si>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</si>
  <si>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</si>
  <si>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</si>
  <si>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</si>
  <si>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</si>
  <si>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</si>
  <si>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</si>
  <si>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</si>
  <si>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</si>
  <si>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</si>
  <si>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</si>
  <si>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</si>
  <si>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</si>
  <si>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</si>
  <si>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</si>
  <si>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</si>
  <si>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</si>
  <si>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</si>
  <si>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</si>
  <si>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</si>
  <si>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</si>
  <si>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</si>
  <si>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</si>
  <si>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</si>
  <si>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</si>
  <si>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</si>
  <si>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</si>
  <si>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</si>
  <si>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</si>
  <si>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</si>
  <si>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</si>
  <si>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</si>
  <si>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</si>
  <si>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</si>
  <si>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</si>
  <si>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</si>
  <si>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</si>
  <si>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</si>
  <si>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</si>
  <si>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</si>
  <si>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</si>
  <si>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</si>
  <si>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</si>
  <si>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</si>
  <si>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</si>
  <si>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</si>
  <si>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</si>
  <si>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</si>
  <si>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</si>
  <si>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</si>
  <si>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</si>
  <si>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</si>
  <si>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</si>
  <si>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</si>
  <si>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</si>
  <si>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</si>
  <si>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</si>
  <si>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</si>
  <si>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</si>
  <si>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</si>
  <si>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</si>
  <si>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</si>
  <si>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</si>
  <si>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</si>
  <si>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</si>
  <si>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</si>
  <si>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</si>
  <si>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</si>
  <si>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</si>
  <si>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</si>
  <si>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</si>
  <si>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</si>
  <si>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</si>
  <si>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</si>
  <si>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</si>
  <si>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</si>
  <si>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</si>
  <si>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</si>
  <si>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</si>
  <si>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</si>
  <si>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</si>
  <si>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</si>
  <si>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</si>
  <si>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</si>
  <si>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</si>
  <si>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</si>
  <si>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</si>
  <si>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</si>
  <si>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</si>
  <si>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</si>
  <si>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</si>
  <si>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</si>
  <si>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</si>
  <si>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</si>
  <si>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</si>
  <si>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</si>
  <si>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</si>
  <si>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</si>
  <si>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</si>
  <si>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</si>
  <si>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</si>
  <si>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</si>
  <si>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</si>
  <si>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</si>
  <si>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</si>
  <si>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</si>
  <si>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</si>
  <si>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</si>
  <si>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</si>
  <si>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</si>
  <si>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</si>
  <si>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</si>
  <si>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</si>
  <si>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</si>
  <si>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</si>
  <si>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</si>
  <si>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</si>
  <si>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</si>
  <si>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</si>
  <si>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</si>
  <si>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</si>
  <si>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</si>
  <si>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</si>
  <si>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</si>
  <si>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</si>
  <si>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</si>
  <si>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</si>
  <si>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</si>
  <si>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</si>
  <si>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</si>
  <si>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</si>
  <si>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</si>
  <si>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</si>
  <si>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</si>
  <si>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</si>
  <si>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</si>
  <si>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</si>
  <si>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</si>
  <si>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</si>
  <si>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</si>
  <si>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</si>
  <si>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</si>
  <si>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</si>
  <si>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</si>
  <si>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</si>
  <si>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</si>
  <si>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</si>
  <si>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</si>
  <si>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</si>
  <si>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</si>
  <si>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</si>
  <si>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</si>
  <si>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</si>
  <si>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</si>
  <si>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</si>
  <si>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</si>
  <si>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</si>
  <si>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</si>
  <si>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</si>
  <si>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</si>
  <si>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</si>
  <si>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</si>
  <si>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</si>
  <si>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</si>
  <si>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</si>
  <si>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</si>
  <si>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</si>
  <si>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</si>
  <si>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</si>
  <si>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</si>
  <si>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</si>
  <si>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</si>
  <si>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</si>
  <si>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</si>
  <si>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</si>
  <si>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</si>
  <si>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</si>
  <si>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</si>
  <si>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</si>
  <si>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</si>
  <si>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</si>
  <si>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</si>
  <si>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</si>
  <si>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</si>
  <si>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</si>
  <si>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</si>
  <si>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</si>
  <si>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</si>
  <si>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</si>
  <si>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</si>
  <si>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</si>
  <si>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</si>
  <si>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</si>
  <si>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</si>
  <si>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</si>
  <si>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</si>
  <si>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</si>
  <si>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</si>
  <si>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</si>
  <si>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</si>
  <si>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</si>
  <si>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</si>
  <si>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</si>
  <si>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</si>
  <si>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</si>
  <si>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</si>
  <si>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</si>
  <si>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</si>
  <si>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</si>
  <si>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</si>
  <si>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</si>
  <si>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</si>
  <si>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</si>
  <si>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</si>
  <si>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</si>
  <si>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</si>
  <si>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</si>
  <si>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</si>
  <si>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</si>
  <si>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</si>
  <si>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</si>
  <si>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</si>
  <si>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</si>
  <si>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</si>
  <si>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</si>
  <si>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</si>
  <si>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</si>
  <si>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</si>
  <si>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</si>
  <si>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</si>
  <si>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</si>
  <si>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</si>
  <si>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</si>
  <si>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</si>
  <si>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</si>
  <si>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</si>
  <si>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</si>
  <si>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</si>
  <si>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</si>
  <si>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</si>
  <si>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</si>
  <si>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</si>
  <si>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</si>
  <si>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</si>
  <si>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</si>
  <si>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</si>
  <si>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</si>
  <si>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</si>
  <si>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</si>
  <si>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</si>
  <si>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</si>
  <si>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</si>
  <si>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</si>
  <si>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</si>
  <si>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</si>
  <si>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</si>
  <si>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</si>
  <si>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</si>
  <si>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</si>
  <si>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</si>
  <si>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</si>
  <si>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</si>
  <si>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</si>
  <si>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</si>
  <si>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</si>
  <si>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</si>
  <si>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</si>
  <si>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</si>
  <si>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</si>
  <si>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</si>
  <si>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</si>
  <si>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</si>
  <si>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</si>
  <si>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</si>
  <si>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</si>
  <si>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</si>
  <si>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</si>
  <si>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</si>
  <si>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</si>
  <si>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</si>
  <si>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</si>
  <si>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</si>
  <si>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</si>
  <si>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</si>
  <si>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</si>
  <si>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</si>
  <si>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</si>
  <si>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</si>
  <si>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</si>
  <si>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</si>
  <si>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</si>
  <si>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</si>
  <si>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</si>
  <si>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</si>
  <si>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</si>
  <si>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</si>
  <si>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</si>
  <si>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</si>
  <si>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</si>
  <si>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</si>
  <si>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</si>
  <si>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</si>
  <si>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</si>
  <si>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</si>
  <si>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</si>
  <si>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</si>
  <si>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</si>
  <si>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</si>
  <si>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</si>
  <si>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</si>
  <si>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</si>
  <si>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</si>
  <si>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</si>
  <si>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</si>
  <si>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</si>
  <si>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</si>
  <si>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</si>
  <si>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</si>
  <si>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</si>
  <si>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</si>
  <si>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</si>
  <si>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</si>
  <si>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</si>
  <si>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</si>
  <si>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</si>
  <si>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</si>
  <si>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</si>
  <si>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</si>
  <si>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</si>
  <si>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</si>
  <si>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</si>
  <si>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</si>
  <si>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</si>
  <si>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</si>
  <si>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</si>
  <si>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</si>
  <si>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</si>
  <si>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</si>
  <si>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</si>
  <si>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</si>
  <si>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</si>
  <si>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</si>
  <si>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</si>
  <si>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</si>
  <si>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</si>
  <si>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</si>
  <si>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</si>
  <si>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</si>
  <si>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</si>
  <si>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</si>
  <si>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</si>
  <si>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</si>
  <si>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</si>
  <si>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</si>
  <si>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</si>
  <si>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</si>
  <si>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</si>
  <si>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</si>
  <si>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</si>
  <si>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</si>
  <si>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</si>
  <si>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</si>
  <si>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</si>
  <si>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</si>
  <si>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</si>
  <si>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</si>
  <si>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</si>
  <si>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</si>
  <si>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</si>
  <si>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</si>
  <si>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</si>
  <si>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</si>
  <si>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</si>
  <si>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</si>
  <si>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</si>
  <si>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</si>
  <si>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</si>
  <si>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</si>
  <si>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</si>
  <si>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</si>
  <si>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</si>
  <si>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</si>
  <si>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</si>
  <si>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</si>
  <si>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</si>
  <si>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</si>
  <si>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</si>
  <si>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</si>
  <si>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</si>
  <si>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</si>
  <si>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</si>
  <si>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</si>
  <si>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</si>
  <si>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</si>
  <si>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</si>
  <si>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</si>
  <si>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</si>
  <si>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</si>
  <si>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</si>
  <si>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</si>
  <si>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</si>
  <si>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</si>
  <si>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</si>
  <si>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</si>
  <si>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</si>
  <si>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</si>
  <si>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</si>
  <si>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</si>
  <si>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</si>
  <si>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</si>
  <si>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</si>
  <si>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</si>
  <si>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</si>
  <si>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</si>
  <si>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</si>
  <si>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</si>
  <si>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</si>
  <si>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</si>
  <si>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</si>
  <si>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</si>
  <si>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</si>
  <si>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</si>
  <si>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</si>
  <si>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</si>
  <si>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</si>
  <si>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</si>
  <si>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</si>
  <si>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</si>
  <si>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</si>
  <si>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</si>
  <si>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</si>
  <si>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</si>
  <si>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</si>
  <si>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</si>
  <si>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</si>
  <si>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</si>
  <si>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</si>
  <si>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</si>
  <si>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</si>
  <si>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</si>
  <si>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</si>
  <si>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</si>
  <si>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</si>
  <si>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</si>
  <si>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</si>
  <si>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</si>
  <si>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</si>
  <si>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</si>
  <si>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</si>
  <si>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</si>
  <si>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</si>
  <si>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</si>
  <si>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</si>
  <si>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</si>
  <si>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</si>
  <si>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</si>
  <si>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</si>
  <si>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</si>
  <si>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</si>
  <si>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</si>
  <si>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</si>
  <si>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</si>
  <si>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</si>
  <si>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</si>
  <si>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</si>
  <si>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</si>
  <si>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</si>
  <si>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</si>
  <si>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</si>
  <si>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</si>
  <si>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</si>
  <si>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</si>
  <si>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</si>
  <si>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</si>
  <si>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</si>
  <si>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</si>
  <si>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</si>
  <si>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</si>
  <si>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</si>
  <si>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</si>
  <si>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</si>
  <si>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</si>
  <si>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</si>
  <si>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</si>
  <si>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</si>
  <si>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</si>
  <si>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</si>
  <si>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</si>
  <si>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</si>
  <si>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</si>
  <si>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</si>
  <si>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</si>
  <si>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</si>
  <si>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</si>
  <si>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</si>
  <si>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</si>
  <si>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</si>
  <si>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</si>
  <si>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</si>
  <si>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</si>
  <si>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</si>
  <si>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</si>
  <si>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</si>
  <si>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</si>
  <si>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</si>
  <si>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</si>
  <si>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</si>
  <si>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</si>
  <si>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</si>
  <si>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</si>
  <si>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</si>
  <si>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</si>
  <si>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</si>
  <si>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</si>
  <si>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</si>
  <si>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</si>
  <si>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</si>
  <si>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</si>
  <si>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</si>
  <si>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</si>
  <si>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</si>
  <si>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</si>
  <si>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</si>
  <si>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</si>
  <si>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</si>
  <si>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</si>
  <si>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</si>
  <si>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</si>
  <si>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</si>
  <si>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</si>
  <si>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</si>
  <si>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</si>
  <si>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</si>
  <si>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</si>
  <si>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</si>
  <si>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</si>
  <si>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</si>
  <si>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</si>
  <si>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</si>
  <si>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</si>
  <si>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</si>
  <si>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</si>
  <si>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</si>
  <si>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</si>
  <si>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</si>
  <si>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</si>
  <si>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</si>
  <si>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</si>
  <si>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</si>
  <si>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</si>
  <si>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</si>
  <si>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</si>
  <si>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</si>
  <si>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</si>
  <si>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</si>
  <si>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</si>
  <si>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</si>
  <si>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</si>
  <si>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</si>
  <si>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</si>
  <si>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</si>
  <si>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</si>
  <si>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</si>
  <si>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</si>
  <si>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</si>
  <si>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</si>
  <si>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</si>
  <si>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</si>
  <si>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</si>
  <si>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</si>
  <si>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</si>
  <si>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</si>
  <si>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</si>
  <si>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</si>
  <si>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</si>
  <si>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</si>
  <si>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</si>
  <si>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</si>
  <si>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</si>
  <si>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</si>
  <si>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</si>
  <si>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</si>
  <si>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</si>
  <si>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</si>
  <si>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</si>
  <si>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</si>
  <si>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</si>
  <si>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</si>
  <si>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</si>
  <si>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</si>
  <si>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</si>
  <si>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</si>
  <si>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</si>
  <si>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</si>
  <si>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</si>
  <si>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</si>
  <si>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</si>
  <si>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</si>
  <si>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</si>
  <si>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</si>
  <si>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</si>
  <si>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</si>
  <si>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</si>
  <si>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</si>
  <si>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</si>
  <si>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</si>
  <si>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</si>
  <si>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</si>
  <si>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</si>
  <si>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</si>
  <si>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</si>
  <si>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</si>
  <si>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</si>
  <si>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</si>
  <si>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</si>
  <si>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</si>
  <si>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</si>
  <si>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</si>
  <si>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</si>
  <si>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</si>
  <si>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</si>
  <si>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</si>
  <si>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</si>
  <si>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</si>
  <si>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</si>
  <si>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</si>
  <si>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</si>
  <si>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</si>
  <si>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</si>
  <si>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</si>
  <si>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</si>
  <si>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</si>
  <si>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</si>
  <si>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</si>
  <si>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</si>
  <si>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</si>
  <si>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</si>
  <si>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</si>
  <si>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</si>
  <si>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</si>
  <si>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</si>
  <si>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</si>
  <si>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</si>
  <si>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</si>
  <si>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</si>
  <si>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</si>
  <si>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</si>
  <si>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</si>
  <si>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</si>
  <si>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</si>
  <si>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</si>
  <si>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</si>
  <si>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</si>
  <si>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</si>
  <si>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</si>
  <si>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</si>
  <si>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</si>
  <si>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</si>
  <si>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</si>
  <si>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</si>
  <si>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</si>
  <si>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</si>
  <si>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</si>
  <si>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</si>
  <si>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</si>
  <si>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</si>
  <si>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</si>
  <si>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</si>
  <si>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</si>
  <si>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</si>
  <si>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</si>
  <si>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</si>
  <si>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</si>
  <si>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</si>
  <si>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</si>
  <si>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</si>
  <si>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</si>
  <si>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</si>
  <si>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</si>
  <si>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</si>
  <si>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</si>
  <si>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</si>
  <si>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</si>
  <si>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</si>
  <si>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</si>
  <si>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</si>
  <si>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</si>
  <si>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</si>
  <si>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</si>
  <si>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</si>
  <si>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</si>
  <si>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</si>
  <si>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</si>
  <si>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</si>
  <si>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</si>
  <si>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</si>
  <si>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</si>
  <si>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</si>
  <si>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</si>
  <si>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</si>
  <si>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</si>
  <si>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</si>
  <si>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</si>
  <si>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</si>
  <si>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</si>
  <si>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</si>
  <si>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</si>
  <si>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</si>
  <si>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</si>
  <si>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</si>
  <si>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</si>
  <si>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</si>
  <si>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</si>
  <si>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</si>
  <si>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</si>
  <si>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</si>
  <si>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</si>
  <si>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</si>
  <si>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</si>
  <si>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</si>
  <si>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</si>
  <si>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</si>
  <si>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</si>
  <si>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</si>
  <si>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</si>
  <si>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</si>
  <si>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</si>
  <si>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</si>
  <si>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</si>
  <si>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</si>
  <si>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</si>
  <si>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</si>
  <si>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</si>
  <si>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</si>
  <si>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</si>
  <si>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</si>
  <si>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</si>
  <si>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</si>
  <si>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</si>
  <si>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</si>
  <si>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</si>
  <si>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</si>
  <si>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</si>
  <si>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</si>
  <si>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</si>
  <si>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</si>
  <si>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</si>
  <si>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</si>
  <si>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</si>
  <si>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</si>
  <si>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</si>
  <si>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</si>
  <si>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</si>
  <si>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</si>
  <si>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</si>
  <si>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</si>
  <si>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</si>
  <si>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</si>
  <si>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</si>
  <si>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</si>
  <si>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</si>
  <si>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</si>
  <si>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</si>
  <si>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</si>
  <si>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</si>
  <si>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</si>
  <si>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</si>
  <si>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</si>
  <si>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</si>
  <si>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</si>
  <si>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</si>
  <si>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</si>
  <si>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</si>
  <si>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</si>
  <si>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</si>
  <si>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</si>
  <si>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</si>
  <si>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</si>
  <si>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</si>
  <si>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</si>
  <si>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</si>
  <si>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</si>
  <si>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</si>
  <si>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</si>
  <si>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</si>
  <si>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</si>
  <si>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</si>
  <si>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</si>
  <si>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</si>
  <si>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</si>
  <si>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</si>
  <si>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</si>
  <si>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</si>
  <si>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</si>
  <si>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</si>
  <si>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</si>
  <si>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</si>
  <si>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</si>
  <si>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</si>
  <si>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</si>
  <si>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</si>
  <si>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</si>
  <si>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</si>
  <si>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</si>
  <si>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</si>
  <si>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</si>
  <si>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</si>
  <si>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</si>
  <si>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</si>
  <si>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</si>
  <si>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</si>
  <si>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</si>
  <si>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</si>
  <si>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</si>
  <si>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</si>
  <si>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</si>
  <si>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</si>
  <si>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</si>
  <si>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</si>
  <si>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</si>
  <si>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</si>
  <si>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</si>
  <si>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</si>
  <si>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</si>
  <si>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</si>
  <si>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</si>
  <si>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</si>
  <si>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</si>
  <si>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</si>
  <si>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</si>
  <si>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</si>
  <si>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</si>
  <si>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</si>
  <si>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</si>
  <si>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</si>
  <si>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</si>
  <si>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</si>
  <si>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</si>
  <si>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</si>
  <si>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</si>
  <si>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</si>
  <si>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</si>
  <si>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</si>
  <si>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</si>
  <si>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</si>
  <si>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</si>
  <si>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</si>
  <si>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</si>
  <si>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</si>
  <si>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</si>
  <si>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</si>
  <si>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</si>
  <si>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</si>
  <si>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</si>
  <si>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</si>
  <si>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</si>
  <si>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</si>
  <si>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</si>
  <si>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</si>
  <si>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</si>
  <si>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</si>
  <si>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</si>
  <si>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</si>
  <si>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</si>
  <si>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</si>
  <si>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</si>
  <si>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</si>
  <si>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</si>
  <si>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</si>
  <si>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</si>
  <si>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</si>
  <si>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</si>
  <si>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</si>
  <si>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</si>
  <si>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</si>
  <si>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</si>
  <si>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</si>
  <si>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</si>
  <si>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</si>
  <si>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</si>
  <si>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</si>
  <si>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</si>
  <si>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</si>
  <si>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</si>
  <si>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</si>
  <si>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</si>
  <si>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</si>
  <si>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</si>
  <si>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</si>
  <si>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</si>
  <si>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</si>
  <si>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</si>
  <si>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</si>
  <si>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</si>
  <si>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</si>
  <si>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</si>
  <si>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</si>
  <si>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</si>
  <si>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</si>
  <si>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</si>
  <si>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</si>
  <si>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</si>
  <si>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</si>
  <si>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</si>
  <si>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</si>
  <si>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</si>
  <si>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</si>
  <si>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</si>
  <si>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</si>
  <si>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</si>
  <si>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</si>
  <si>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</si>
  <si>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</si>
  <si>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</si>
  <si>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</si>
  <si>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</si>
  <si>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</si>
  <si>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</si>
  <si>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</si>
  <si>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</si>
  <si>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</si>
  <si>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</si>
  <si>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</si>
  <si>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</si>
  <si>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</si>
  <si>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</si>
  <si>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</si>
  <si>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</si>
  <si>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</si>
  <si>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</si>
  <si>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</si>
  <si>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</si>
  <si>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</si>
  <si>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</si>
  <si>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</si>
  <si>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</si>
  <si>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</si>
  <si>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</si>
  <si>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</si>
  <si>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</si>
  <si>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</si>
  <si>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</si>
  <si>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</si>
  <si>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</si>
  <si>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</si>
  <si>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</si>
  <si>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</si>
  <si>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</si>
  <si>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</si>
  <si>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</si>
  <si>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</si>
  <si>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</si>
  <si>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</si>
  <si>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</si>
  <si>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</si>
  <si>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</si>
  <si>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</si>
  <si>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</si>
  <si>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</si>
  <si>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</si>
  <si>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</si>
  <si>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</si>
  <si>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</si>
  <si>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</si>
  <si>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</si>
  <si>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</si>
  <si>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</si>
  <si>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</si>
  <si>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</si>
  <si>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</si>
  <si>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</si>
  <si>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</si>
  <si>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</si>
  <si>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</si>
  <si>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</si>
  <si>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</si>
  <si>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</si>
  <si>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</si>
  <si>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</si>
  <si>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</si>
  <si>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</si>
  <si>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</si>
  <si>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</si>
  <si>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</si>
  <si>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</si>
  <si>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</si>
  <si>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</si>
  <si>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</si>
  <si>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</si>
  <si>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</si>
  <si>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</si>
  <si>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</si>
  <si>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</si>
  <si>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</si>
  <si>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</si>
  <si>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</si>
  <si>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</si>
  <si>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</si>
  <si>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</si>
  <si>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</si>
  <si>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</si>
  <si>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</si>
  <si>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</si>
  <si>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</si>
  <si>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</si>
  <si>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</si>
  <si>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</si>
  <si>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</si>
  <si>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</si>
  <si>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</si>
  <si>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</si>
  <si>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</si>
  <si>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</si>
  <si>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</si>
  <si>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</si>
  <si>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</si>
  <si>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</si>
  <si>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</si>
  <si>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</si>
  <si>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</si>
  <si>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</si>
  <si>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</si>
  <si>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</si>
  <si>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</si>
  <si>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</si>
  <si>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</si>
  <si>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</si>
  <si>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</si>
  <si>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</si>
  <si>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</si>
  <si>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</si>
  <si>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</si>
  <si>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</si>
  <si>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</si>
  <si>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</si>
  <si>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</si>
  <si>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</si>
  <si>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</si>
  <si>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</si>
  <si>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</si>
  <si>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</si>
  <si>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</si>
  <si>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</si>
  <si>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</si>
  <si>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</si>
  <si>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</si>
  <si>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</si>
  <si>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</si>
  <si>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</si>
  <si>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</si>
  <si>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</si>
  <si>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</si>
  <si>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</si>
  <si>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</si>
  <si>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</si>
  <si>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</si>
  <si>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</si>
  <si>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</si>
  <si>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</si>
  <si>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</si>
  <si>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</si>
  <si>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</si>
  <si>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</si>
  <si>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</si>
  <si>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</si>
  <si>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</si>
  <si>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</si>
  <si>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</si>
  <si>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</si>
  <si>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</si>
  <si>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</si>
  <si>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</si>
  <si>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</si>
  <si>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</si>
  <si>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</si>
  <si>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</si>
  <si>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</si>
  <si>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</si>
  <si>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</si>
  <si>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</si>
  <si>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</si>
  <si>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</si>
  <si>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</si>
  <si>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</si>
  <si>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</si>
  <si>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</si>
  <si>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</si>
  <si>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</si>
  <si>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</si>
  <si>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</si>
  <si>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</si>
  <si>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</si>
  <si>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</si>
  <si>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</si>
  <si>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</si>
  <si>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</si>
  <si>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</si>
  <si>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</si>
  <si>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</si>
  <si>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</si>
  <si>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</si>
  <si>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</si>
  <si>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</si>
  <si>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</si>
  <si>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</si>
  <si>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</si>
  <si>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</si>
  <si>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</si>
  <si>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</si>
  <si>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</si>
  <si>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</si>
  <si>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</si>
  <si>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</si>
  <si>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</si>
  <si>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</si>
  <si>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</si>
  <si>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</si>
  <si>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</si>
  <si>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</si>
  <si>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</si>
  <si>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</si>
  <si>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</si>
  <si>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</si>
  <si>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</si>
  <si>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</si>
  <si>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</si>
  <si>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</si>
  <si>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</si>
  <si>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</si>
  <si>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</si>
  <si>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</si>
  <si>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</si>
  <si>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</si>
  <si>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</si>
  <si>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</si>
  <si>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</si>
  <si>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</si>
  <si>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</si>
  <si>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</si>
  <si>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</si>
  <si>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</si>
  <si>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</si>
  <si>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</si>
  <si>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</si>
  <si>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</si>
  <si>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</si>
  <si>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</si>
  <si>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</si>
  <si>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</si>
  <si>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</si>
  <si>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</si>
  <si>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</si>
  <si>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</si>
  <si>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</si>
  <si>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</si>
  <si>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</si>
  <si>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</si>
  <si>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</si>
  <si>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</si>
  <si>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</si>
  <si>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</si>
  <si>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</si>
  <si>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</si>
  <si>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</si>
  <si>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</si>
  <si>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</si>
  <si>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</si>
  <si>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</si>
  <si>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</si>
  <si>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</si>
  <si>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</si>
  <si>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</si>
  <si>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</si>
  <si>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</si>
  <si>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</si>
  <si>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</si>
  <si>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</si>
  <si>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</si>
  <si>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</si>
  <si>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</si>
  <si>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</si>
  <si>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</si>
  <si>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</si>
  <si>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</si>
  <si>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</si>
  <si>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</si>
  <si>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</si>
  <si>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</si>
  <si>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</si>
  <si>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</si>
  <si>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</si>
  <si>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</si>
  <si>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</si>
  <si>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</si>
  <si>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</si>
  <si>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</si>
  <si>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</si>
  <si>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</si>
  <si>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</si>
  <si>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</si>
  <si>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</si>
  <si>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</si>
  <si>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</si>
  <si>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</si>
  <si>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</si>
  <si>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</si>
  <si>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</si>
  <si>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</si>
  <si>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</si>
  <si>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</si>
  <si>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</si>
  <si>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</si>
  <si>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</si>
  <si>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</si>
  <si>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</si>
  <si>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</si>
  <si>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</si>
  <si>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</si>
  <si>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</si>
  <si>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</si>
  <si>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</si>
  <si>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</si>
  <si>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</si>
  <si>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</si>
  <si>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</si>
  <si>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</si>
  <si>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</si>
  <si>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</si>
  <si>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</si>
  <si>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</si>
  <si>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</si>
  <si>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</si>
  <si>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</si>
  <si>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</si>
  <si>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</si>
  <si>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</si>
  <si>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</si>
  <si>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</si>
  <si>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</si>
  <si>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</si>
  <si>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</si>
  <si>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</si>
  <si>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</si>
  <si>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</si>
  <si>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</si>
  <si>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</si>
  <si>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</si>
  <si>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</si>
  <si>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</si>
  <si>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</si>
  <si>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</si>
  <si>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</si>
  <si>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</si>
  <si>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</si>
  <si>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</si>
  <si>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</si>
  <si>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</si>
  <si>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</si>
  <si>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</si>
  <si>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</si>
  <si>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</si>
  <si>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</si>
  <si>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</si>
  <si>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</si>
  <si>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</si>
  <si>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</si>
  <si>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</si>
  <si>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</si>
  <si>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</si>
  <si>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</si>
  <si>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</si>
  <si>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</si>
  <si>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</si>
  <si>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</si>
  <si>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</si>
  <si>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</si>
  <si>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</si>
  <si>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</si>
  <si>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</si>
  <si>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</si>
  <si>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</si>
  <si>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</si>
  <si>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</si>
  <si>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</si>
  <si>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</si>
  <si>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</si>
  <si>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</si>
  <si>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</si>
  <si>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</si>
  <si>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</si>
  <si>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</si>
  <si>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</si>
  <si>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</si>
  <si>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</si>
  <si>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</si>
  <si>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</si>
  <si>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</si>
  <si>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</si>
  <si>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</si>
  <si>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</si>
  <si>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</si>
  <si>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</si>
  <si>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</si>
  <si>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</si>
  <si>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</si>
  <si>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</si>
  <si>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</si>
  <si>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</si>
  <si>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</si>
  <si>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</si>
  <si>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</si>
  <si>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</si>
  <si>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</si>
  <si>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</si>
  <si>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</si>
  <si>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</si>
  <si>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</si>
  <si>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</si>
  <si>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</si>
  <si>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</si>
  <si>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</si>
  <si>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</si>
  <si>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</si>
  <si>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</si>
  <si>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</si>
  <si>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</si>
  <si>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</si>
  <si>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</si>
  <si>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</si>
  <si>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</si>
  <si>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</si>
  <si>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</si>
  <si>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</si>
  <si>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</si>
  <si>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</si>
  <si>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</si>
  <si>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</si>
  <si>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</si>
  <si>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</si>
  <si>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</si>
  <si>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</si>
  <si>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</si>
  <si>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</si>
  <si>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</si>
  <si>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</si>
  <si>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</si>
  <si>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</si>
  <si>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</si>
  <si>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</si>
  <si>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</si>
  <si>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</si>
  <si>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</si>
  <si>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</si>
  <si>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</si>
  <si>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</si>
  <si>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</si>
  <si>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</si>
  <si>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</si>
  <si>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</si>
  <si>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</si>
  <si>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</si>
  <si>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</si>
  <si>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</si>
  <si>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</si>
  <si>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</si>
  <si>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</si>
  <si>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</si>
  <si>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</si>
  <si>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</si>
  <si>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</si>
  <si>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</si>
  <si>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</si>
  <si>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</si>
  <si>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</si>
  <si>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</si>
  <si>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</si>
  <si>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</si>
  <si>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</si>
  <si>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</si>
  <si>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</si>
  <si>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</si>
  <si>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</si>
  <si>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</si>
  <si>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</si>
  <si>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</si>
  <si>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</si>
  <si>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</si>
  <si>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</si>
  <si>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</si>
  <si>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</si>
  <si>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</si>
  <si>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</si>
  <si>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</si>
  <si>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</si>
  <si>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</si>
  <si>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</si>
  <si>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</si>
  <si>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</si>
  <si>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</si>
  <si>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</si>
  <si>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</si>
  <si>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</si>
  <si>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</si>
  <si>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</si>
  <si>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</si>
  <si>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</si>
  <si>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</si>
  <si>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</si>
  <si>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</si>
  <si>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</si>
  <si>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</si>
  <si>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</si>
  <si>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</si>
  <si>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</si>
  <si>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</si>
  <si>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</si>
  <si>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</si>
  <si>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</si>
  <si>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</si>
  <si>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</si>
  <si>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</si>
  <si>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</si>
  <si>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</si>
  <si>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</si>
  <si>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</si>
  <si>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</si>
  <si>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</si>
  <si>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</si>
  <si>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</si>
  <si>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</si>
  <si>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</si>
  <si>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</si>
  <si>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</si>
  <si>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</si>
  <si>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</si>
  <si>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</si>
  <si>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</si>
  <si>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</si>
  <si>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</si>
  <si>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</si>
  <si>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</si>
  <si>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</si>
  <si>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</si>
  <si>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</si>
  <si>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</si>
  <si>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</si>
  <si>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</si>
  <si>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</si>
  <si>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</si>
  <si>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</si>
  <si>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</si>
  <si>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</si>
  <si>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</si>
  <si>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</si>
  <si>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</si>
  <si>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</si>
  <si>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</si>
  <si>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</si>
  <si>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</si>
  <si>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</si>
  <si>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</si>
  <si>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</si>
  <si>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</si>
  <si>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</si>
  <si>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</si>
  <si>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</si>
  <si>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</si>
  <si>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</si>
  <si>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</si>
  <si>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</si>
  <si>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</si>
  <si>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</si>
  <si>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</si>
  <si>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</si>
  <si>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</si>
  <si>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</si>
  <si>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</si>
  <si>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</si>
  <si>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</si>
  <si>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</si>
  <si>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</si>
  <si>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</si>
  <si>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</si>
  <si>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</si>
  <si>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</si>
  <si>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</si>
  <si>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</si>
  <si>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</si>
  <si>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</si>
  <si>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</si>
  <si>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</si>
  <si>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</si>
  <si>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</si>
  <si>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</si>
  <si>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</si>
  <si>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</si>
  <si>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</si>
  <si>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</si>
  <si>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</si>
  <si>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</si>
  <si>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</si>
  <si>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</si>
  <si>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</si>
  <si>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</si>
  <si>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</si>
  <si>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</si>
  <si>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</si>
  <si>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</si>
  <si>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</si>
  <si>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</si>
  <si>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</si>
  <si>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</si>
  <si>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</si>
  <si>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</si>
  <si>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</si>
  <si>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</si>
  <si>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</si>
  <si>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</si>
  <si>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</si>
  <si>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</si>
  <si>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</si>
  <si>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</si>
  <si>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</si>
  <si>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</si>
  <si>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</si>
  <si>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</si>
  <si>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</si>
  <si>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</si>
  <si>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</si>
  <si>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</si>
  <si>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</si>
  <si>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</si>
  <si>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</si>
  <si>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</si>
  <si>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</si>
  <si>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</si>
  <si>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</si>
  <si>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</si>
  <si>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</si>
  <si>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</si>
  <si>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</si>
  <si>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</si>
  <si>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</si>
  <si>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</si>
  <si>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</si>
  <si>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</si>
  <si>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</si>
  <si>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</si>
  <si>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</si>
  <si>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</si>
  <si>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</si>
  <si>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</si>
  <si>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</si>
  <si>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</si>
  <si>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</si>
  <si>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</si>
  <si>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</si>
  <si>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</si>
  <si>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</si>
  <si>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</si>
  <si>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</si>
  <si>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</si>
  <si>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</si>
  <si>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</si>
  <si>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</si>
  <si>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</si>
  <si>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</si>
  <si>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</si>
  <si>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</si>
  <si>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</si>
  <si>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</si>
  <si>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</si>
  <si>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</si>
  <si>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</si>
  <si>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</si>
  <si>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</si>
  <si>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</si>
  <si>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</si>
  <si>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</si>
  <si>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</si>
  <si>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</si>
  <si>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</si>
  <si>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</si>
  <si>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</si>
  <si>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</si>
  <si>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</si>
  <si>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</si>
  <si>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</si>
  <si>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</si>
  <si>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</si>
  <si>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</si>
  <si>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</si>
  <si>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</si>
  <si>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</si>
  <si>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</si>
  <si>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</si>
  <si>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</si>
  <si>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</si>
  <si>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</si>
  <si>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</si>
  <si>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</si>
  <si>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</si>
  <si>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</si>
  <si>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</si>
  <si>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</si>
  <si>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</si>
  <si>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</si>
  <si>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</si>
  <si>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</si>
  <si>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</si>
  <si>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</si>
  <si>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</si>
  <si>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</si>
  <si>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</si>
  <si>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</si>
  <si>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</si>
  <si>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</si>
  <si>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</si>
  <si>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</si>
  <si>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</si>
  <si>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</si>
  <si>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</si>
  <si>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</si>
  <si>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</si>
  <si>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</si>
  <si>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</si>
  <si>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</si>
  <si>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</si>
  <si>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</si>
  <si>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</si>
  <si>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</si>
  <si>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</si>
  <si>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</si>
  <si>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</si>
  <si>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</si>
  <si>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</si>
  <si>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</si>
  <si>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</si>
  <si>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</si>
  <si>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</si>
  <si>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</si>
  <si>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</si>
  <si>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</si>
  <si>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</si>
  <si>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</si>
  <si>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</si>
  <si>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</si>
  <si>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</si>
  <si>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</si>
  <si>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</si>
  <si>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</si>
  <si>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</si>
  <si>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</si>
  <si>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</si>
  <si>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</si>
  <si>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</si>
  <si>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</si>
  <si>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</si>
  <si>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</si>
  <si>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</si>
  <si>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</si>
  <si>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</si>
  <si>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</si>
  <si>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</si>
  <si>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</si>
  <si>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</si>
  <si>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</si>
  <si>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</si>
  <si>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</si>
  <si>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</si>
  <si>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</si>
  <si>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</si>
  <si>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</si>
  <si>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</si>
  <si>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</si>
  <si>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</si>
  <si>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</si>
  <si>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</si>
  <si>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</si>
  <si>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</si>
  <si>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</si>
  <si>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</si>
  <si>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</si>
  <si>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</si>
  <si>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</si>
  <si>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</si>
  <si>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</si>
  <si>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</si>
  <si>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</si>
  <si>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</si>
  <si>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</si>
  <si>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</si>
  <si>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</si>
  <si>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</si>
  <si>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</si>
  <si>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</si>
  <si>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</si>
  <si>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</si>
  <si>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</si>
  <si>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</si>
  <si>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</si>
  <si>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</si>
  <si>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</si>
  <si>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</si>
  <si>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</si>
  <si>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</si>
  <si>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</si>
  <si>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</si>
  <si>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</si>
  <si>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</si>
  <si>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</si>
  <si>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</si>
  <si>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</si>
  <si>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</si>
  <si>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</si>
  <si>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</si>
  <si>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</si>
  <si>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</si>
  <si>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</si>
  <si>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</si>
  <si>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</si>
  <si>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</si>
  <si>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</si>
  <si>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</si>
  <si>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</si>
  <si>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</si>
  <si>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</si>
  <si>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</si>
  <si>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</si>
  <si>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</si>
  <si>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</si>
  <si>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</si>
  <si>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</si>
  <si>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</si>
  <si>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</si>
  <si>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</si>
  <si>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</si>
  <si>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</si>
  <si>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</si>
  <si>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</si>
  <si>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</si>
  <si>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</si>
  <si>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</si>
  <si>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</si>
  <si>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</si>
  <si>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</si>
  <si>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</si>
  <si>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</si>
  <si>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</si>
  <si>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</si>
  <si>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</si>
  <si>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</si>
  <si>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</si>
  <si>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</si>
  <si>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</si>
  <si>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</si>
  <si>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</si>
  <si>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</si>
  <si>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</si>
  <si>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</si>
  <si>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</si>
  <si>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</si>
  <si>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</si>
  <si>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</si>
  <si>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</si>
  <si>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</si>
  <si>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</si>
  <si>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</si>
  <si>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</si>
  <si>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</si>
  <si>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</si>
  <si>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</si>
  <si>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</si>
  <si>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</si>
  <si>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</si>
  <si>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</si>
  <si>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</si>
  <si>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</si>
  <si>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</si>
  <si>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</si>
  <si>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</si>
  <si>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</si>
  <si>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</si>
  <si>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</si>
  <si>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</si>
  <si>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</si>
  <si>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</si>
  <si>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</si>
  <si>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</si>
  <si>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</si>
  <si>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</si>
  <si>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</si>
  <si>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</si>
  <si>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</si>
  <si>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</si>
  <si>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</si>
  <si>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</si>
  <si>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</si>
  <si>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</si>
  <si>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</si>
  <si>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</si>
  <si>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</si>
  <si>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</si>
  <si>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</si>
  <si>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</si>
  <si>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</si>
  <si>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</si>
  <si>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</si>
  <si>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</si>
  <si>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</si>
  <si>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</si>
  <si>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</si>
  <si>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</si>
  <si>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</si>
  <si>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</si>
  <si>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</si>
  <si>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</si>
  <si>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</si>
  <si>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</si>
  <si>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</si>
  <si>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</si>
  <si>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</si>
  <si>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</si>
  <si>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</si>
  <si>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</si>
  <si>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</si>
  <si>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</si>
  <si>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</si>
  <si>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</si>
  <si>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</si>
  <si>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</si>
  <si>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</si>
  <si>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</si>
  <si>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</si>
  <si>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</si>
  <si>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</si>
  <si>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</si>
  <si>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</si>
  <si>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</si>
  <si>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</si>
  <si>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</si>
  <si>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</si>
  <si>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</si>
  <si>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</si>
  <si>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</si>
  <si>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</si>
  <si>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</si>
  <si>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</si>
  <si>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</si>
  <si>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</si>
  <si>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</si>
  <si>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</si>
  <si>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</si>
  <si>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</si>
  <si>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</si>
  <si>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</si>
  <si>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</si>
  <si>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</si>
  <si>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</si>
  <si>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</si>
  <si>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</si>
  <si>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</si>
  <si>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</si>
  <si>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</si>
  <si>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</si>
  <si>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</si>
  <si>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</si>
  <si>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</si>
  <si>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</si>
  <si>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</si>
  <si>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</si>
  <si>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</si>
  <si>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</si>
  <si>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</si>
  <si>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</si>
  <si>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</si>
  <si>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</si>
  <si>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</si>
  <si>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</si>
  <si>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</si>
  <si>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</si>
  <si>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</si>
  <si>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</si>
  <si>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</si>
  <si>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</si>
  <si>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</si>
  <si>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</si>
  <si>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</si>
  <si>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</si>
  <si>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</si>
  <si>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</si>
  <si>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</si>
  <si>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</si>
  <si>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</si>
  <si>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</si>
  <si>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</si>
  <si>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</si>
  <si>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</si>
  <si>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</si>
  <si>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</si>
  <si>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</si>
  <si>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</si>
  <si>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</si>
  <si>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</si>
  <si>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</si>
  <si>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</si>
  <si>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</si>
  <si>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</si>
  <si>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</si>
  <si>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</si>
  <si>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</si>
  <si>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</si>
  <si>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</si>
  <si>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</si>
  <si>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</si>
  <si>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</si>
  <si>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</si>
  <si>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</si>
  <si>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</si>
  <si>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</si>
  <si>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</si>
  <si>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</si>
  <si>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</si>
  <si>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</si>
  <si>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</si>
  <si>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</si>
  <si>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</si>
  <si>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</si>
  <si>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</si>
  <si>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</si>
  <si>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</si>
  <si>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</si>
  <si>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</si>
  <si>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</si>
  <si>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</si>
  <si>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</si>
  <si>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</si>
  <si>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</si>
  <si>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</si>
  <si>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</si>
  <si>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</si>
  <si>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</si>
  <si>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</si>
  <si>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</si>
  <si>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</si>
  <si>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</si>
  <si>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</si>
  <si>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</si>
  <si>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</si>
  <si>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</si>
  <si>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</si>
  <si>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</si>
  <si>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</si>
  <si>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</si>
  <si>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</si>
  <si>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</si>
  <si>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</si>
  <si>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</si>
  <si>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</si>
  <si>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</si>
  <si>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</si>
  <si>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</si>
  <si>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</si>
  <si>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</si>
  <si>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</si>
  <si>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</si>
  <si>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</si>
  <si>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</si>
  <si>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</si>
  <si>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</si>
  <si>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</si>
  <si>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</si>
  <si>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</si>
  <si>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</si>
  <si>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</si>
  <si>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</si>
  <si>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</si>
  <si>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</si>
  <si>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</si>
  <si>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</si>
  <si>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</si>
  <si>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</si>
  <si>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</si>
  <si>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</si>
  <si>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</si>
  <si>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</si>
  <si>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</si>
  <si>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</si>
  <si>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</si>
  <si>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</si>
  <si>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</si>
  <si>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</si>
  <si>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</si>
  <si>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</si>
  <si>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</si>
  <si>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</si>
  <si>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</si>
  <si>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</si>
  <si>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</si>
  <si>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</si>
  <si>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</si>
  <si>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</si>
  <si>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</si>
  <si>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</si>
  <si>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</si>
  <si>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</si>
  <si>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</si>
  <si>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</si>
  <si>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</si>
  <si>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</si>
  <si>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</si>
  <si>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</si>
  <si>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</si>
  <si>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</si>
  <si>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</si>
  <si>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</si>
  <si>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</si>
  <si>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</si>
  <si>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</si>
  <si>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</si>
  <si>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</si>
  <si>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</si>
  <si>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</si>
  <si>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</si>
  <si>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</si>
  <si>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</si>
  <si>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</si>
  <si>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</si>
  <si>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</si>
  <si>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</si>
  <si>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</si>
  <si>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</si>
  <si>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</si>
  <si>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</si>
  <si>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</si>
  <si>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</si>
  <si>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</si>
  <si>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</si>
  <si>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</si>
  <si>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</si>
  <si>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</si>
  <si>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</si>
  <si>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</si>
  <si>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</si>
  <si>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</si>
  <si>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</si>
  <si>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</si>
  <si>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</si>
  <si>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</si>
  <si>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</si>
  <si>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</si>
  <si>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</si>
  <si>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</si>
  <si>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</si>
  <si>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</si>
  <si>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</si>
  <si>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</si>
  <si>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</si>
  <si>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</si>
  <si>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</si>
  <si>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</si>
  <si>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</si>
  <si>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</si>
  <si>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</si>
  <si>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</si>
  <si>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</si>
  <si>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</si>
  <si>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</si>
  <si>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</si>
  <si>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</si>
  <si>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</si>
  <si>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</si>
  <si>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</si>
  <si>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</si>
  <si>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</si>
  <si>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</si>
  <si>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</si>
  <si>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</si>
  <si>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</si>
  <si>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</si>
  <si>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</si>
  <si>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</si>
  <si>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</si>
  <si>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</si>
  <si>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</si>
  <si>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</si>
  <si>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</si>
  <si>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</si>
  <si>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</si>
  <si>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</si>
  <si>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</si>
  <si>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</si>
  <si>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</si>
  <si>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</si>
  <si>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</si>
  <si>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</si>
  <si>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</si>
  <si>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</si>
  <si>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</si>
  <si>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</si>
  <si>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</si>
  <si>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</si>
  <si>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</si>
  <si>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</si>
  <si>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</si>
  <si>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</si>
  <si>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</si>
  <si>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</si>
  <si>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</si>
  <si>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</si>
  <si>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</si>
  <si>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</si>
  <si>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</si>
  <si>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</si>
  <si>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</si>
  <si>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</si>
  <si>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</si>
  <si>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</si>
  <si>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</si>
  <si>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</si>
  <si>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</si>
  <si>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</si>
  <si>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</si>
  <si>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</si>
  <si>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</si>
  <si>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</si>
  <si>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</si>
  <si>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</si>
  <si>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</si>
  <si>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</si>
  <si>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</si>
  <si>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</si>
  <si>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</si>
  <si>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</si>
  <si>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</si>
  <si>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</si>
  <si>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</si>
  <si>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</si>
  <si>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</si>
  <si>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</si>
  <si>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</si>
  <si>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</si>
  <si>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</si>
  <si>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</si>
  <si>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</si>
  <si>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</si>
  <si>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</si>
  <si>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</si>
  <si>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</si>
  <si>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</si>
  <si>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</si>
  <si>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</si>
  <si>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</si>
  <si>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</si>
  <si>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</si>
  <si>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</si>
  <si>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</si>
  <si>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</si>
  <si>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</si>
  <si>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</si>
  <si>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</si>
  <si>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</si>
  <si>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</si>
  <si>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</si>
  <si>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</si>
  <si>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</si>
  <si>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</si>
  <si>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</si>
  <si>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</si>
  <si>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</si>
  <si>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</si>
  <si>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</si>
  <si>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</si>
  <si>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</si>
  <si>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</si>
  <si>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</si>
  <si>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</si>
  <si>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</si>
  <si>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</si>
  <si>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</si>
  <si>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</si>
  <si>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</si>
  <si>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</si>
  <si>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</si>
  <si>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</si>
  <si>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</si>
  <si>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</si>
  <si>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</si>
  <si>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</si>
  <si>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</si>
  <si>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</si>
  <si>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</si>
  <si>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</si>
  <si>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</si>
  <si>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</si>
  <si>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</si>
  <si>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</si>
  <si>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</si>
  <si>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</si>
  <si>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</si>
  <si>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</si>
  <si>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</si>
  <si>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</si>
  <si>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</si>
  <si>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</si>
  <si>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</si>
  <si>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</si>
  <si>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</si>
  <si>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</si>
  <si>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</si>
  <si>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</si>
  <si>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</si>
  <si>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</si>
  <si>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</si>
  <si>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</si>
  <si>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</si>
  <si>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</si>
  <si>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</si>
  <si>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</si>
  <si>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</si>
  <si>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</si>
  <si>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</si>
  <si>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</si>
  <si>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</si>
  <si>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</si>
  <si>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</si>
  <si>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</si>
  <si>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</si>
  <si>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</si>
  <si>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</si>
  <si>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</si>
  <si>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</si>
  <si>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</si>
  <si>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</si>
  <si>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</si>
  <si>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</si>
  <si>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</si>
  <si>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</si>
  <si>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</si>
  <si>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</si>
  <si>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</si>
  <si>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</si>
  <si>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</si>
  <si>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</si>
  <si>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</si>
  <si>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</si>
  <si>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</si>
  <si>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</si>
  <si>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</si>
  <si>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</si>
  <si>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</si>
  <si>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</si>
  <si>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</si>
  <si>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</si>
  <si>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</si>
  <si>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</si>
  <si>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</si>
  <si>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</si>
  <si>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</si>
  <si>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</si>
  <si>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</si>
  <si>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</si>
  <si>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</si>
  <si>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</si>
  <si>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</si>
  <si>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</si>
  <si>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</si>
  <si>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</si>
  <si>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</si>
  <si>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</si>
  <si>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</si>
  <si>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</si>
  <si>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</si>
  <si>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</si>
  <si>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</si>
  <si>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</si>
  <si>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</si>
  <si>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</si>
  <si>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</si>
  <si>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</si>
  <si>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</si>
  <si>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</si>
  <si>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</si>
  <si>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</si>
  <si>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</si>
  <si>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</si>
  <si>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</si>
  <si>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</si>
  <si>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</si>
  <si>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</si>
  <si>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</si>
  <si>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</si>
  <si>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</si>
  <si>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</si>
  <si>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</si>
  <si>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</si>
  <si>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</si>
  <si>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</si>
  <si>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</si>
  <si>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</si>
  <si>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</si>
  <si>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</si>
  <si>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</si>
  <si>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</si>
  <si>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</si>
  <si>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</si>
  <si>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</si>
  <si>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</si>
  <si>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</si>
  <si>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</si>
  <si>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</si>
  <si>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</si>
  <si>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</si>
  <si>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</si>
  <si>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</si>
  <si>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</si>
  <si>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</si>
  <si>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</si>
  <si>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</si>
  <si>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</si>
  <si>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</si>
  <si>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</si>
  <si>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</si>
  <si>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</si>
  <si>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</si>
  <si>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</si>
  <si>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</si>
  <si>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</si>
  <si>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</si>
  <si>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</si>
  <si>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</si>
  <si>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</si>
  <si>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</si>
  <si>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</si>
  <si>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</si>
  <si>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</si>
  <si>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</si>
  <si>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</si>
  <si>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</si>
  <si>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</si>
  <si>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</si>
  <si>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</si>
  <si>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</si>
  <si>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</si>
  <si>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</si>
  <si>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</si>
  <si>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</si>
  <si>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</si>
  <si>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</si>
  <si>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</si>
  <si>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</si>
  <si>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</si>
  <si>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</si>
  <si>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</si>
  <si>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</si>
  <si>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</si>
  <si>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</si>
  <si>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</si>
  <si>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</si>
  <si>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</si>
  <si>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</si>
  <si>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</si>
  <si>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</si>
  <si>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</si>
  <si>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</si>
  <si>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</si>
  <si>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</si>
  <si>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</si>
  <si>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</si>
  <si>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</si>
  <si>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</si>
  <si>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</si>
  <si>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</si>
  <si>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</si>
  <si>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</si>
  <si>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</si>
  <si>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</si>
  <si>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</si>
  <si>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</si>
  <si>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</si>
  <si>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</si>
  <si>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</si>
  <si>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</si>
  <si>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</si>
  <si>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</si>
  <si>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</si>
  <si>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</si>
  <si>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</si>
  <si>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</si>
  <si>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</si>
  <si>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</si>
  <si>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</si>
  <si>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</si>
  <si>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</si>
  <si>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</si>
  <si>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</si>
  <si>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</si>
  <si>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</si>
  <si>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</si>
  <si>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</si>
  <si>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</si>
  <si>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</si>
  <si>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</si>
  <si>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</si>
  <si>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</si>
  <si>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</si>
  <si>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</si>
  <si>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</si>
  <si>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</si>
  <si>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</si>
  <si>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</si>
  <si>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</si>
  <si>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</si>
  <si>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</si>
  <si>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</si>
  <si>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</si>
  <si>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</si>
  <si>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</si>
  <si>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</si>
  <si>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</si>
  <si>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</si>
  <si>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</si>
  <si>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</si>
  <si>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</si>
  <si>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</si>
  <si>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</si>
  <si>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</si>
  <si>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</si>
  <si>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</si>
  <si>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</si>
  <si>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</si>
  <si>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</si>
  <si>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</si>
  <si>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</si>
  <si>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</si>
  <si>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</si>
  <si>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</si>
  <si>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</si>
  <si>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</si>
  <si>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</si>
  <si>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</si>
  <si>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</si>
  <si>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</si>
  <si>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</si>
  <si>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</si>
  <si>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</si>
  <si>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</si>
  <si>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</si>
  <si>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</si>
  <si>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</si>
  <si>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</si>
  <si>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</si>
  <si>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</si>
  <si>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</si>
  <si>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</si>
  <si>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</si>
  <si>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</si>
  <si>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</si>
  <si>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</si>
  <si>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</si>
  <si>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</si>
  <si>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</si>
  <si>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</si>
  <si>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</si>
  <si>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</si>
  <si>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</si>
  <si>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</si>
  <si>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</si>
  <si>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</si>
  <si>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</si>
  <si>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</si>
  <si>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</si>
  <si>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</si>
  <si>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</si>
  <si>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</si>
  <si>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</si>
  <si>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</si>
  <si>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</si>
  <si>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</si>
  <si>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</si>
  <si>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</si>
  <si>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</si>
  <si>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</si>
  <si>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</si>
  <si>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</si>
  <si>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</si>
  <si>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</si>
  <si>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</si>
  <si>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</si>
  <si>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</si>
  <si>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</si>
  <si>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</si>
  <si>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</si>
  <si>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</si>
  <si>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</si>
  <si>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</si>
  <si>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</si>
  <si>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</si>
  <si>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</si>
  <si>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</si>
  <si>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</si>
  <si>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</si>
  <si>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</si>
  <si>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</si>
  <si>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</si>
  <si>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</si>
  <si>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</si>
  <si>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</si>
  <si>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</si>
  <si>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</si>
  <si>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</si>
  <si>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</si>
  <si>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</si>
  <si>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</si>
  <si>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</si>
  <si>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</si>
  <si>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</si>
  <si>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</si>
  <si>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</si>
  <si>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</si>
  <si>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</si>
  <si>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</si>
  <si>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</si>
  <si>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</si>
  <si>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</si>
  <si>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</si>
  <si>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</si>
  <si>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</si>
  <si>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</si>
  <si>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</si>
  <si>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</si>
  <si>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</si>
  <si>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</si>
  <si>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</si>
  <si>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</si>
  <si>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</si>
  <si>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</si>
  <si>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</si>
  <si>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</si>
  <si>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</si>
  <si>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</si>
  <si>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</si>
  <si>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</si>
  <si>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</si>
  <si>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</si>
  <si>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</si>
  <si>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</si>
  <si>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</si>
  <si>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</si>
  <si>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</si>
  <si>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</si>
  <si>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</si>
  <si>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</si>
  <si>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</si>
  <si>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</si>
  <si>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</si>
  <si>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</si>
  <si>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</si>
  <si>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</si>
  <si>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</si>
  <si>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</si>
  <si>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</si>
  <si>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</si>
  <si>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</si>
  <si>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</si>
  <si>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</si>
  <si>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</si>
  <si>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</si>
  <si>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</si>
  <si>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</si>
  <si>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</si>
  <si>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</si>
  <si>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</si>
  <si>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</si>
  <si>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</si>
  <si>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</si>
  <si>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</si>
  <si>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</si>
  <si>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</si>
  <si>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</si>
  <si>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</si>
  <si>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</si>
  <si>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</si>
  <si>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</si>
  <si>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</si>
  <si>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</si>
  <si>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</si>
  <si>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</si>
  <si>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</si>
  <si>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</si>
  <si>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</si>
  <si>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</si>
  <si>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</si>
  <si>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</si>
  <si>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</si>
  <si>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</si>
  <si>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</si>
  <si>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</si>
  <si>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</si>
  <si>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</si>
  <si>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</si>
  <si>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</si>
  <si>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</si>
  <si>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</si>
  <si>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</si>
  <si>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</si>
  <si>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</si>
  <si>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</si>
  <si>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</si>
  <si>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</si>
  <si>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</si>
  <si>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</si>
  <si>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</si>
  <si>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</si>
  <si>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</si>
  <si>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</si>
  <si>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</si>
  <si>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</si>
  <si>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</si>
  <si>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</si>
  <si>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</si>
  <si>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</si>
  <si>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</si>
  <si>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</si>
  <si>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</si>
  <si>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</si>
  <si>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</si>
  <si>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</si>
  <si>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</si>
  <si>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</si>
  <si>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</si>
  <si>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</si>
  <si>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</si>
  <si>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</si>
  <si>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</si>
  <si>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</si>
  <si>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</si>
  <si>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</si>
  <si>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</si>
  <si>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</si>
  <si>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</si>
  <si>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</si>
  <si>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</si>
  <si>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</si>
  <si>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</si>
  <si>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</si>
  <si>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</si>
  <si>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</si>
  <si>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</si>
  <si>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</si>
  <si>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</si>
  <si>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</si>
  <si>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</si>
  <si>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</si>
  <si>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</si>
  <si>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</si>
  <si>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</si>
  <si>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</si>
  <si>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</si>
  <si>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</si>
  <si>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</si>
  <si>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</si>
  <si>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</si>
  <si>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</si>
  <si>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</si>
  <si>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</si>
  <si>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</si>
  <si>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</si>
  <si>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</si>
  <si>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</si>
  <si>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</si>
  <si>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</si>
  <si>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</si>
  <si>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</si>
  <si>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</si>
  <si>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</si>
  <si>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</si>
  <si>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</si>
  <si>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</si>
  <si>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</si>
  <si>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</si>
  <si>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</si>
  <si>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</si>
  <si>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</si>
  <si>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</si>
  <si>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</si>
  <si>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</si>
  <si>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</si>
  <si>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</si>
  <si>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</si>
  <si>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</si>
  <si>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</si>
  <si>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</si>
  <si>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</si>
  <si>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</si>
  <si>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</si>
  <si>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</si>
  <si>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</si>
  <si>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</si>
  <si>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</si>
  <si>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</si>
  <si>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</si>
  <si>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</si>
  <si>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</si>
  <si>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</si>
  <si>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</si>
  <si>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</si>
  <si>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</si>
  <si>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</si>
  <si>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</si>
  <si>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</si>
  <si>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</si>
  <si>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</si>
  <si>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</si>
  <si>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</si>
  <si>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</si>
  <si>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</si>
  <si>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</si>
  <si>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</si>
  <si>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</si>
  <si>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</si>
  <si>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</si>
  <si>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</si>
  <si>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</si>
  <si>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</si>
  <si>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</si>
  <si>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</si>
  <si>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</si>
  <si>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</si>
  <si>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</si>
  <si>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</si>
  <si>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</si>
  <si>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</si>
  <si>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</si>
  <si>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</si>
  <si>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</si>
  <si>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</si>
  <si>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</si>
  <si>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</si>
  <si>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</si>
  <si>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</si>
  <si>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</si>
  <si>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</si>
  <si>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</si>
  <si>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</si>
  <si>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</si>
  <si>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</si>
  <si>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</si>
  <si>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</si>
  <si>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</si>
  <si>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</si>
  <si>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</si>
  <si>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</si>
  <si>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</si>
  <si>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</si>
  <si>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</si>
  <si>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</si>
  <si>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</si>
  <si>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</si>
  <si>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</si>
  <si>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</si>
  <si>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</si>
  <si>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</si>
  <si>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</si>
  <si>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</si>
  <si>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</si>
  <si>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</si>
  <si>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</si>
  <si>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</si>
  <si>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</si>
  <si>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</si>
  <si>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</si>
  <si>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</si>
  <si>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</si>
  <si>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</si>
  <si>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</si>
  <si>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</si>
  <si>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</si>
  <si>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</si>
  <si>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</si>
  <si>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</si>
  <si>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</si>
  <si>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</si>
  <si>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</si>
  <si>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</si>
  <si>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</si>
  <si>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</si>
  <si>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</si>
  <si>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</si>
  <si>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</si>
  <si>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</si>
  <si>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</si>
  <si>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</si>
  <si>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</si>
  <si>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</si>
  <si>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</si>
  <si>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</si>
  <si>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</si>
  <si>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</si>
  <si>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</si>
  <si>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</si>
  <si>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</si>
  <si>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</si>
  <si>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</si>
  <si>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</si>
  <si>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</si>
  <si>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</si>
  <si>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</si>
  <si>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</si>
  <si>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</si>
  <si>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</si>
  <si>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</si>
  <si>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</si>
  <si>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</si>
  <si>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</si>
  <si>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</si>
  <si>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</si>
  <si>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</si>
  <si>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</si>
  <si>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</si>
  <si>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</si>
  <si>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</si>
  <si>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</si>
  <si>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</si>
  <si>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</si>
  <si>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</si>
  <si>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</si>
  <si>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</si>
  <si>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</si>
  <si>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</si>
  <si>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</si>
  <si>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</si>
  <si>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</si>
  <si>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</si>
  <si>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</si>
  <si>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</si>
  <si>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</si>
  <si>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</si>
  <si>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</si>
  <si>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</si>
  <si>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</si>
  <si>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</si>
  <si>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</si>
  <si>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</si>
  <si>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</si>
  <si>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</si>
  <si>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</si>
  <si>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</si>
  <si>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</si>
  <si>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</si>
  <si>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</si>
  <si>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</si>
  <si>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</si>
  <si>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</si>
  <si>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</si>
  <si>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</si>
  <si>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</si>
  <si>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</si>
  <si>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</si>
  <si>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</si>
  <si>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</si>
  <si>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</si>
  <si>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</si>
  <si>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</si>
  <si>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</si>
  <si>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</si>
  <si>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</si>
  <si>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</si>
  <si>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</si>
  <si>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</si>
  <si>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</si>
  <si>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</si>
  <si>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</si>
  <si>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</si>
  <si>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</si>
  <si>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</si>
  <si>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</si>
  <si>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</si>
  <si>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</si>
  <si>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</si>
  <si>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</si>
  <si>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</si>
  <si>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</si>
  <si>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</si>
  <si>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</si>
  <si>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</si>
  <si>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</si>
  <si>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</si>
  <si>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</si>
  <si>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</si>
  <si>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</si>
  <si>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</si>
  <si>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</si>
  <si>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</si>
  <si>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</si>
  <si>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</si>
  <si>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</si>
  <si>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</si>
  <si>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</si>
  <si>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</si>
  <si>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</si>
  <si>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</si>
  <si>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</si>
  <si>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</si>
  <si>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</si>
  <si>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</si>
  <si>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</si>
  <si>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</si>
  <si>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</si>
  <si>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</si>
  <si>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</si>
  <si>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</si>
  <si>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</si>
  <si>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</si>
  <si>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</si>
  <si>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</si>
  <si>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</si>
  <si>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</si>
  <si>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</si>
  <si>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</si>
  <si>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</si>
  <si>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</si>
  <si>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</si>
  <si>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</si>
  <si>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</si>
  <si>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</si>
  <si>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</si>
  <si>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</si>
  <si>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</si>
  <si>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</si>
  <si>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</si>
  <si>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</si>
  <si>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</si>
  <si>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</si>
  <si>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</si>
  <si>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</si>
  <si>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</si>
  <si>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</si>
  <si>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</si>
  <si>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</si>
  <si>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</si>
  <si>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</si>
  <si>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</si>
  <si>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</si>
  <si>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</si>
  <si>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</si>
  <si>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</si>
  <si>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</si>
  <si>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</si>
  <si>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</si>
  <si>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</si>
  <si>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</si>
  <si>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</si>
  <si>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</si>
  <si>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</si>
  <si>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</si>
  <si>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</si>
  <si>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</si>
  <si>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</si>
  <si>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</si>
  <si>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</si>
  <si>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</si>
  <si>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</si>
  <si>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</si>
  <si>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</si>
  <si>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</si>
  <si>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</si>
  <si>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</si>
  <si>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</si>
  <si>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</si>
  <si>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</si>
  <si>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</si>
  <si>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</si>
  <si>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</si>
  <si>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</si>
  <si>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</si>
  <si>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</si>
  <si>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</si>
  <si>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</si>
  <si>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</si>
  <si>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</si>
  <si>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</si>
  <si>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</si>
  <si>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</si>
  <si>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</si>
  <si>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</si>
  <si>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</si>
  <si>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</si>
  <si>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</si>
  <si>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</si>
  <si>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</si>
  <si>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</si>
  <si>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</si>
  <si>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</si>
  <si>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</si>
  <si>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</si>
  <si>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</si>
  <si>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</si>
  <si>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</si>
  <si>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</si>
  <si>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</si>
  <si>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</si>
  <si>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</si>
  <si>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</si>
  <si>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</si>
  <si>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</si>
  <si>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</si>
  <si>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</si>
  <si>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</si>
  <si>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</si>
  <si>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</si>
  <si>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</si>
  <si>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</si>
  <si>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</si>
  <si>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</si>
  <si>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</si>
  <si>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</si>
  <si>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</si>
  <si>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</si>
  <si>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</si>
  <si>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</si>
  <si>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</si>
  <si>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</si>
  <si>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</si>
  <si>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</si>
  <si>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</si>
  <si>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</si>
  <si>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</si>
  <si>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</si>
  <si>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</si>
  <si>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</si>
  <si>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</si>
  <si>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</si>
  <si>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</si>
  <si>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</si>
  <si>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</si>
  <si>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</si>
  <si>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</si>
  <si>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</si>
  <si>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</si>
  <si>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</si>
  <si>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</si>
  <si>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</si>
  <si>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</si>
  <si>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</si>
  <si>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</si>
  <si>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</si>
  <si>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</si>
  <si>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</si>
  <si>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</si>
  <si>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</si>
  <si>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</si>
  <si>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</si>
  <si>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</si>
  <si>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</si>
  <si>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</si>
  <si>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</si>
  <si>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</si>
  <si>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</si>
  <si>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</si>
  <si>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</si>
  <si>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</si>
  <si>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</si>
  <si>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</si>
  <si>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</si>
  <si>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</si>
  <si>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</si>
  <si>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</si>
  <si>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</si>
  <si>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</si>
  <si>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</si>
  <si>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</si>
  <si>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</si>
  <si>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</si>
  <si>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</si>
  <si>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</si>
  <si>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</si>
  <si>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</si>
  <si>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</si>
  <si>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</si>
  <si>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</si>
  <si>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</si>
  <si>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</si>
  <si>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</si>
  <si>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</si>
  <si>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</si>
  <si>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</si>
  <si>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</si>
  <si>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</si>
  <si>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</si>
  <si>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</si>
  <si>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</si>
  <si>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</si>
  <si>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</si>
  <si>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</si>
  <si>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</si>
  <si>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</si>
  <si>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</si>
  <si>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</si>
  <si>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</si>
  <si>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</si>
  <si>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</si>
  <si>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</si>
  <si>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</si>
  <si>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</si>
  <si>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</si>
  <si>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</si>
  <si>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</si>
  <si>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</si>
  <si>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</si>
  <si>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</si>
  <si>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</si>
  <si>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</si>
  <si>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</si>
  <si>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</si>
  <si>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</si>
  <si>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</si>
  <si>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</si>
  <si>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</si>
  <si>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</si>
  <si>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</si>
  <si>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</si>
  <si>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</si>
  <si>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</si>
  <si>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</si>
  <si>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</si>
  <si>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</si>
  <si>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</si>
  <si>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</si>
  <si>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</si>
  <si>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</si>
  <si>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</si>
  <si>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</si>
  <si>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</si>
  <si>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</si>
  <si>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</si>
  <si>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</si>
  <si>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</si>
  <si>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</si>
  <si>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</si>
  <si>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</si>
  <si>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</si>
  <si>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</si>
  <si>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</si>
  <si>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</si>
  <si>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</si>
  <si>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</si>
  <si>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</si>
  <si>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</si>
  <si>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</si>
  <si>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</si>
  <si>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</si>
  <si>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</si>
  <si>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</si>
  <si>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</si>
  <si>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</si>
  <si>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</si>
  <si>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</si>
  <si>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</si>
  <si>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</si>
  <si>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</si>
  <si>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</si>
  <si>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</si>
  <si>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</si>
  <si>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</si>
  <si>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</si>
  <si>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</si>
  <si>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</si>
  <si>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</si>
  <si>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</si>
  <si>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</si>
  <si>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</si>
  <si>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</si>
  <si>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</si>
  <si>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</si>
  <si>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</si>
  <si>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</si>
  <si>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</si>
  <si>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</si>
  <si>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</si>
  <si>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</si>
  <si>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</si>
  <si>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</si>
  <si>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</si>
  <si>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</si>
  <si>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</si>
  <si>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</si>
  <si>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</si>
  <si>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</si>
  <si>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</si>
  <si>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</si>
  <si>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</si>
  <si>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</si>
  <si>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</si>
  <si>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</si>
  <si>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</si>
  <si>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</si>
  <si>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</si>
  <si>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</si>
  <si>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</si>
  <si>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</si>
  <si>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</si>
  <si>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</si>
  <si>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</si>
  <si>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</si>
  <si>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</si>
  <si>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</si>
  <si>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</si>
  <si>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</si>
  <si>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</si>
  <si>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</si>
  <si>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</si>
  <si>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</si>
  <si>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</si>
  <si>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</si>
  <si>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</si>
  <si>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</si>
  <si>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</si>
  <si>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</si>
  <si>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</si>
  <si>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</si>
  <si>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</si>
  <si>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</si>
  <si>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</si>
  <si>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</si>
  <si>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</si>
  <si>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</si>
  <si>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</si>
  <si>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</si>
  <si>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</si>
  <si>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</si>
  <si>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</si>
  <si>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</si>
  <si>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</si>
  <si>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</si>
  <si>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</si>
  <si>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</si>
  <si>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</si>
  <si>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</si>
  <si>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</si>
  <si>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</si>
  <si>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</si>
  <si>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</si>
  <si>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</si>
  <si>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</si>
  <si>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</si>
  <si>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</si>
  <si>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</si>
  <si>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</si>
  <si>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</si>
  <si>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</si>
  <si>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</si>
  <si>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</si>
  <si>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</si>
  <si>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</si>
  <si>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</si>
  <si>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</si>
  <si>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</si>
  <si>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</si>
  <si>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</si>
  <si>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</si>
  <si>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</si>
  <si>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</si>
  <si>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</si>
  <si>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</si>
  <si>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</si>
  <si>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</si>
  <si>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</si>
  <si>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</si>
  <si>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</si>
  <si>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</si>
  <si>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</si>
  <si>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</si>
  <si>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</si>
  <si>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</si>
  <si>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</si>
  <si>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</si>
  <si>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</si>
  <si>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</si>
  <si>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</si>
  <si>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</si>
  <si>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</si>
  <si>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</si>
  <si>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</si>
  <si>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</si>
  <si>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</si>
  <si>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</si>
  <si>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</si>
  <si>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</si>
  <si>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</si>
  <si>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</si>
  <si>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</si>
  <si>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</si>
  <si>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</si>
  <si>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</si>
  <si>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</si>
  <si>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</si>
  <si>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</si>
  <si>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</si>
  <si>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</si>
  <si>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</si>
  <si>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</si>
  <si>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</si>
  <si>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</si>
  <si>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</si>
  <si>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</si>
  <si>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</si>
  <si>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</si>
  <si>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</si>
  <si>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</si>
  <si>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</si>
  <si>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</si>
  <si>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</si>
  <si>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</si>
  <si>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</si>
  <si>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</si>
  <si>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</si>
  <si>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</si>
  <si>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</si>
  <si>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</si>
  <si>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</si>
  <si>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</si>
  <si>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</si>
  <si>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</si>
  <si>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</si>
  <si>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</si>
  <si>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</si>
  <si>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</si>
  <si>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</si>
  <si>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</si>
  <si>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</si>
  <si>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</si>
  <si>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</si>
  <si>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</si>
  <si>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</si>
  <si>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</si>
  <si>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</si>
  <si>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</si>
  <si>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</si>
  <si>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</si>
  <si>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</si>
  <si>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</si>
  <si>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</si>
  <si>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</si>
  <si>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</si>
  <si>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</si>
  <si>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</si>
  <si>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</si>
  <si>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</si>
  <si>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</si>
  <si>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</si>
  <si>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</si>
  <si>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</si>
  <si>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</si>
  <si>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</si>
  <si>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</si>
  <si>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</si>
  <si>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</si>
  <si>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</si>
  <si>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</si>
  <si>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</si>
  <si>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</si>
  <si>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</si>
  <si>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</si>
  <si>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</si>
  <si>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</si>
  <si>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</si>
  <si>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</si>
  <si>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</si>
  <si>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</si>
  <si>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</si>
  <si>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</si>
  <si>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</si>
  <si>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</si>
  <si>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</si>
  <si>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</si>
  <si>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</si>
  <si>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</si>
  <si>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</si>
  <si>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</si>
  <si>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</si>
  <si>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</si>
  <si>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</si>
  <si>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</si>
  <si>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</si>
  <si>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</si>
  <si>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</si>
  <si>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</si>
  <si>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</si>
  <si>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</si>
  <si>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</si>
  <si>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</si>
  <si>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</si>
  <si>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</si>
  <si>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</si>
  <si>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</si>
  <si>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</si>
  <si>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</si>
  <si>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</si>
  <si>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</si>
  <si>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</si>
  <si>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</si>
  <si>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</si>
  <si>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</si>
  <si>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</si>
  <si>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</si>
  <si>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</si>
  <si>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</si>
  <si>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</si>
  <si>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</si>
  <si>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</si>
  <si>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</si>
  <si>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</si>
  <si>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</si>
  <si>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</si>
  <si>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</si>
  <si>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</si>
  <si>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</si>
  <si>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</si>
  <si>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</si>
  <si>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</si>
  <si>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</si>
  <si>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</si>
  <si>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</si>
  <si>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</si>
  <si>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</si>
  <si>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</si>
  <si>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</si>
  <si>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</si>
  <si>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</si>
  <si>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</si>
  <si>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</si>
  <si>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</si>
  <si>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</si>
  <si>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</si>
  <si>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</si>
  <si>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</si>
  <si>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</si>
  <si>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</si>
  <si>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</si>
  <si>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</si>
  <si>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</si>
  <si>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</si>
  <si>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</si>
  <si>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</si>
  <si>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</si>
  <si>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</si>
  <si>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</si>
  <si>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</si>
  <si>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</si>
  <si>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</si>
  <si>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</si>
  <si>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</si>
  <si>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</si>
  <si>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</si>
  <si>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</si>
  <si>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</si>
  <si>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</si>
  <si>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</si>
  <si>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</si>
  <si>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</si>
  <si>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</si>
  <si>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</si>
  <si>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</si>
  <si>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</si>
  <si>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</si>
  <si>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</si>
  <si>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</si>
  <si>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</si>
  <si>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</si>
  <si>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</si>
  <si>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</si>
  <si>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</si>
  <si>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</si>
  <si>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</si>
  <si>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</si>
  <si>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</si>
  <si>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</si>
  <si>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</si>
  <si>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</si>
  <si>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</si>
  <si>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</si>
  <si>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</si>
  <si>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</si>
  <si>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</si>
  <si>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</si>
  <si>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</si>
  <si>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</si>
  <si>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</si>
  <si>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</si>
  <si>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</si>
  <si>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</si>
  <si>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</si>
  <si>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</si>
  <si>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</si>
  <si>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</si>
  <si>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</si>
  <si>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</si>
  <si>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</si>
  <si>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</si>
  <si>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</si>
  <si>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</si>
  <si>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</si>
  <si>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</si>
  <si>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</si>
  <si>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</si>
  <si>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</si>
  <si>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</si>
  <si>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</si>
  <si>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</si>
  <si>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</si>
  <si>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</si>
  <si>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</si>
  <si>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</si>
  <si>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</si>
  <si>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</si>
  <si>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</si>
  <si>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</si>
  <si>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</si>
  <si>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</si>
  <si>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</si>
  <si>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</si>
  <si>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</si>
  <si>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</si>
  <si>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</si>
  <si>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</si>
  <si>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</si>
  <si>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</si>
  <si>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</si>
  <si>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</si>
  <si>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</si>
  <si>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</si>
  <si>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</si>
  <si>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</si>
  <si>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</si>
  <si>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</si>
  <si>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</si>
  <si>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</si>
  <si>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</si>
  <si>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</si>
  <si>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</si>
  <si>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</si>
  <si>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</si>
  <si>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</si>
  <si>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</si>
  <si>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</si>
  <si>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</si>
  <si>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</si>
  <si>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</si>
  <si>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</si>
  <si>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</si>
  <si>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</si>
  <si>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</si>
  <si>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</si>
  <si>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</si>
  <si>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</si>
  <si>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</si>
  <si>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</si>
  <si>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</si>
  <si>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</si>
  <si>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</si>
  <si>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</si>
  <si>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</si>
  <si>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</si>
  <si>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</si>
  <si>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</si>
  <si>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</si>
  <si>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</si>
  <si>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</si>
  <si>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</si>
  <si>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</si>
  <si>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</si>
  <si>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</si>
  <si>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</si>
  <si>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</si>
  <si>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</si>
  <si>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</si>
  <si>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</si>
  <si>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</si>
  <si>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</si>
  <si>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</si>
  <si>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</si>
  <si>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</si>
  <si>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</si>
  <si>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</si>
  <si>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</si>
  <si>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</si>
  <si>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</si>
  <si>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</si>
  <si>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</si>
  <si>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</si>
  <si>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</si>
  <si>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</si>
  <si>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</si>
  <si>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</si>
  <si>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</si>
  <si>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</si>
  <si>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</si>
  <si>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</si>
  <si>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</si>
  <si>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</si>
  <si>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</si>
  <si>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</si>
  <si>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</si>
  <si>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</si>
  <si>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</si>
  <si>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</si>
  <si>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</si>
  <si>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</si>
  <si>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</si>
  <si>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</si>
  <si>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</si>
  <si>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</si>
  <si>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</si>
  <si>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</si>
  <si>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</si>
  <si>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</si>
  <si>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</si>
  <si>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</si>
  <si>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</si>
  <si>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</si>
  <si>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</si>
  <si>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</si>
  <si>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</si>
  <si>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</si>
  <si>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</si>
  <si>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</si>
  <si>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</si>
  <si>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</si>
  <si>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</si>
  <si>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</si>
  <si>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</si>
  <si>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</si>
  <si>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</si>
  <si>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</si>
  <si>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</si>
  <si>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</si>
  <si>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</si>
  <si>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</si>
  <si>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</si>
  <si>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</si>
  <si>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</si>
  <si>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</si>
  <si>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</si>
  <si>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</si>
  <si>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</si>
  <si>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</si>
  <si>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</si>
  <si>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</si>
  <si>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</si>
  <si>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</si>
  <si>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</si>
  <si>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</si>
  <si>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</si>
  <si>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</si>
  <si>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</si>
  <si>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</si>
  <si>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</si>
  <si>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</si>
  <si>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</si>
  <si>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</si>
  <si>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</si>
  <si>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</si>
  <si>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</si>
  <si>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</si>
  <si>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</si>
  <si>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</si>
  <si>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</si>
  <si>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</si>
  <si>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</si>
  <si>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</si>
  <si>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</si>
  <si>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</si>
  <si>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</si>
  <si>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</si>
  <si>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</si>
  <si>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</si>
  <si>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</si>
  <si>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</si>
  <si>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</si>
  <si>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</si>
  <si>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</si>
  <si>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</si>
  <si>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</si>
  <si>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</si>
  <si>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</si>
  <si>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</si>
  <si>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</si>
  <si>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</si>
  <si>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</si>
  <si>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</si>
  <si>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</si>
  <si>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</si>
  <si>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</si>
  <si>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</si>
  <si>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</si>
  <si>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</si>
  <si>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</si>
  <si>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</si>
  <si>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</si>
  <si>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</si>
  <si>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</si>
  <si>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</si>
  <si>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</si>
  <si>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</si>
  <si>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</si>
  <si>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</si>
  <si>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</si>
  <si>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</si>
  <si>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</si>
  <si>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</si>
  <si>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</si>
  <si>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</si>
  <si>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</si>
  <si>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</si>
  <si>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</si>
  <si>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</si>
  <si>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</si>
  <si>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</si>
  <si>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</si>
  <si>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</si>
  <si>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</si>
  <si>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</si>
  <si>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</si>
  <si>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</si>
  <si>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</si>
  <si>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</si>
  <si>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</si>
  <si>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</si>
  <si>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</si>
  <si>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</si>
  <si>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</si>
  <si>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</si>
  <si>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</si>
  <si>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</si>
  <si>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</si>
  <si>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</si>
  <si>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</si>
  <si>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</si>
  <si>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</si>
  <si>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</si>
  <si>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</si>
  <si>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</si>
  <si>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</si>
  <si>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</si>
  <si>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</si>
  <si>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</si>
  <si>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</si>
  <si>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</si>
  <si>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</si>
  <si>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</si>
  <si>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</si>
  <si>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</si>
  <si>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</si>
  <si>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</si>
  <si>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</si>
  <si>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</si>
  <si>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</si>
  <si>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</si>
  <si>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</si>
  <si>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</si>
  <si>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</si>
  <si>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</si>
  <si>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</si>
  <si>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</si>
  <si>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</si>
  <si>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</si>
  <si>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</si>
  <si>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</si>
  <si>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</si>
  <si>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</si>
  <si>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</si>
  <si>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</si>
  <si>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</si>
  <si>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</si>
  <si>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</si>
  <si>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</si>
  <si>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</si>
  <si>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</si>
  <si>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</si>
  <si>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</si>
  <si>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</si>
  <si>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</si>
  <si>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</si>
  <si>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</si>
  <si>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</si>
  <si>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</si>
  <si>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</si>
  <si>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</si>
  <si>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</si>
  <si>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</si>
  <si>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</si>
  <si>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</si>
  <si>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</si>
  <si>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</si>
  <si>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</si>
  <si>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</si>
  <si>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</si>
  <si>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</si>
  <si>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</si>
  <si>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</si>
  <si>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</si>
  <si>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</si>
  <si>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</si>
  <si>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</si>
  <si>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</si>
  <si>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</si>
  <si>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</si>
  <si>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</si>
  <si>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</si>
  <si>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</si>
  <si>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</si>
  <si>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</si>
  <si>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</si>
  <si>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</si>
  <si>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</si>
  <si>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</si>
  <si>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</si>
  <si>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</si>
  <si>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</si>
  <si>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</si>
  <si>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</si>
  <si>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</si>
  <si>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</si>
  <si>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</si>
  <si>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</si>
  <si>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</si>
  <si>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</si>
  <si>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</si>
  <si>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</si>
  <si>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</si>
  <si>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</si>
  <si>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</si>
  <si>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</si>
  <si>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</si>
  <si>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</si>
  <si>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</si>
  <si>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</si>
  <si>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</si>
  <si>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</si>
  <si>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</si>
  <si>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</si>
  <si>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</si>
  <si>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</si>
  <si>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</si>
  <si>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</si>
  <si>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</si>
  <si>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</si>
  <si>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</si>
  <si>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</si>
  <si>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</si>
  <si>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</si>
  <si>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</si>
  <si>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</si>
  <si>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</si>
  <si>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</si>
  <si>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</si>
  <si>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</si>
  <si>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</si>
  <si>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</si>
  <si>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</si>
  <si>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</si>
  <si>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</si>
  <si>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</si>
  <si>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</si>
  <si>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</si>
  <si>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</si>
  <si>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</si>
  <si>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</si>
  <si>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</si>
  <si>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</si>
  <si>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</si>
  <si>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</si>
  <si>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</si>
  <si>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</si>
  <si>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</si>
  <si>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</si>
  <si>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</si>
  <si>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</si>
  <si>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</si>
  <si>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</si>
  <si>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</si>
  <si>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</si>
  <si>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</si>
  <si>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</si>
  <si>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</si>
  <si>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</si>
  <si>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</si>
  <si>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</si>
  <si>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</si>
  <si>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</si>
  <si>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</si>
  <si>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</si>
  <si>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</si>
  <si>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</si>
  <si>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</si>
  <si>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</si>
  <si>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</si>
  <si>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</si>
  <si>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</si>
  <si>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</si>
  <si>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</si>
  <si>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</si>
  <si>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</si>
  <si>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</si>
  <si>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</si>
  <si>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</si>
  <si>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</si>
  <si>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</si>
  <si>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</si>
  <si>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</si>
  <si>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</si>
  <si>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</si>
  <si>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</si>
  <si>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</si>
  <si>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</si>
  <si>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</si>
  <si>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</si>
  <si>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</si>
  <si>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</si>
  <si>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</si>
  <si>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</si>
  <si>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</si>
  <si>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</si>
  <si>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</si>
  <si>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</si>
  <si>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</si>
  <si>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</si>
  <si>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</si>
  <si>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</si>
  <si>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</si>
  <si>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</si>
  <si>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</si>
  <si>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</si>
  <si>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</si>
  <si>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</si>
  <si>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</si>
  <si>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</si>
  <si>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</si>
  <si>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</si>
  <si>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</si>
  <si>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</si>
  <si>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</si>
  <si>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</si>
  <si>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</si>
  <si>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</si>
  <si>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</si>
  <si>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</si>
  <si>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</si>
  <si>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</si>
  <si>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</si>
  <si>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</si>
  <si>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</si>
  <si>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</si>
  <si>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</si>
  <si>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</si>
  <si>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</si>
  <si>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</si>
  <si>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</si>
  <si>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</si>
  <si>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</si>
  <si>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</si>
  <si>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</si>
  <si>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</si>
  <si>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</si>
  <si>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</si>
  <si>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</si>
  <si>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</si>
  <si>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</si>
  <si>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</si>
  <si>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</si>
  <si>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</si>
  <si>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</si>
  <si>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</si>
  <si>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</si>
  <si>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</si>
  <si>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</si>
  <si>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</si>
  <si>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</si>
  <si>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</si>
  <si>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</si>
  <si>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</si>
  <si>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</si>
  <si>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</si>
  <si>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</si>
  <si>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</si>
  <si>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</si>
  <si>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</si>
  <si>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</si>
  <si>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</si>
  <si>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</si>
  <si>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</si>
  <si>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</si>
  <si>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</si>
  <si>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</si>
  <si>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</si>
  <si>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</si>
  <si>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</si>
  <si>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</si>
  <si>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</si>
  <si>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</si>
  <si>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</si>
  <si>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</si>
  <si>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</si>
  <si>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</si>
  <si>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</si>
  <si>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</si>
  <si>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</si>
  <si>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</si>
  <si>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</si>
  <si>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</si>
  <si>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</si>
  <si>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</si>
  <si>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</si>
  <si>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</si>
  <si>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</si>
  <si>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</si>
  <si>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</si>
  <si>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</si>
  <si>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</si>
  <si>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</si>
  <si>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</si>
  <si>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</si>
  <si>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</si>
  <si>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</si>
  <si>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</si>
  <si>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</si>
  <si>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</si>
  <si>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</si>
  <si>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</si>
  <si>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</si>
  <si>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</si>
  <si>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</si>
  <si>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</si>
  <si>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</si>
  <si>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</si>
  <si>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</si>
  <si>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</si>
  <si>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</si>
  <si>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</si>
  <si>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</si>
  <si>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</si>
  <si>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</si>
  <si>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</si>
  <si>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</si>
  <si>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</si>
  <si>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</si>
  <si>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</si>
  <si>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</si>
  <si>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</si>
  <si>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</si>
  <si>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</si>
  <si>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</si>
  <si>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</si>
  <si>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</si>
  <si>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</si>
  <si>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</si>
  <si>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</si>
  <si>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</si>
  <si>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</si>
  <si>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</si>
  <si>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</si>
  <si>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</si>
  <si>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</si>
  <si>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</si>
  <si>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</si>
  <si>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</si>
  <si>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</si>
  <si>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</si>
  <si>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</si>
  <si>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</si>
  <si>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</si>
  <si>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</si>
  <si>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</si>
  <si>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</si>
  <si>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</si>
  <si>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</si>
  <si>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</si>
  <si>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</si>
  <si>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</si>
  <si>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</si>
  <si>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</si>
  <si>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</si>
  <si>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</si>
  <si>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</si>
  <si>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</si>
  <si>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</si>
  <si>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</si>
  <si>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</si>
  <si>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</si>
  <si>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</si>
  <si>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</si>
  <si>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</si>
  <si>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</si>
  <si>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</si>
  <si>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</si>
  <si>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</si>
  <si>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</si>
  <si>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</si>
  <si>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</si>
  <si>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</si>
  <si>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</si>
  <si>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</si>
  <si>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</si>
  <si>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</si>
  <si>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</si>
  <si>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</si>
  <si>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</si>
  <si>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</si>
  <si>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</si>
  <si>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</si>
  <si>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</si>
  <si>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</si>
  <si>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</si>
  <si>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</si>
  <si>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</si>
  <si>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</si>
  <si>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</si>
  <si>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</si>
  <si>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</si>
  <si>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</si>
  <si>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</si>
  <si>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</si>
  <si>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</si>
  <si>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</si>
  <si>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</si>
  <si>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</si>
  <si>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</si>
  <si>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</si>
  <si>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</si>
  <si>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</si>
  <si>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</si>
  <si>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</si>
  <si>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</si>
  <si>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</si>
  <si>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</si>
  <si>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</si>
  <si>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</si>
  <si>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</si>
  <si>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</si>
  <si>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</si>
  <si>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</si>
  <si>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</si>
  <si>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</si>
  <si>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</si>
  <si>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</si>
  <si>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</si>
  <si>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</si>
  <si>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</si>
  <si>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</si>
  <si>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</si>
  <si>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</si>
  <si>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</si>
  <si>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</si>
  <si>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</si>
  <si>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</si>
  <si>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</si>
  <si>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</si>
  <si>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</si>
  <si>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</si>
  <si>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</si>
  <si>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</si>
  <si>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</si>
  <si>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</si>
  <si>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</si>
  <si>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</si>
  <si>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</si>
  <si>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</si>
  <si>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</si>
  <si>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</si>
  <si>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</si>
  <si>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</si>
  <si>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</si>
  <si>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</si>
  <si>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</si>
  <si>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</si>
  <si>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</si>
  <si>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</si>
  <si>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</si>
  <si>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</si>
  <si>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</si>
  <si>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</si>
  <si>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</si>
  <si>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</si>
  <si>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</si>
  <si>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</si>
  <si>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</si>
  <si>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</si>
  <si>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</si>
  <si>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</si>
  <si>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</si>
  <si>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</si>
  <si>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</si>
  <si>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</si>
  <si>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</si>
  <si>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</si>
  <si>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</si>
  <si>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</si>
  <si>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</si>
  <si>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</si>
  <si>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</si>
  <si>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</si>
  <si>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</si>
  <si>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</si>
  <si>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</si>
  <si>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</si>
  <si>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</si>
  <si>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</si>
  <si>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</si>
  <si>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</si>
  <si>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</si>
  <si>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</si>
  <si>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</si>
  <si>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</si>
  <si>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</si>
  <si>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</si>
  <si>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</si>
  <si>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</si>
  <si>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</si>
  <si>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</si>
  <si>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</si>
  <si>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</si>
  <si>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</si>
  <si>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</si>
  <si>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</si>
  <si>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</si>
  <si>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</si>
  <si>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</si>
  <si>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</si>
  <si>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</si>
  <si>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</si>
  <si>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</si>
  <si>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</si>
  <si>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</si>
  <si>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</si>
  <si>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</si>
  <si>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</si>
  <si>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</si>
  <si>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</si>
  <si>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</si>
  <si>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</si>
  <si>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</si>
  <si>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</si>
  <si>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</si>
  <si>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</si>
  <si>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</si>
  <si>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</si>
  <si>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</si>
  <si>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</si>
  <si>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</si>
  <si>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</si>
  <si>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</si>
  <si>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</si>
  <si>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</si>
  <si>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</si>
  <si>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</si>
  <si>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</si>
  <si>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</si>
  <si>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</si>
  <si>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</si>
  <si>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</si>
  <si>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</si>
  <si>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</si>
  <si>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</si>
  <si>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</si>
  <si>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</si>
  <si>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</si>
  <si>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</si>
  <si>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</si>
  <si>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</si>
  <si>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</si>
  <si>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</si>
  <si>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</si>
  <si>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</si>
  <si>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</si>
  <si>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</si>
  <si>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</si>
  <si>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</si>
  <si>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</si>
  <si>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</si>
  <si>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</si>
  <si>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</si>
  <si>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</si>
  <si>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</si>
  <si>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</si>
  <si>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</si>
  <si>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</si>
  <si>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</si>
  <si>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</si>
  <si>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</si>
  <si>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</si>
  <si>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</si>
  <si>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</si>
  <si>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</si>
  <si>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</si>
  <si>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</si>
  <si>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</si>
  <si>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</si>
  <si>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</si>
  <si>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</si>
  <si>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</si>
  <si>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</si>
  <si>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</si>
  <si>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</si>
  <si>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</si>
  <si>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</si>
  <si>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</si>
  <si>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</si>
  <si>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</si>
  <si>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</si>
  <si>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</si>
  <si>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</si>
  <si>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</si>
  <si>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</si>
  <si>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</si>
  <si>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</si>
  <si>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</si>
  <si>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</si>
  <si>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</si>
  <si>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</si>
  <si>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</si>
  <si>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</si>
  <si>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</si>
  <si>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</si>
  <si>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</si>
  <si>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</si>
  <si>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</si>
  <si>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</si>
  <si>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</si>
  <si>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</si>
  <si>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</si>
  <si>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</si>
  <si>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</si>
  <si>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</si>
  <si>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</si>
  <si>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</si>
  <si>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</si>
  <si>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</si>
  <si>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</si>
  <si>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</si>
  <si>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</si>
  <si>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</si>
  <si>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</si>
  <si>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</si>
  <si>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</si>
  <si>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</si>
  <si>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</si>
  <si>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</si>
  <si>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</si>
  <si>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</si>
  <si>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</si>
  <si>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</si>
  <si>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</si>
  <si>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</si>
  <si>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</si>
  <si>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</si>
  <si>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</si>
  <si>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</si>
  <si>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</si>
  <si>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</si>
  <si>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</si>
  <si>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</si>
  <si>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</si>
  <si>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</si>
  <si>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</si>
  <si>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</si>
  <si>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</si>
  <si>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</si>
  <si>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</si>
  <si>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</si>
  <si>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</si>
  <si>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</si>
  <si>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</si>
  <si>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</si>
  <si>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</si>
  <si>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</si>
  <si>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</si>
  <si>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</si>
  <si>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</si>
  <si>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</si>
  <si>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</si>
  <si>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</si>
  <si>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</si>
  <si>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</si>
  <si>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</si>
  <si>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</si>
  <si>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</si>
  <si>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</si>
  <si>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</si>
  <si>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</si>
  <si>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</si>
  <si>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</si>
  <si>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</si>
  <si>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</si>
  <si>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</si>
  <si>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</si>
  <si>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</si>
  <si>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</si>
  <si>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</si>
  <si>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</si>
  <si>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</si>
  <si>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</si>
  <si>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</si>
  <si>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</si>
  <si>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</si>
  <si>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</si>
  <si>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</si>
  <si>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</si>
  <si>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</si>
  <si>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</si>
  <si>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</si>
  <si>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</si>
  <si>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</si>
  <si>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</si>
  <si>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</si>
  <si>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</si>
  <si>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</si>
  <si>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</si>
  <si>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</si>
  <si>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</si>
  <si>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</si>
  <si>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</si>
  <si>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</si>
  <si>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</si>
  <si>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</si>
  <si>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</si>
  <si>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</si>
  <si>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</si>
  <si>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</si>
  <si>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</si>
  <si>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</si>
  <si>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</si>
  <si>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</si>
  <si>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</si>
  <si>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</si>
  <si>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</si>
  <si>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</si>
  <si>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</si>
  <si>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</si>
  <si>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</si>
  <si>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</si>
  <si>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</si>
  <si>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</si>
  <si>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</si>
  <si>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</si>
  <si>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</si>
  <si>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</si>
  <si>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</si>
  <si>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</si>
  <si>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</si>
  <si>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</si>
  <si>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</si>
  <si>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</si>
  <si>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</si>
  <si>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</si>
  <si>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</si>
  <si>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</si>
  <si>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</si>
  <si>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</si>
  <si>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</si>
  <si>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</si>
  <si>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</si>
  <si>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</si>
  <si>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</si>
  <si>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</si>
  <si>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</si>
  <si>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</si>
  <si>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</si>
  <si>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</si>
  <si>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</si>
  <si>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</si>
  <si>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</si>
  <si>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</si>
  <si>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</si>
  <si>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</si>
  <si>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</si>
  <si>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</si>
  <si>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</si>
  <si>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</si>
  <si>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</si>
  <si>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</si>
  <si>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</si>
  <si>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</si>
  <si>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</si>
  <si>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</si>
  <si>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</si>
  <si>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</si>
  <si>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</si>
  <si>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</si>
  <si>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</si>
  <si>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</si>
  <si>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</si>
  <si>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</si>
  <si>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</si>
  <si>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</si>
  <si>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</si>
  <si>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</si>
  <si>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</si>
  <si>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</si>
  <si>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</si>
  <si>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</si>
  <si>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</si>
  <si>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</si>
  <si>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</si>
  <si>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</si>
  <si>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</si>
  <si>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</si>
  <si>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</si>
  <si>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</si>
  <si>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</si>
  <si>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</si>
  <si>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</si>
  <si>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</si>
  <si>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</si>
  <si>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</si>
  <si>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</si>
  <si>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</si>
  <si>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</si>
  <si>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</si>
  <si>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</si>
  <si>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</si>
  <si>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</si>
  <si>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</si>
  <si>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</si>
  <si>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</si>
  <si>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</si>
  <si>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</si>
  <si>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</si>
  <si>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</si>
  <si>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</si>
  <si>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</si>
  <si>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</si>
  <si>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</si>
  <si>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</si>
  <si>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</si>
  <si>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</si>
  <si>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</si>
  <si>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</si>
  <si>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</si>
  <si>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</si>
  <si>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</si>
  <si>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</si>
  <si>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</si>
  <si>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</si>
  <si>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</si>
  <si>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</si>
  <si>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</si>
  <si>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</si>
  <si>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</si>
  <si>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</si>
  <si>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</si>
  <si>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</si>
  <si>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</si>
  <si>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</si>
  <si>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</si>
  <si>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</si>
  <si>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</si>
  <si>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</si>
  <si>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</si>
  <si>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</si>
  <si>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</si>
  <si>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</si>
  <si>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</si>
  <si>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</si>
  <si>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</si>
  <si>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</si>
  <si>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</si>
  <si>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</si>
  <si>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</si>
  <si>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</si>
  <si>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</si>
  <si>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</si>
  <si>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</si>
  <si>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</si>
  <si>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</si>
  <si>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</si>
  <si>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</si>
  <si>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</si>
  <si>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</si>
  <si>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</si>
  <si>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</si>
  <si>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</si>
  <si>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</si>
  <si>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</si>
  <si>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</si>
  <si>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</si>
  <si>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</si>
  <si>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</si>
  <si>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</si>
  <si>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</si>
  <si>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</si>
  <si>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</si>
  <si>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</si>
  <si>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</si>
  <si>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</si>
  <si>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</si>
  <si>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</si>
  <si>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</si>
  <si>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</si>
  <si>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</si>
  <si>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</si>
  <si>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</si>
  <si>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</si>
  <si>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</si>
  <si>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</si>
  <si>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</si>
  <si>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</si>
  <si>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</si>
  <si>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</si>
  <si>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</si>
  <si>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</si>
  <si>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</si>
  <si>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</si>
  <si>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</si>
  <si>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</si>
  <si>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</si>
  <si>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</si>
  <si>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</si>
  <si>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</si>
  <si>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</si>
  <si>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</si>
  <si>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</si>
  <si>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</si>
  <si>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</si>
  <si>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</si>
  <si>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</si>
  <si>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</si>
  <si>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</si>
  <si>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</si>
  <si>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</si>
  <si>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</si>
  <si>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</si>
  <si>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</si>
  <si>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</si>
  <si>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</si>
  <si>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</si>
  <si>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</si>
  <si>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</si>
  <si>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</si>
  <si>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</si>
  <si>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</si>
  <si>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</si>
  <si>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</si>
  <si>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</si>
  <si>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</si>
  <si>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</si>
  <si>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</si>
  <si>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</si>
  <si>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</si>
  <si>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</si>
  <si>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</si>
  <si>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</si>
  <si>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</si>
  <si>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</si>
  <si>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</si>
  <si>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</si>
  <si>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</si>
  <si>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</si>
  <si>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</si>
  <si>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</si>
  <si>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</si>
  <si>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</si>
  <si>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</si>
  <si>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</si>
  <si>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</si>
  <si>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</si>
  <si>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</si>
  <si>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</si>
  <si>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</si>
  <si>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</si>
  <si>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</si>
  <si>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</si>
  <si>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</si>
  <si>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</si>
  <si>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</si>
  <si>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</si>
  <si>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</si>
  <si>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</si>
  <si>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</si>
  <si>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</si>
  <si>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</si>
  <si>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</si>
  <si>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</si>
  <si>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</si>
  <si>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</si>
  <si>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</si>
  <si>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</si>
  <si>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</si>
  <si>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</si>
  <si>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</si>
  <si>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</si>
  <si>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</si>
  <si>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</si>
  <si>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</si>
  <si>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</si>
  <si>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</si>
  <si>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</si>
  <si>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</si>
  <si>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</si>
  <si>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</si>
  <si>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</si>
  <si>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</si>
  <si>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</si>
  <si>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</si>
  <si>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</si>
  <si>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</si>
  <si>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</si>
  <si>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</si>
  <si>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</si>
  <si>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</si>
  <si>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</si>
  <si>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</si>
  <si>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</si>
  <si>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</si>
  <si>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</si>
  <si>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</si>
  <si>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</si>
  <si>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</si>
  <si>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</si>
  <si>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</si>
  <si>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</si>
  <si>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</si>
  <si>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</si>
  <si>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</si>
  <si>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</si>
  <si>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</si>
  <si>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</si>
  <si>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</si>
  <si>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</si>
  <si>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</si>
  <si>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</si>
  <si>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</si>
  <si>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</si>
  <si>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</si>
  <si>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</si>
  <si>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</si>
  <si>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</si>
  <si>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</si>
  <si>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</si>
  <si>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</si>
  <si>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</si>
  <si>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</si>
  <si>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</si>
  <si>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</si>
  <si>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</si>
  <si>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</si>
  <si>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</si>
  <si>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</si>
  <si>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</si>
  <si>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</si>
  <si>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</si>
  <si>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</si>
  <si>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</si>
  <si>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</si>
  <si>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</si>
  <si>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</si>
  <si>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</si>
  <si>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</si>
  <si>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</si>
  <si>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</si>
  <si>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</si>
  <si>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</si>
  <si>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</si>
  <si>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</si>
  <si>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</si>
  <si>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</si>
  <si>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</si>
  <si>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</si>
  <si>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</si>
  <si>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</si>
  <si>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</si>
  <si>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</si>
  <si>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</si>
  <si>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</si>
  <si>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</si>
  <si>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</si>
  <si>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</si>
  <si>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</si>
  <si>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</si>
  <si>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</si>
  <si>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</si>
  <si>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</si>
  <si>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</si>
  <si>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</si>
  <si>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</si>
  <si>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</si>
  <si>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</si>
  <si>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</si>
  <si>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</si>
  <si>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</si>
  <si>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</si>
  <si>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</si>
  <si>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</si>
  <si>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</si>
  <si>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</si>
  <si>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</si>
  <si>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</si>
  <si>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</si>
  <si>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</si>
  <si>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</si>
  <si>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</si>
  <si>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</si>
  <si>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</si>
  <si>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</si>
  <si>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</si>
  <si>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</si>
  <si>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</si>
  <si>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</si>
  <si>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</si>
  <si>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</si>
  <si>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</si>
  <si>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</si>
  <si>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</si>
  <si>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</si>
  <si>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</si>
  <si>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</si>
  <si>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</si>
  <si>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</si>
  <si>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</si>
  <si>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</si>
  <si>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</si>
  <si>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</si>
  <si>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</si>
  <si>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</si>
  <si>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</si>
  <si>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</si>
  <si>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</si>
  <si>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</si>
  <si>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</si>
  <si>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</si>
  <si>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</si>
  <si>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</si>
  <si>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</si>
  <si>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</si>
  <si>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</si>
  <si>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</si>
  <si>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</si>
  <si>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</si>
  <si>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</si>
  <si>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</si>
  <si>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</si>
  <si>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</si>
  <si>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</si>
  <si>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</si>
  <si>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</si>
  <si>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</si>
  <si>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</si>
  <si>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</si>
  <si>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</si>
  <si>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</si>
  <si>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</si>
  <si>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</si>
  <si>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</si>
  <si>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</si>
  <si>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</si>
  <si>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</si>
  <si>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</si>
  <si>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</si>
  <si>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</si>
  <si>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</si>
  <si>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</si>
  <si>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</si>
  <si>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</si>
  <si>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</si>
  <si>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</si>
  <si>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</si>
  <si>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</si>
  <si>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</si>
  <si>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</si>
  <si>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</si>
  <si>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</si>
  <si>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</si>
  <si>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</si>
  <si>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</si>
  <si>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</si>
  <si>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</si>
  <si>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</si>
  <si>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</si>
  <si>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</si>
  <si>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</si>
  <si>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</si>
  <si>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</si>
  <si>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</si>
  <si>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</si>
  <si>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</si>
  <si>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</si>
  <si>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</si>
  <si>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</si>
  <si>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</si>
  <si>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</si>
  <si>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</si>
  <si>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</si>
  <si>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</si>
  <si>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</si>
  <si>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</si>
  <si>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</si>
  <si>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</si>
  <si>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</si>
  <si>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</si>
  <si>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</si>
  <si>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</si>
  <si>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</si>
  <si>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</si>
  <si>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</si>
  <si>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</si>
  <si>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</si>
  <si>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</si>
  <si>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</si>
  <si>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</si>
  <si>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</si>
  <si>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</si>
  <si>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</si>
  <si>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</si>
  <si>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</si>
  <si>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</si>
  <si>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</si>
  <si>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</si>
  <si>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</si>
  <si>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</si>
  <si>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</si>
  <si>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</si>
  <si>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</si>
  <si>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</si>
  <si>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</si>
  <si>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</si>
  <si>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</si>
  <si>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</si>
  <si>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</si>
  <si>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</si>
  <si>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</si>
  <si>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</si>
  <si>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</si>
  <si>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</si>
  <si>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</si>
  <si>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</si>
  <si>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</si>
  <si>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</si>
  <si>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</si>
  <si>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</si>
  <si>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</si>
  <si>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</si>
  <si>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</si>
  <si>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</si>
  <si>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</si>
  <si>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</si>
  <si>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</si>
  <si>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</si>
  <si>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</si>
  <si>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</si>
  <si>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</si>
  <si>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</si>
  <si>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</si>
  <si>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</si>
  <si>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</si>
  <si>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</si>
  <si>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</si>
  <si>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</si>
  <si>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</si>
  <si>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</si>
  <si>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</si>
  <si>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</si>
  <si>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</si>
  <si>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</si>
  <si>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</si>
  <si>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</si>
  <si>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</si>
  <si>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</si>
  <si>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</si>
  <si>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</si>
  <si>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</si>
  <si>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</si>
  <si>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</si>
  <si>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</si>
  <si>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</si>
  <si>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</si>
  <si>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</si>
  <si>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</si>
  <si>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</si>
  <si>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</si>
  <si>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</si>
  <si>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</si>
  <si>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</si>
  <si>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</si>
  <si>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</si>
  <si>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</si>
  <si>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</si>
  <si>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</si>
  <si>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</si>
  <si>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</si>
  <si>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</si>
  <si>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</si>
  <si>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</si>
  <si>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</si>
  <si>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</si>
  <si>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</si>
  <si>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</si>
  <si>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</si>
  <si>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</si>
  <si>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</si>
  <si>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</si>
  <si>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</si>
  <si>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</si>
  <si>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</si>
  <si>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</si>
  <si>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</si>
  <si>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</si>
  <si>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</si>
  <si>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</si>
  <si>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</si>
  <si>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</si>
  <si>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</si>
  <si>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</si>
  <si>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</si>
  <si>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</si>
  <si>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</si>
  <si>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</si>
  <si>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</si>
  <si>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</si>
  <si>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</si>
  <si>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</si>
  <si>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</si>
  <si>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</si>
  <si>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</si>
  <si>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</si>
  <si>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</si>
  <si>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</si>
  <si>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</si>
  <si>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</si>
  <si>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</si>
  <si>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</si>
  <si>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</si>
  <si>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</si>
  <si>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</si>
  <si>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</si>
  <si>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</si>
  <si>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</si>
  <si>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</si>
  <si>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</si>
  <si>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</si>
  <si>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</si>
  <si>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</si>
  <si>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</si>
  <si>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</si>
  <si>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</si>
  <si>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</si>
  <si>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</si>
  <si>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</si>
  <si>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</si>
  <si>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</si>
  <si>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</si>
  <si>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</si>
  <si>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</si>
  <si>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</si>
  <si>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</si>
  <si>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</si>
  <si>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</si>
  <si>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</si>
  <si>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</si>
  <si>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</si>
  <si>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</si>
  <si>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</si>
  <si>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</si>
  <si>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</si>
  <si>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</si>
  <si>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</si>
  <si>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</si>
  <si>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</si>
  <si>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</si>
  <si>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</si>
  <si>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</si>
  <si>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</si>
  <si>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</si>
  <si>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</si>
  <si>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</si>
  <si>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</si>
  <si>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</si>
  <si>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</si>
  <si>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</si>
  <si>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</si>
  <si>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</si>
  <si>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</si>
  <si>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</si>
  <si>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</si>
  <si>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</si>
  <si>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</si>
  <si>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</si>
  <si>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</si>
  <si>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</si>
  <si>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</si>
  <si>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</si>
  <si>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</si>
  <si>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</si>
  <si>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</si>
  <si>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</si>
  <si>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</si>
  <si>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</si>
  <si>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</si>
  <si>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</si>
  <si>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</si>
  <si>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</si>
  <si>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</si>
  <si>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</si>
  <si>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</si>
  <si>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</si>
  <si>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</si>
  <si>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</si>
  <si>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</si>
  <si>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</si>
  <si>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</si>
  <si>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</si>
  <si>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</si>
  <si>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</si>
  <si>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</si>
  <si>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</si>
  <si>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</si>
  <si>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</si>
  <si>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</si>
  <si>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</si>
  <si>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</si>
  <si>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</si>
  <si>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</si>
  <si>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</si>
  <si>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</si>
  <si>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</si>
  <si>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</si>
  <si>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</si>
  <si>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</si>
  <si>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</si>
  <si>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</si>
  <si>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</si>
  <si>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</si>
  <si>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</si>
  <si>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</si>
  <si>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</si>
  <si>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</si>
  <si>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</si>
  <si>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</si>
  <si>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</si>
  <si>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</si>
  <si>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</si>
  <si>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</si>
  <si>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</si>
  <si>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</si>
  <si>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</si>
  <si>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</si>
  <si>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</si>
  <si>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</si>
  <si>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</si>
  <si>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</si>
  <si>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</si>
  <si>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</si>
  <si>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</si>
  <si>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</si>
  <si>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</si>
  <si>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</si>
  <si>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</si>
  <si>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</si>
  <si>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</si>
  <si>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</si>
  <si>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</si>
  <si>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</si>
  <si>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</si>
  <si>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</si>
  <si>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</si>
  <si>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</si>
  <si>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</si>
  <si>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</si>
  <si>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</si>
  <si>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</si>
  <si>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</si>
  <si>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</si>
  <si>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</si>
  <si>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</si>
  <si>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</si>
  <si>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</si>
  <si>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</si>
  <si>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</si>
  <si>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</si>
  <si>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</si>
  <si>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</si>
  <si>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</si>
  <si>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</si>
  <si>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</si>
  <si>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</si>
  <si>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</si>
  <si>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</si>
  <si>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</si>
  <si>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</si>
  <si>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</si>
  <si>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</si>
  <si>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</si>
  <si>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</si>
  <si>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</si>
  <si>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</si>
  <si>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</si>
  <si>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</si>
  <si>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</si>
  <si>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</si>
  <si>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</si>
  <si>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</si>
  <si>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</si>
  <si>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</si>
  <si>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</si>
  <si>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</si>
  <si>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</si>
  <si>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</si>
  <si>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</si>
  <si>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</si>
  <si>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</si>
  <si>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</si>
  <si>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</si>
  <si>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</si>
  <si>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</si>
  <si>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</si>
  <si>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</si>
  <si>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</si>
  <si>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</si>
  <si>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</si>
  <si>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</si>
  <si>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</si>
  <si>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</si>
  <si>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</si>
  <si>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</si>
  <si>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</si>
  <si>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</si>
  <si>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</si>
  <si>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</si>
  <si>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</si>
  <si>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</si>
  <si>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</si>
  <si>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</si>
  <si>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</si>
  <si>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</si>
  <si>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</si>
  <si>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</si>
  <si>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</si>
  <si>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</si>
  <si>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</si>
  <si>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</si>
  <si>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</si>
  <si>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</si>
  <si>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</si>
  <si>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</si>
  <si>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</si>
  <si>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</si>
  <si>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</si>
  <si>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</si>
  <si>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</si>
  <si>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</si>
  <si>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</si>
  <si>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</si>
  <si>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</si>
  <si>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</si>
  <si>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</si>
  <si>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</si>
  <si>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</si>
  <si>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</si>
  <si>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</si>
  <si>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</si>
  <si>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</si>
  <si>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</si>
  <si>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</si>
  <si>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</si>
  <si>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</si>
  <si>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</si>
  <si>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</si>
  <si>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</si>
  <si>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</si>
  <si>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</si>
  <si>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</si>
  <si>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</si>
  <si>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</si>
  <si>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</si>
  <si>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</si>
  <si>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</si>
  <si>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</si>
  <si>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</si>
  <si>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</si>
  <si>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</si>
  <si>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</si>
  <si>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</si>
  <si>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</si>
  <si>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</si>
  <si>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</si>
  <si>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</si>
  <si>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</si>
  <si>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</si>
  <si>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</si>
  <si>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</si>
  <si>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</si>
  <si>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</si>
  <si>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</si>
  <si>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</si>
  <si>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</si>
  <si>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</si>
  <si>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</si>
  <si>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</si>
  <si>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</si>
  <si>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</si>
  <si>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</si>
  <si>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</si>
  <si>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</si>
  <si>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</si>
  <si>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</si>
  <si>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</si>
  <si>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</si>
  <si>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</si>
  <si>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</si>
  <si>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</si>
  <si>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</si>
  <si>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</si>
  <si>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</si>
  <si>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</si>
  <si>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</si>
  <si>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</si>
  <si>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</si>
  <si>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</si>
  <si>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</si>
  <si>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</si>
  <si>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</si>
  <si>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</si>
  <si>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</si>
  <si>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</si>
  <si>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</si>
  <si>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</si>
  <si>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</si>
  <si>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</si>
  <si>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</si>
  <si>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</si>
  <si>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</si>
  <si>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</si>
  <si>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</si>
  <si>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</si>
  <si>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</si>
  <si>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</si>
  <si>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</si>
  <si>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</si>
  <si>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</si>
  <si>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</si>
  <si>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</si>
  <si>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</si>
  <si>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</si>
  <si>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</si>
  <si>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</si>
  <si>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</si>
  <si>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</si>
  <si>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</si>
  <si>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</si>
  <si>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</si>
  <si>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</si>
  <si>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</si>
  <si>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</si>
  <si>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</si>
  <si>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</si>
  <si>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</si>
  <si>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</si>
  <si>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</si>
  <si>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</si>
  <si>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</si>
  <si>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</si>
  <si>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</si>
  <si>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</si>
  <si>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</si>
  <si>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</si>
  <si>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</si>
  <si>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</si>
  <si>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</si>
  <si>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</si>
  <si>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</si>
  <si>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</si>
  <si>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</si>
  <si>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</si>
  <si>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</si>
  <si>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</si>
  <si>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</si>
  <si>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</si>
  <si>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</si>
  <si>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</si>
  <si>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</si>
  <si>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</si>
  <si>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</si>
  <si>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</si>
  <si>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</si>
  <si>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</si>
  <si>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</si>
  <si>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</si>
  <si>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</si>
  <si>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</si>
  <si>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</si>
  <si>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</si>
  <si>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</si>
  <si>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</si>
  <si>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</si>
  <si>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</si>
  <si>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</si>
  <si>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</si>
  <si>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</si>
  <si>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</si>
  <si>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</si>
  <si>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</si>
  <si>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</si>
  <si>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</si>
  <si>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</si>
  <si>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</si>
  <si>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</si>
  <si>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</si>
  <si>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</si>
  <si>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</si>
  <si>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</si>
  <si>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</si>
  <si>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</si>
  <si>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</si>
  <si>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</si>
  <si>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</si>
  <si>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</si>
  <si>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</si>
  <si>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</si>
  <si>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</si>
  <si>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</si>
  <si>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</si>
  <si>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</si>
  <si>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</si>
  <si>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</si>
  <si>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</si>
  <si>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</si>
  <si>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</si>
  <si>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</si>
  <si>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</si>
  <si>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</si>
  <si>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</si>
  <si>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</si>
  <si>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</si>
  <si>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</si>
  <si>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</si>
  <si>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</si>
  <si>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</si>
  <si>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</si>
  <si>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</si>
  <si>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</si>
  <si>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</si>
  <si>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</si>
  <si>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</si>
  <si>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</si>
  <si>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</si>
  <si>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</si>
  <si>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</si>
  <si>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</si>
  <si>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</si>
  <si>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</si>
  <si>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</si>
  <si>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</si>
  <si>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</si>
  <si>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</si>
  <si>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</si>
  <si>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</si>
  <si>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</si>
  <si>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</si>
  <si>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</si>
  <si>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</si>
  <si>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</si>
  <si>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</si>
  <si>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</si>
  <si>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</si>
  <si>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</si>
  <si>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</si>
  <si>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</si>
  <si>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</si>
  <si>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</si>
  <si>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</si>
  <si>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</si>
  <si>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</si>
  <si>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</si>
  <si>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</si>
  <si>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</si>
  <si>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</si>
  <si>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</si>
  <si>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</si>
  <si>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</si>
  <si>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</si>
  <si>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</si>
  <si>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</si>
  <si>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</si>
  <si>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</si>
  <si>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</si>
  <si>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</si>
  <si>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</si>
  <si>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</si>
  <si>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</si>
  <si>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</si>
  <si>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</si>
  <si>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</si>
  <si>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</si>
  <si>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</si>
  <si>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</si>
  <si>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</si>
  <si>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</si>
  <si>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</si>
  <si>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</si>
  <si>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</si>
  <si>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</si>
  <si>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</si>
  <si>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</si>
  <si>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</si>
  <si>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</si>
  <si>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</si>
  <si>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</si>
  <si>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</si>
  <si>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</si>
  <si>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</si>
  <si>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</si>
  <si>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</si>
  <si>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</si>
  <si>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</si>
  <si>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</si>
  <si>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</si>
  <si>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</si>
  <si>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</si>
  <si>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</si>
  <si>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</si>
  <si>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</si>
  <si>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</si>
  <si>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</si>
  <si>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</si>
  <si>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</si>
  <si>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</si>
  <si>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</si>
  <si>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</si>
  <si>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</si>
  <si>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</si>
  <si>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</si>
  <si>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</si>
  <si>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</si>
  <si>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</si>
  <si>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</si>
  <si>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</si>
  <si>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</si>
  <si>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</si>
  <si>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</si>
  <si>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</si>
  <si>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</si>
  <si>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</si>
  <si>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</si>
  <si>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</si>
  <si>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</si>
  <si>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</si>
  <si>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</si>
  <si>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</si>
  <si>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</si>
  <si>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</si>
  <si>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</si>
  <si>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</si>
  <si>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</si>
  <si>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</si>
  <si>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</si>
  <si>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</si>
  <si>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</si>
  <si>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</si>
  <si>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</si>
  <si>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</si>
  <si>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</si>
  <si>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</si>
  <si>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</si>
  <si>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</si>
  <si>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</si>
  <si>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</si>
  <si>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</si>
  <si>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</si>
  <si>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</si>
  <si>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</si>
  <si>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</si>
  <si>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</si>
  <si>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</si>
  <si>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</si>
  <si>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</si>
  <si>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</si>
  <si>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</si>
  <si>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</si>
  <si>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</si>
  <si>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</si>
  <si>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</si>
  <si>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</si>
  <si>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</si>
  <si>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</si>
  <si>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</si>
  <si>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</si>
  <si>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</si>
  <si>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</si>
  <si>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</si>
  <si>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</si>
  <si>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</si>
  <si>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</si>
  <si>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</si>
  <si>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</si>
  <si>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</si>
  <si>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</si>
  <si>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</si>
  <si>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</si>
  <si>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</si>
  <si>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</si>
  <si>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</si>
  <si>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</si>
  <si>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</si>
  <si>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</si>
  <si>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</si>
  <si>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</si>
  <si>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</si>
  <si>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</si>
  <si>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</si>
  <si>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</si>
  <si>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</si>
  <si>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</si>
  <si>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</si>
  <si>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</si>
  <si>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</si>
  <si>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</si>
  <si>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</si>
  <si>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</si>
  <si>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</si>
  <si>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</si>
  <si>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</si>
  <si>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</si>
  <si>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</si>
  <si>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</si>
  <si>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</si>
  <si>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</si>
  <si>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</si>
  <si>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</si>
  <si>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</si>
  <si>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</si>
  <si>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</si>
  <si>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</si>
  <si>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</si>
  <si>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</si>
  <si>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</si>
  <si>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</si>
  <si>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</si>
  <si>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</si>
  <si>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</si>
  <si>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</si>
  <si>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</si>
  <si>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</si>
  <si>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</si>
  <si>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</si>
  <si>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</si>
  <si>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</si>
  <si>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</si>
  <si>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</si>
  <si>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</si>
  <si>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</si>
  <si>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</si>
  <si>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</si>
  <si>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</si>
  <si>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</si>
  <si>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</si>
  <si>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</si>
  <si>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</si>
  <si>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</si>
  <si>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</si>
  <si>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</si>
  <si>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</si>
  <si>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</si>
  <si>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</si>
  <si>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</si>
  <si>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</si>
  <si>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</si>
  <si>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</si>
  <si>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</si>
  <si>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</si>
  <si>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</si>
  <si>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</si>
  <si>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</si>
  <si>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</si>
  <si>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</si>
  <si>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</si>
  <si>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</si>
  <si>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</si>
  <si>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</si>
  <si>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</si>
  <si>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</si>
  <si>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</si>
  <si>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</si>
  <si>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</si>
  <si>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</si>
  <si>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</si>
  <si>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</si>
  <si>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</si>
  <si>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</si>
  <si>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</si>
  <si>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</si>
  <si>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</si>
  <si>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</si>
  <si>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</si>
  <si>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</si>
  <si>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</si>
  <si>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</si>
  <si>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</si>
  <si>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</si>
  <si>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</si>
  <si>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</si>
  <si>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</si>
  <si>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</si>
  <si>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</si>
  <si>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</si>
  <si>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</si>
  <si>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</si>
  <si>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</si>
  <si>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</si>
  <si>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</si>
  <si>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</si>
  <si>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</si>
  <si>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</si>
  <si>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</si>
  <si>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</si>
  <si>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</si>
  <si>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</si>
  <si>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</si>
  <si>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</si>
  <si>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</si>
  <si>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</si>
  <si>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</si>
  <si>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</si>
  <si>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</si>
  <si>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</si>
  <si>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</si>
  <si>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</si>
  <si>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</si>
  <si>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</si>
  <si>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</si>
  <si>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</si>
  <si>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</si>
  <si>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</si>
  <si>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</si>
  <si>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</si>
  <si>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</si>
  <si>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</si>
  <si>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</si>
  <si>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</si>
  <si>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</si>
  <si>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</si>
  <si>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</si>
  <si>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</si>
  <si>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</si>
  <si>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</si>
  <si>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</si>
  <si>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</si>
  <si>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</si>
  <si>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</si>
  <si>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</si>
  <si>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</si>
  <si>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</si>
  <si>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</si>
  <si>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</si>
  <si>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</si>
  <si>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</si>
  <si>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</si>
  <si>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</si>
  <si>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</si>
  <si>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</si>
  <si>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</si>
  <si>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</si>
  <si>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</si>
  <si>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</si>
  <si>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</si>
  <si>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</si>
  <si>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</si>
  <si>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</si>
  <si>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</si>
  <si>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</si>
  <si>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</si>
  <si>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</si>
  <si>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</si>
  <si>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</si>
  <si>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</si>
  <si>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</si>
  <si>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</si>
  <si>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</si>
  <si>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</si>
  <si>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</si>
  <si>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</si>
  <si>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</si>
  <si>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</si>
  <si>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</si>
  <si>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</si>
  <si>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</si>
  <si>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</si>
  <si>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</si>
  <si>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</si>
  <si>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</si>
  <si>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</si>
  <si>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</si>
  <si>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</si>
  <si>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</si>
  <si>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</si>
  <si>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</si>
  <si>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</si>
  <si>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</si>
  <si>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</si>
  <si>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</si>
  <si>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</si>
  <si>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</si>
  <si>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</si>
  <si>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</si>
  <si>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</si>
  <si>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</si>
  <si>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</si>
  <si>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</si>
  <si>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</si>
  <si>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</si>
  <si>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</si>
  <si>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</si>
  <si>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</si>
  <si>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</si>
  <si>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</si>
  <si>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</si>
  <si>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</si>
  <si>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</si>
  <si>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</si>
  <si>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</si>
  <si>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</si>
  <si>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</si>
  <si>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</si>
  <si>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</si>
  <si>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</si>
  <si>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</si>
  <si>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</si>
  <si>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</si>
  <si>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</si>
  <si>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</si>
  <si>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</si>
  <si>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</si>
  <si>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</si>
  <si>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</si>
  <si>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</si>
  <si>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</si>
  <si>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</si>
  <si>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</si>
  <si>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</si>
  <si>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</si>
  <si>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</si>
  <si>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</si>
  <si>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</si>
  <si>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</si>
  <si>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</si>
  <si>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</si>
  <si>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</si>
  <si>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</si>
  <si>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</si>
  <si>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</si>
  <si>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</si>
  <si>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</si>
  <si>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</si>
  <si>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</si>
  <si>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</si>
  <si>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</si>
  <si>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</si>
  <si>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</si>
  <si>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</si>
  <si>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</si>
  <si>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</si>
  <si>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</si>
  <si>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</si>
  <si>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</si>
  <si>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</si>
  <si>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</si>
  <si>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</si>
  <si>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</si>
  <si>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</si>
  <si>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</si>
  <si>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</si>
  <si>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</si>
  <si>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</si>
  <si>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</si>
  <si>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</si>
  <si>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</si>
  <si>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</si>
  <si>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</si>
  <si>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</si>
  <si>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</si>
  <si>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</si>
  <si>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</si>
  <si>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</si>
  <si>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</si>
  <si>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</si>
  <si>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</si>
  <si>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</si>
  <si>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</si>
  <si>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</si>
  <si>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</si>
  <si>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</si>
  <si>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</si>
  <si>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</si>
  <si>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</si>
  <si>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</si>
  <si>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</si>
  <si>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</si>
  <si>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</si>
  <si>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</si>
  <si>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</si>
  <si>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</si>
  <si>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</si>
  <si>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</si>
  <si>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</si>
  <si>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</si>
  <si>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</si>
  <si>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</si>
  <si>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</si>
  <si>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</si>
  <si>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</si>
  <si>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</si>
  <si>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</si>
  <si>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</si>
  <si>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</si>
  <si>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</si>
  <si>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</si>
  <si>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</si>
  <si>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</si>
  <si>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</si>
  <si>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</si>
  <si>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</si>
  <si>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</si>
  <si>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</si>
  <si>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</si>
  <si>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</si>
  <si>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</si>
  <si>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</si>
  <si>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</si>
  <si>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</si>
  <si>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</si>
  <si>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</si>
  <si>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</si>
  <si>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</si>
  <si>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</si>
  <si>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</si>
  <si>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</si>
  <si>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</si>
  <si>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</si>
  <si>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</si>
  <si>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</si>
  <si>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</si>
  <si>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</si>
  <si>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</si>
  <si>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</si>
  <si>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</si>
  <si>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</si>
  <si>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</si>
  <si>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</si>
  <si>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</si>
  <si>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</si>
  <si>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</si>
  <si>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</si>
  <si>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</si>
  <si>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</si>
  <si>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</si>
  <si>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</si>
  <si>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</si>
  <si>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</si>
  <si>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</si>
  <si>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</si>
  <si>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</si>
  <si>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</si>
  <si>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</si>
  <si>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</si>
  <si>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</si>
  <si>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</si>
  <si>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</si>
  <si>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</si>
  <si>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</si>
  <si>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</si>
  <si>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</si>
  <si>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</si>
  <si>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</si>
  <si>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</si>
  <si>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</si>
  <si>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</si>
  <si>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</si>
  <si>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</si>
  <si>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</si>
  <si>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</si>
  <si>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</si>
  <si>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</si>
  <si>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</si>
  <si>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</si>
  <si>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</si>
  <si>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</si>
  <si>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</si>
  <si>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</si>
  <si>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</si>
  <si>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</si>
  <si>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</si>
  <si>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</si>
  <si>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</si>
  <si>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</si>
  <si>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</si>
  <si>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</si>
  <si>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</si>
  <si>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</si>
  <si>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</si>
  <si>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</si>
  <si>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</si>
  <si>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</si>
  <si>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</si>
  <si>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</si>
  <si>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</si>
  <si>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</si>
  <si>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</si>
  <si>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</si>
  <si>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</si>
  <si>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</si>
  <si>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</si>
  <si>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</si>
  <si>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</si>
  <si>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</si>
  <si>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</si>
  <si>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</si>
  <si>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</si>
  <si>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</si>
  <si>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</si>
  <si>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</si>
  <si>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</si>
  <si>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</si>
  <si>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</si>
  <si>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</si>
  <si>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</si>
  <si>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</si>
  <si>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</si>
  <si>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</si>
  <si>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</si>
  <si>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</si>
  <si>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</si>
  <si>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</si>
  <si>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</si>
  <si>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</si>
  <si>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</si>
  <si>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</si>
  <si>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</si>
  <si>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</si>
  <si>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</si>
  <si>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</si>
  <si>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</si>
  <si>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</si>
  <si>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</si>
  <si>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</si>
  <si>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</si>
  <si>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</si>
  <si>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</si>
  <si>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</si>
  <si>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</si>
  <si>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</si>
  <si>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</si>
  <si>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</si>
  <si>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</si>
  <si>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</si>
  <si>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</si>
  <si>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</si>
  <si>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</si>
  <si>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</si>
  <si>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</si>
  <si>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</si>
  <si>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</si>
  <si>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</si>
  <si>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</si>
  <si>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</si>
  <si>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</si>
  <si>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</si>
  <si>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</si>
  <si>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</si>
  <si>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</si>
  <si>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</si>
  <si>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</si>
  <si>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</si>
  <si>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</si>
  <si>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</si>
  <si>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</si>
  <si>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</si>
  <si>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</si>
  <si>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</si>
  <si>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</si>
  <si>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</si>
  <si>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</si>
  <si>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</si>
  <si>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</si>
  <si>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</si>
  <si>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</si>
  <si>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</si>
  <si>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</si>
  <si>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</si>
  <si>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</si>
  <si>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</si>
  <si>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</si>
  <si>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</si>
  <si>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</si>
  <si>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</si>
  <si>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</si>
  <si>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</si>
  <si>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</si>
  <si>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</si>
  <si>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</si>
  <si>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</si>
  <si>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</si>
  <si>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</si>
  <si>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</si>
  <si>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</si>
  <si>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</si>
  <si>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</si>
  <si>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</si>
  <si>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</si>
  <si>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</si>
  <si>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</si>
  <si>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</si>
  <si>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</si>
  <si>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</si>
  <si>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</si>
  <si>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</si>
  <si>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</si>
  <si>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</si>
  <si>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</si>
  <si>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</si>
  <si>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</si>
  <si>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</si>
  <si>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</si>
  <si>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</si>
  <si>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</si>
  <si>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</si>
  <si>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</si>
  <si>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</si>
  <si>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</si>
  <si>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</si>
  <si>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</si>
  <si>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</si>
  <si>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</si>
  <si>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</si>
  <si>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</si>
  <si>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</si>
  <si>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</si>
  <si>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</si>
  <si>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</si>
  <si>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</si>
  <si>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</si>
  <si>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</si>
  <si>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</si>
  <si>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</si>
  <si>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</si>
  <si>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</si>
  <si>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</si>
  <si>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</si>
  <si>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</si>
  <si>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</si>
  <si>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</si>
  <si>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</si>
  <si>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</si>
  <si>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</si>
  <si>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</si>
  <si>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</si>
  <si>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</si>
  <si>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</si>
  <si>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</si>
  <si>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</si>
  <si>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</si>
  <si>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</si>
  <si>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</si>
  <si>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</si>
  <si>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</si>
  <si>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</si>
  <si>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</si>
  <si>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</si>
  <si>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</si>
  <si>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</si>
  <si>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</si>
  <si>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</si>
  <si>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</si>
  <si>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</si>
  <si>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</si>
  <si>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</si>
  <si>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</si>
  <si>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</si>
  <si>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</si>
  <si>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</si>
  <si>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</si>
  <si>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</si>
  <si>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</si>
  <si>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</si>
  <si>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</si>
  <si>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</si>
  <si>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</si>
  <si>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</si>
  <si>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</si>
  <si>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</si>
  <si>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</si>
  <si>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</si>
  <si>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</si>
  <si>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</si>
  <si>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</si>
  <si>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</si>
  <si>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</si>
  <si>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</si>
  <si>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</si>
  <si>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</si>
  <si>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</si>
  <si>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</si>
  <si>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</si>
  <si>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</si>
  <si>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</si>
  <si>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</si>
  <si>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</si>
  <si>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</si>
  <si>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</si>
  <si>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</si>
  <si>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</si>
  <si>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</si>
  <si>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</si>
  <si>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</si>
  <si>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</si>
  <si>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</si>
  <si>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</si>
  <si>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</si>
  <si>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</si>
  <si>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</si>
  <si>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</si>
  <si>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</si>
  <si>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</si>
  <si>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</si>
  <si>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</si>
  <si>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</si>
  <si>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</si>
  <si>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</si>
  <si>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</si>
  <si>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</si>
  <si>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</si>
  <si>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</si>
  <si>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</si>
  <si>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</si>
  <si>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</si>
  <si>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</si>
  <si>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</si>
  <si>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</si>
  <si>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</si>
  <si>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</si>
  <si>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</si>
  <si>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</si>
  <si>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</si>
  <si>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</si>
  <si>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</si>
  <si>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</si>
  <si>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</si>
  <si>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</si>
  <si>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</si>
  <si>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</si>
  <si>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</si>
  <si>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</si>
  <si>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</si>
  <si>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</si>
  <si>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</si>
  <si>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</si>
  <si>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</si>
  <si>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</si>
  <si>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</si>
  <si>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</si>
  <si>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</si>
  <si>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</si>
  <si>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</si>
  <si>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</si>
  <si>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</si>
  <si>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</si>
  <si>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</si>
  <si>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</si>
  <si>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</si>
  <si>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</si>
  <si>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</si>
  <si>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</si>
  <si>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</si>
  <si>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</si>
  <si>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</si>
  <si>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</si>
  <si>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</si>
  <si>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</si>
  <si>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</si>
  <si>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</si>
  <si>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</si>
  <si>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</si>
  <si>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</si>
  <si>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</si>
  <si>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</si>
  <si>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</si>
  <si>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</si>
  <si>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</si>
  <si>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</si>
  <si>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</si>
  <si>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</si>
  <si>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</si>
  <si>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</si>
  <si>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</si>
  <si>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</si>
  <si>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</si>
  <si>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</si>
  <si>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</si>
  <si>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</si>
  <si>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</si>
  <si>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</si>
  <si>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</si>
  <si>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</si>
  <si>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</si>
  <si>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</si>
  <si>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</si>
  <si>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</si>
  <si>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</si>
  <si>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</si>
  <si>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</si>
  <si>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</si>
  <si>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</si>
  <si>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</si>
  <si>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</si>
  <si>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</si>
  <si>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</si>
  <si>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</si>
  <si>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</si>
  <si>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</si>
  <si>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</si>
  <si>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</si>
  <si>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</si>
  <si>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</si>
  <si>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</si>
  <si>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</si>
  <si>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</si>
  <si>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</si>
  <si>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</si>
  <si>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</si>
  <si>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</si>
  <si>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</si>
  <si>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</si>
  <si>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</si>
  <si>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</si>
  <si>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</si>
  <si>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</si>
  <si>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</si>
  <si>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</si>
  <si>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</si>
  <si>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</si>
  <si>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</si>
  <si>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</si>
  <si>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</si>
  <si>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</si>
  <si>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</si>
  <si>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</si>
  <si>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</si>
  <si>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</si>
  <si>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</si>
  <si>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</si>
  <si>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</si>
  <si>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</si>
  <si>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</si>
  <si>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</si>
  <si>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</si>
  <si>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</si>
  <si>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</si>
  <si>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</si>
  <si>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</si>
  <si>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</si>
  <si>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</si>
  <si>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</si>
  <si>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</si>
  <si>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</si>
  <si>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</si>
  <si>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</si>
  <si>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</si>
  <si>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</si>
  <si>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</si>
  <si>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</si>
  <si>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</si>
  <si>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</si>
  <si>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</si>
  <si>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</si>
  <si>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</si>
  <si>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</si>
  <si>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</si>
  <si>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</si>
  <si>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</si>
  <si>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</si>
  <si>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</si>
  <si>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</si>
  <si>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</si>
  <si>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</si>
  <si>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</si>
  <si>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</si>
  <si>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</si>
  <si>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</si>
  <si>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</si>
  <si>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</si>
  <si>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</si>
  <si>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</si>
  <si>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</si>
  <si>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</si>
  <si>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</si>
  <si>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</si>
  <si>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</si>
  <si>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</si>
  <si>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</si>
  <si>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</si>
  <si>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</si>
  <si>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</si>
  <si>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</si>
  <si>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</si>
  <si>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</si>
  <si>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</si>
  <si>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</si>
  <si>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</si>
  <si>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</si>
  <si>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</si>
  <si>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</si>
  <si>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</si>
  <si>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</si>
  <si>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</si>
  <si>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</si>
  <si>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</si>
  <si>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</si>
  <si>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</si>
  <si>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</si>
  <si>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</si>
  <si>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</si>
  <si>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</si>
  <si>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</si>
  <si>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</si>
  <si>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</si>
  <si>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</si>
  <si>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</si>
  <si>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</si>
  <si>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</si>
  <si>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</si>
  <si>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</si>
  <si>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</si>
  <si>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</si>
  <si>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</si>
  <si>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</si>
  <si>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</si>
  <si>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</si>
  <si>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</si>
  <si>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</si>
  <si>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</si>
  <si>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</si>
  <si>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</si>
  <si>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</si>
  <si>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</si>
  <si>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</si>
  <si>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</si>
  <si>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</si>
  <si>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</si>
  <si>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</si>
  <si>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</si>
  <si>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</si>
  <si>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</si>
  <si>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</si>
  <si>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</si>
  <si>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</si>
  <si>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</si>
  <si>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</si>
  <si>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</si>
  <si>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</si>
  <si>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</si>
  <si>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</si>
  <si>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</si>
  <si>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</si>
  <si>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</si>
  <si>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</si>
  <si>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</si>
  <si>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</si>
  <si>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</si>
  <si>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</si>
  <si>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</si>
  <si>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</si>
  <si>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</si>
  <si>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</si>
  <si>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</si>
  <si>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</si>
  <si>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</si>
  <si>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</si>
  <si>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</si>
  <si>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</si>
  <si>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</si>
  <si>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</si>
  <si>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</si>
  <si>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</si>
  <si>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</si>
  <si>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</si>
  <si>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</si>
  <si>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</si>
  <si>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</si>
  <si>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</si>
  <si>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</si>
  <si>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</si>
  <si>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</si>
  <si>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</si>
  <si>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</si>
  <si>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</si>
  <si>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</si>
  <si>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</si>
  <si>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</si>
  <si>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</si>
  <si>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</si>
  <si>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</si>
  <si>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</si>
  <si>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</si>
  <si>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</si>
  <si>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</si>
  <si>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</si>
  <si>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</si>
  <si>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</si>
  <si>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</si>
  <si>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</si>
  <si>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</si>
  <si>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</si>
  <si>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</si>
  <si>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</si>
  <si>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</si>
  <si>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</si>
  <si>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</si>
  <si>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</si>
  <si>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</si>
  <si>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</si>
  <si>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</si>
  <si>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</si>
  <si>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</si>
  <si>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</si>
  <si>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</si>
  <si>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</si>
  <si>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</si>
  <si>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</si>
  <si>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</si>
  <si>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</si>
  <si>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</si>
  <si>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</si>
  <si>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</si>
  <si>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</si>
  <si>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</si>
  <si>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</si>
  <si>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</si>
  <si>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</si>
  <si>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</si>
  <si>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</si>
  <si>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</si>
  <si>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</si>
  <si>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</si>
  <si>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</si>
  <si>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</si>
  <si>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</si>
  <si>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</si>
  <si>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</si>
  <si>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</si>
  <si>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</si>
  <si>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</si>
  <si>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</si>
  <si>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</si>
  <si>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</si>
  <si>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</si>
  <si>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</si>
  <si>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</si>
  <si>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</si>
  <si>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</si>
  <si>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</si>
  <si>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</si>
  <si>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</si>
  <si>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</si>
  <si>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</si>
  <si>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</si>
  <si>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</si>
  <si>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</si>
  <si>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</si>
  <si>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</si>
  <si>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</si>
  <si>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</si>
  <si>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</si>
  <si>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</si>
  <si>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</si>
  <si>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</si>
  <si>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</si>
  <si>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</si>
  <si>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</si>
  <si>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</si>
  <si>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</si>
  <si>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</si>
  <si>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</si>
  <si>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</si>
  <si>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</si>
  <si>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</si>
  <si>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</si>
  <si>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</si>
  <si>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</si>
  <si>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</si>
  <si>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</si>
  <si>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</si>
  <si>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</si>
  <si>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</si>
  <si>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</si>
  <si>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</si>
  <si>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</si>
  <si>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</si>
  <si>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</si>
  <si>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</si>
  <si>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</si>
  <si>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</si>
  <si>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</si>
  <si>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</si>
  <si>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</si>
  <si>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</si>
  <si>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</si>
  <si>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</si>
  <si>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</si>
  <si>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</si>
  <si>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</si>
  <si>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</si>
  <si>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</si>
  <si>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</si>
  <si>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</si>
  <si>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</si>
  <si>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</si>
  <si>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</si>
  <si>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</si>
  <si>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</si>
  <si>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</si>
  <si>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</si>
  <si>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</si>
  <si>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</si>
  <si>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</si>
  <si>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</si>
  <si>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</si>
  <si>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</si>
  <si>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</si>
  <si>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</si>
  <si>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</si>
  <si>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</si>
  <si>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</si>
  <si>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</si>
  <si>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</si>
  <si>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</si>
  <si>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</si>
  <si>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</si>
  <si>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</si>
  <si>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</si>
  <si>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</si>
  <si>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</si>
  <si>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</si>
  <si>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</si>
  <si>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</si>
  <si>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</si>
  <si>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</si>
  <si>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</si>
  <si>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</si>
  <si>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</si>
  <si>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</si>
  <si>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</si>
  <si>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</si>
  <si>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</si>
  <si>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</si>
  <si>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</si>
  <si>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</si>
  <si>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</si>
  <si>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</si>
  <si>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</si>
  <si>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</si>
  <si>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</si>
  <si>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</si>
  <si>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</si>
  <si>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</si>
  <si>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</si>
  <si>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</si>
  <si>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</si>
  <si>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</si>
  <si>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</si>
  <si>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</si>
  <si>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</si>
  <si>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</si>
  <si>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</si>
  <si>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</si>
  <si>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</si>
  <si>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</si>
  <si>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</si>
  <si>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</si>
  <si>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</si>
  <si>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</si>
  <si>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</si>
  <si>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</si>
  <si>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</si>
  <si>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</si>
  <si>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</si>
  <si>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</si>
  <si>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</si>
  <si>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</si>
  <si>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</si>
  <si>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</si>
  <si>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</si>
  <si>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</si>
  <si>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</si>
  <si>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</si>
  <si>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</si>
  <si>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</si>
  <si>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</si>
  <si>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</si>
  <si>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</si>
  <si>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</si>
  <si>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</si>
  <si>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</si>
  <si>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</si>
  <si>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</si>
  <si>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</si>
  <si>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</si>
  <si>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</si>
  <si>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</si>
  <si>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</si>
  <si>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</si>
  <si>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</si>
  <si>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</si>
  <si>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</si>
  <si>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</si>
  <si>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</si>
  <si>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</si>
  <si>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</si>
  <si>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</si>
  <si>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</si>
  <si>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</si>
  <si>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</si>
  <si>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</si>
  <si>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</si>
  <si>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</si>
  <si>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</si>
  <si>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</si>
  <si>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</si>
  <si>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</si>
  <si>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</si>
  <si>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</si>
  <si>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</si>
  <si>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</si>
  <si>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</si>
  <si>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</si>
  <si>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</si>
  <si>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</si>
  <si>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</si>
  <si>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</si>
  <si>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</si>
  <si>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</si>
  <si>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</si>
  <si>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</si>
  <si>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</si>
  <si>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</si>
  <si>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</si>
  <si>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</si>
  <si>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</si>
  <si>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</si>
  <si>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</si>
  <si>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</si>
  <si>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</si>
  <si>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</si>
  <si>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</si>
  <si>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</si>
  <si>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</si>
  <si>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</si>
  <si>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</si>
  <si>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</si>
  <si>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</si>
  <si>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</si>
  <si>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</si>
  <si>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</si>
  <si>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</si>
  <si>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</si>
  <si>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</si>
  <si>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</si>
  <si>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</si>
  <si>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</si>
  <si>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</si>
  <si>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</si>
  <si>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</si>
  <si>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</si>
  <si>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</si>
  <si>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</si>
  <si>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</si>
  <si>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</si>
  <si>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</si>
  <si>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</si>
  <si>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</si>
  <si>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</si>
  <si>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</si>
  <si>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</si>
  <si>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</si>
  <si>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</si>
  <si>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</si>
  <si>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</si>
  <si>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</si>
  <si>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</si>
  <si>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</si>
  <si>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</si>
  <si>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</si>
  <si>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</si>
  <si>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</si>
  <si>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</si>
  <si>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</si>
  <si>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</si>
  <si>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</si>
  <si>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</si>
  <si>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</si>
  <si>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</si>
  <si>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</si>
  <si>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</si>
  <si>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</si>
  <si>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</si>
  <si>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</si>
  <si>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</si>
  <si>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</si>
  <si>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</si>
  <si>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</si>
  <si>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</si>
  <si>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</si>
  <si>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</si>
  <si>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</si>
  <si>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</si>
  <si>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</si>
  <si>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</si>
  <si>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</si>
  <si>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</si>
  <si>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</si>
  <si>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</si>
  <si>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</si>
  <si>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</si>
  <si>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</si>
  <si>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</si>
  <si>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</si>
  <si>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</si>
  <si>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</si>
  <si>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</si>
  <si>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</si>
  <si>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</si>
  <si>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</si>
  <si>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</si>
  <si>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</si>
  <si>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</si>
  <si>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</si>
  <si>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</si>
  <si>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</si>
  <si>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</si>
  <si>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</si>
  <si>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</si>
  <si>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</si>
  <si>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</si>
  <si>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</si>
  <si>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</si>
  <si>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</si>
  <si>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</si>
  <si>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</si>
  <si>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</si>
  <si>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</si>
  <si>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</si>
  <si>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</si>
  <si>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</si>
  <si>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</si>
  <si>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</si>
  <si>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</si>
  <si>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</si>
  <si>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</si>
  <si>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</si>
  <si>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</si>
  <si>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</si>
  <si>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</si>
  <si>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</si>
  <si>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</si>
  <si>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</si>
  <si>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</si>
  <si>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</si>
  <si>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</si>
  <si>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</si>
  <si>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</si>
  <si>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</si>
  <si>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</si>
  <si>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</si>
  <si>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</si>
  <si>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</si>
  <si>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</si>
  <si>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</si>
  <si>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</si>
  <si>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</si>
  <si>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</si>
  <si>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</si>
  <si>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</si>
  <si>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</si>
  <si>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</si>
  <si>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</si>
  <si>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</si>
  <si>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</si>
  <si>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</si>
  <si>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</si>
  <si>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</si>
  <si>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</si>
  <si>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</si>
  <si>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</si>
  <si>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</si>
  <si>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</si>
  <si>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</si>
  <si>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</si>
  <si>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</si>
  <si>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</si>
  <si>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</si>
  <si>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</si>
  <si>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</si>
  <si>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</si>
  <si>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</si>
  <si>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</si>
  <si>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</si>
  <si>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</si>
  <si>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</si>
  <si>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</si>
  <si>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</si>
  <si>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</si>
  <si>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</si>
  <si>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</si>
  <si>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</si>
  <si>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</si>
  <si>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</si>
  <si>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</si>
  <si>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</si>
  <si>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</si>
  <si>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</si>
  <si>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</si>
  <si>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</si>
  <si>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</si>
  <si>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</si>
  <si>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</si>
  <si>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</si>
  <si>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</si>
  <si>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</si>
  <si>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</si>
  <si>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</si>
  <si>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</si>
  <si>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</si>
  <si>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</si>
  <si>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</si>
  <si>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</si>
  <si>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</si>
  <si>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</si>
  <si>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</si>
  <si>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</si>
  <si>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</si>
  <si>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</si>
  <si>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</si>
  <si>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</si>
  <si>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</si>
  <si>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</si>
  <si>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</si>
  <si>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</si>
  <si>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</si>
  <si>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</si>
  <si>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</si>
  <si>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</si>
  <si>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</si>
  <si>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</si>
  <si>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</si>
  <si>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</si>
  <si>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</si>
  <si>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</si>
  <si>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</si>
  <si>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</si>
  <si>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</si>
  <si>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</si>
  <si>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</si>
  <si>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</si>
  <si>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</si>
  <si>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</si>
  <si>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</si>
  <si>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</si>
  <si>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</si>
  <si>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</si>
  <si>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</si>
  <si>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</si>
  <si>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</si>
  <si>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</si>
  <si>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</si>
  <si>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</si>
  <si>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</si>
  <si>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</si>
  <si>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</si>
  <si>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</si>
  <si>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</si>
  <si>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</si>
  <si>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</si>
  <si>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</si>
  <si>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</si>
  <si>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</si>
  <si>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</si>
  <si>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</si>
  <si>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</si>
  <si>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</si>
  <si>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</si>
  <si>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</si>
  <si>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</si>
  <si>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</si>
  <si>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</si>
  <si>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</si>
  <si>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</si>
  <si>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</si>
  <si>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</si>
  <si>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</si>
  <si>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</si>
  <si>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</si>
  <si>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</si>
  <si>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</si>
  <si>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</si>
  <si>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</si>
  <si>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</si>
  <si>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</si>
  <si>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</si>
  <si>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</si>
  <si>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</si>
  <si>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</si>
  <si>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</si>
  <si>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</si>
  <si>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</si>
  <si>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</si>
  <si>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</si>
  <si>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</si>
  <si>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</si>
  <si>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</si>
  <si>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</si>
  <si>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</si>
  <si>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</si>
  <si>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</si>
  <si>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</si>
  <si>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</si>
  <si>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</si>
  <si>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</si>
  <si>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</si>
  <si>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</si>
  <si>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</si>
  <si>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</si>
  <si>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</si>
  <si>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</si>
  <si>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</si>
  <si>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</si>
  <si>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</si>
  <si>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</si>
  <si>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</si>
  <si>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</si>
  <si>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</si>
  <si>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</si>
  <si>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</si>
  <si>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</si>
  <si>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</si>
  <si>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</si>
  <si>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</si>
  <si>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</si>
  <si>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</si>
  <si>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</si>
  <si>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</si>
  <si>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</si>
  <si>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</si>
  <si>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</si>
  <si>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</si>
  <si>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</si>
  <si>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</si>
  <si>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</si>
  <si>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</si>
  <si>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</si>
  <si>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</si>
  <si>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</si>
  <si>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</si>
  <si>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</si>
  <si>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</si>
  <si>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</si>
  <si>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</si>
  <si>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</si>
  <si>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</si>
  <si>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</si>
  <si>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</si>
  <si>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</si>
  <si>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</si>
  <si>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</si>
  <si>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</si>
  <si>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</si>
  <si>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</si>
  <si>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</si>
  <si>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</si>
  <si>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</si>
  <si>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</si>
  <si>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</si>
  <si>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</si>
  <si>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</si>
  <si>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</si>
  <si>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</si>
  <si>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</si>
  <si>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</si>
  <si>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</si>
  <si>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</si>
  <si>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</si>
  <si>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</si>
  <si>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</si>
  <si>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</si>
  <si>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</si>
  <si>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</si>
  <si>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</si>
  <si>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</si>
  <si>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</si>
  <si>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</si>
  <si>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</si>
  <si>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</si>
  <si>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</si>
  <si>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</si>
  <si>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</si>
  <si>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</si>
  <si>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</si>
  <si>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</si>
  <si>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</si>
  <si>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</si>
  <si>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</si>
  <si>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</si>
  <si>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</si>
  <si>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</si>
  <si>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</si>
  <si>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</si>
  <si>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</si>
  <si>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</si>
  <si>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</si>
  <si>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</si>
  <si>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</si>
  <si>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</si>
  <si>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</si>
  <si>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</si>
  <si>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</si>
  <si>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</si>
  <si>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</si>
  <si>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</si>
  <si>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</si>
  <si>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</si>
  <si>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</si>
  <si>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</si>
  <si>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</si>
  <si>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</si>
  <si>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</si>
  <si>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</si>
  <si>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</si>
  <si>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</si>
  <si>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</si>
  <si>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</si>
  <si>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</si>
  <si>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</si>
  <si>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</si>
  <si>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</si>
  <si>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</si>
  <si>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</si>
  <si>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</si>
  <si>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</si>
  <si>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</si>
  <si>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</si>
  <si>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</si>
  <si>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</si>
  <si>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</si>
  <si>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</si>
  <si>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</si>
  <si>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</si>
  <si>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</si>
  <si>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</si>
  <si>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</si>
  <si>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</si>
  <si>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</si>
  <si>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</si>
  <si>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</si>
  <si>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</si>
  <si>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</si>
  <si>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</si>
  <si>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</si>
  <si>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</si>
  <si>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</si>
  <si>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</si>
  <si>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</si>
  <si>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</si>
  <si>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</si>
  <si>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</si>
  <si>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</si>
  <si>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</si>
  <si>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</si>
  <si>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</si>
  <si>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</si>
  <si>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</si>
  <si>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</si>
  <si>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</si>
  <si>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</si>
  <si>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</si>
  <si>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</si>
  <si>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</si>
  <si>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</si>
  <si>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</si>
  <si>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</si>
  <si>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</si>
  <si>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</si>
  <si>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</si>
  <si>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</si>
  <si>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</si>
  <si>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</si>
  <si>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</si>
  <si>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</si>
  <si>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</si>
  <si>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</si>
  <si>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</si>
  <si>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</si>
  <si>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</si>
  <si>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</si>
  <si>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</si>
  <si>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</si>
  <si>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</si>
  <si>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</si>
  <si>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</si>
  <si>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</si>
  <si>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</si>
  <si>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</si>
  <si>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</si>
  <si>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</si>
  <si>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</si>
  <si>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</si>
  <si>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</si>
  <si>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</si>
  <si>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</si>
  <si>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</si>
  <si>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</si>
  <si>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</si>
  <si>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</si>
  <si>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</si>
  <si>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</si>
  <si>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</si>
  <si>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</si>
  <si>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</si>
  <si>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</si>
  <si>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</si>
  <si>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</si>
  <si>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</si>
  <si>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</si>
  <si>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</si>
  <si>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</si>
  <si>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</si>
  <si>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</si>
  <si>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</si>
  <si>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</si>
  <si>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</si>
  <si>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</si>
  <si>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</si>
  <si>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</si>
  <si>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</si>
  <si>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</si>
  <si>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</si>
  <si>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</si>
  <si>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</si>
  <si>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</si>
  <si>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</si>
  <si>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</si>
  <si>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</si>
  <si>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</si>
  <si>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</si>
  <si>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</si>
  <si>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</si>
  <si>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</si>
  <si>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</si>
  <si>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</si>
  <si>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</si>
  <si>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</si>
  <si>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</si>
  <si>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</si>
  <si>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</si>
  <si>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</si>
  <si>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</si>
  <si>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</si>
  <si>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</si>
  <si>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</si>
  <si>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</si>
  <si>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</si>
  <si>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</si>
  <si>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</si>
  <si>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</si>
  <si>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</si>
  <si>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</si>
  <si>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</si>
  <si>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</si>
  <si>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</si>
  <si>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</si>
  <si>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</si>
  <si>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</si>
  <si>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</si>
  <si>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</si>
  <si>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</si>
  <si>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</si>
  <si>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</si>
  <si>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</si>
  <si>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</si>
  <si>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</si>
  <si>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</si>
  <si>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</si>
  <si>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</si>
  <si>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</si>
  <si>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</si>
  <si>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</si>
  <si>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</si>
  <si>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</si>
  <si>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</si>
  <si>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</si>
  <si>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</si>
  <si>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</si>
  <si>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</si>
  <si>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</si>
  <si>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</si>
  <si>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</si>
  <si>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</si>
  <si>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</si>
  <si>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</si>
  <si>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</si>
  <si>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</si>
  <si>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</si>
  <si>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</si>
  <si>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</si>
  <si>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</si>
  <si>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Precentage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</si>
  <si>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</si>
  <si>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</si>
  <si>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</si>
  <si>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</si>
  <si>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</si>
  <si>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</si>
  <si>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</si>
  <si>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</si>
  <si>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</si>
  <si>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</si>
  <si>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</si>
  <si>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</si>
  <si>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</si>
  <si>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</si>
  <si>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</si>
  <si>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</si>
  <si>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</si>
  <si>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</si>
  <si>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</si>
  <si>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</si>
  <si>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</si>
  <si>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</si>
  <si>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</si>
  <si>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</si>
  <si>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</si>
  <si>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</si>
  <si>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</si>
  <si>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</si>
  <si>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</si>
  <si>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</si>
  <si>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</si>
  <si>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</si>
  <si>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</si>
  <si>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</si>
  <si>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</si>
  <si>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</si>
  <si>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</si>
  <si>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</si>
  <si>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</si>
  <si>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</si>
  <si>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</si>
  <si>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</si>
  <si>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</si>
  <si>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</si>
  <si>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</si>
  <si>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</si>
  <si>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</si>
  <si>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</si>
  <si>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</si>
  <si>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</si>
  <si>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</si>
  <si>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</si>
  <si>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</si>
  <si>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Etiquetas de columna</t>
  </si>
  <si>
    <t>Total general</t>
  </si>
  <si>
    <t>Etiquetas de fila</t>
  </si>
  <si>
    <t>Cuenta de outcomes</t>
  </si>
  <si>
    <t>(Todas)</t>
  </si>
  <si>
    <t>Date Created Conversion</t>
  </si>
  <si>
    <t>Deadline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</si>
  <si>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</si>
  <si>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</si>
  <si>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</si>
  <si>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</si>
  <si>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</si>
  <si>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</si>
  <si>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</si>
  <si>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</si>
  <si>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</si>
  <si>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</si>
  <si>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</si>
  <si>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</si>
  <si>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Goal</t>
  </si>
  <si>
    <t>Years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</si>
  <si>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</si>
  <si>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</si>
  <si>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</si>
  <si>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</si>
  <si>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</si>
  <si>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</si>
  <si>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</si>
  <si>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</si>
  <si>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</si>
  <si>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</si>
  <si>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</si>
  <si>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</si>
  <si>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</si>
  <si>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</si>
  <si>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</si>
  <si>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</si>
  <si>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</si>
  <si>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Number Canceled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</si>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</sst>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84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8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Theater Outcomes based on Lauch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F-294B-AAAD-F65A4585132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F-294B-AAAD-F65A4585132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F-294B-AAAD-F65A4585132C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F-294B-AAAD-F65A4585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80767"/>
        <c:axId val="345033839"/>
      </c:lineChart>
      <c:catAx>
        <c:axId val="3450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033839"/>
        <c:crosses val="autoZero"/>
        <c:auto val="1"/>
        <c:lblAlgn val="ctr"/>
        <c:lblOffset val="100"/>
        <c:noMultiLvlLbl val="0"/>
      </c:catAx>
      <c:valAx>
        <c:axId val="34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D-6D42-B9B0-EA5F7EBA887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D-6D42-B9B0-EA5F7EBA887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D-6D42-B9B0-EA5F7EBA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69663"/>
        <c:axId val="493674495"/>
      </c:lineChart>
      <c:catAx>
        <c:axId val="367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674495"/>
        <c:crosses val="autoZero"/>
        <c:auto val="1"/>
        <c:lblAlgn val="ctr"/>
        <c:lblOffset val="100"/>
        <c:noMultiLvlLbl val="0"/>
      </c:catAx>
      <c:valAx>
        <c:axId val="4936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20</xdr:row>
      <xdr:rowOff>12700</xdr:rowOff>
    </xdr:from>
    <xdr:to>
      <xdr:col>6</xdr:col>
      <xdr:colOff>508000</xdr:colOff>
      <xdr:row>35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C68BB-0294-0B4A-BAE7-3E72E2D97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12700</xdr:rowOff>
    </xdr:from>
    <xdr:to>
      <xdr:col>6</xdr:col>
      <xdr:colOff>1041400</xdr:colOff>
      <xdr:row>28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BED5F5-A8F0-D74C-BF3C-A7317016A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1.548833217596" createdVersion="7" refreshedVersion="7" minRefreshableVersion="3" recordCount="4114" xr:uid="{4B3914AC-FFF3-E448-A1B0-FE069BFE83E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re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/05/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Trimestres" numFmtId="0" databaseField="0">
      <fieldGroup base="18">
        <rangePr groupBy="quarters" startDate="2009-05-17T03:55:13" endDate="2017-03-15T15:30:07"/>
        <groupItems count="6">
          <s v="&lt;17/05/09"/>
          <s v="Trim.1"/>
          <s v="Trim.2"/>
          <s v="Trim.3"/>
          <s v="Trim.4"/>
          <s v="&gt;15/03/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715C-2716-3B43-AA6B-6F7BB89B8CAB}" name="TablaDiná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uenta de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2AE9-4271-FC46-85EF-C4CC9439C30E}">
  <dimension ref="A1:F18"/>
  <sheetViews>
    <sheetView tabSelected="1" workbookViewId="0">
      <selection activeCell="F19" sqref="F19"/>
    </sheetView>
  </sheetViews>
  <sheetFormatPr baseColWidth="10" defaultRowHeight="15" x14ac:dyDescent="0.2"/>
  <cols>
    <col min="1" max="1" width="17.1640625" bestFit="1" customWidth="1"/>
    <col min="2" max="2" width="20.33203125" bestFit="1" customWidth="1"/>
    <col min="3" max="3" width="4" bestFit="1" customWidth="1"/>
    <col min="4" max="4" width="5.5" bestFit="1" customWidth="1"/>
    <col min="5" max="5" width="8.1640625" bestFit="1" customWidth="1"/>
    <col min="6" max="6" width="11.1640625" bestFit="1" customWidth="1"/>
  </cols>
  <sheetData>
    <row r="1" spans="1:6" x14ac:dyDescent="0.2">
      <c r="A1" s="12" t="s">
        <v>8380</v>
      </c>
      <c r="B1" t="s">
        <v>8364</v>
      </c>
    </row>
    <row r="2" spans="1:6" x14ac:dyDescent="0.2">
      <c r="A2" s="12" t="s">
        <v>8358</v>
      </c>
      <c r="B2" t="s">
        <v>8315</v>
      </c>
    </row>
    <row r="4" spans="1:6" x14ac:dyDescent="0.2">
      <c r="A4" s="12" t="s">
        <v>8363</v>
      </c>
      <c r="B4" s="12" t="s">
        <v>8360</v>
      </c>
    </row>
    <row r="5" spans="1:6" x14ac:dyDescent="0.2">
      <c r="A5" s="12" t="s">
        <v>8362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 x14ac:dyDescent="0.2">
      <c r="A6" s="15" t="s">
        <v>8373</v>
      </c>
      <c r="B6" s="13">
        <v>56</v>
      </c>
      <c r="C6" s="13">
        <v>2</v>
      </c>
      <c r="D6" s="13">
        <v>33</v>
      </c>
      <c r="E6" s="13">
        <v>7</v>
      </c>
      <c r="F6" s="13">
        <v>98</v>
      </c>
    </row>
    <row r="7" spans="1:6" x14ac:dyDescent="0.2">
      <c r="A7" s="15" t="s">
        <v>8374</v>
      </c>
      <c r="B7" s="13">
        <v>71</v>
      </c>
      <c r="C7" s="13">
        <v>8</v>
      </c>
      <c r="D7" s="13">
        <v>39</v>
      </c>
      <c r="E7" s="13">
        <v>3</v>
      </c>
      <c r="F7" s="13">
        <v>121</v>
      </c>
    </row>
    <row r="8" spans="1:6" x14ac:dyDescent="0.2">
      <c r="A8" s="15" t="s">
        <v>8375</v>
      </c>
      <c r="B8" s="13">
        <v>56</v>
      </c>
      <c r="C8" s="13">
        <v>14</v>
      </c>
      <c r="D8" s="13">
        <v>33</v>
      </c>
      <c r="E8" s="13">
        <v>3</v>
      </c>
      <c r="F8" s="13">
        <v>106</v>
      </c>
    </row>
    <row r="9" spans="1:6" x14ac:dyDescent="0.2">
      <c r="A9" s="15" t="s">
        <v>8376</v>
      </c>
      <c r="B9" s="13">
        <v>71</v>
      </c>
      <c r="C9" s="13"/>
      <c r="D9" s="13">
        <v>40</v>
      </c>
      <c r="E9" s="13">
        <v>2</v>
      </c>
      <c r="F9" s="13">
        <v>113</v>
      </c>
    </row>
    <row r="10" spans="1:6" x14ac:dyDescent="0.2">
      <c r="A10" s="15" t="s">
        <v>8367</v>
      </c>
      <c r="B10" s="13">
        <v>111</v>
      </c>
      <c r="C10" s="13"/>
      <c r="D10" s="13">
        <v>52</v>
      </c>
      <c r="E10" s="13">
        <v>3</v>
      </c>
      <c r="F10" s="13">
        <v>166</v>
      </c>
    </row>
    <row r="11" spans="1:6" x14ac:dyDescent="0.2">
      <c r="A11" s="15" t="s">
        <v>8377</v>
      </c>
      <c r="B11" s="13">
        <v>100</v>
      </c>
      <c r="C11" s="13"/>
      <c r="D11" s="13">
        <v>49</v>
      </c>
      <c r="E11" s="13">
        <v>4</v>
      </c>
      <c r="F11" s="13">
        <v>153</v>
      </c>
    </row>
    <row r="12" spans="1:6" x14ac:dyDescent="0.2">
      <c r="A12" s="15" t="s">
        <v>8368</v>
      </c>
      <c r="B12" s="13">
        <v>87</v>
      </c>
      <c r="C12" s="13"/>
      <c r="D12" s="13">
        <v>50</v>
      </c>
      <c r="E12" s="13">
        <v>1</v>
      </c>
      <c r="F12" s="13">
        <v>138</v>
      </c>
    </row>
    <row r="13" spans="1:6" x14ac:dyDescent="0.2">
      <c r="A13" s="15" t="s">
        <v>8369</v>
      </c>
      <c r="B13" s="13">
        <v>72</v>
      </c>
      <c r="C13" s="13"/>
      <c r="D13" s="13">
        <v>47</v>
      </c>
      <c r="E13" s="13">
        <v>4</v>
      </c>
      <c r="F13" s="13">
        <v>123</v>
      </c>
    </row>
    <row r="14" spans="1:6" x14ac:dyDescent="0.2">
      <c r="A14" s="15" t="s">
        <v>8370</v>
      </c>
      <c r="B14" s="13">
        <v>59</v>
      </c>
      <c r="C14" s="13"/>
      <c r="D14" s="13">
        <v>34</v>
      </c>
      <c r="E14" s="13">
        <v>4</v>
      </c>
      <c r="F14" s="13">
        <v>97</v>
      </c>
    </row>
    <row r="15" spans="1:6" x14ac:dyDescent="0.2">
      <c r="A15" s="15" t="s">
        <v>8371</v>
      </c>
      <c r="B15" s="13">
        <v>65</v>
      </c>
      <c r="C15" s="13"/>
      <c r="D15" s="13">
        <v>50</v>
      </c>
      <c r="E15" s="13"/>
      <c r="F15" s="13">
        <v>115</v>
      </c>
    </row>
    <row r="16" spans="1:6" x14ac:dyDescent="0.2">
      <c r="A16" s="15" t="s">
        <v>8372</v>
      </c>
      <c r="B16" s="13">
        <v>54</v>
      </c>
      <c r="C16" s="13"/>
      <c r="D16" s="13">
        <v>31</v>
      </c>
      <c r="E16" s="13">
        <v>3</v>
      </c>
      <c r="F16" s="13">
        <v>88</v>
      </c>
    </row>
    <row r="17" spans="1:6" x14ac:dyDescent="0.2">
      <c r="A17" s="15" t="s">
        <v>8378</v>
      </c>
      <c r="B17" s="13">
        <v>37</v>
      </c>
      <c r="C17" s="13"/>
      <c r="D17" s="13">
        <v>35</v>
      </c>
      <c r="E17" s="13">
        <v>3</v>
      </c>
      <c r="F17" s="13">
        <v>75</v>
      </c>
    </row>
    <row r="18" spans="1:6" x14ac:dyDescent="0.2">
      <c r="A18" s="15" t="s">
        <v>8361</v>
      </c>
      <c r="B18" s="13">
        <v>839</v>
      </c>
      <c r="C18" s="13">
        <v>24</v>
      </c>
      <c r="D18" s="13">
        <v>493</v>
      </c>
      <c r="E18" s="13">
        <v>37</v>
      </c>
      <c r="F18" s="13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A3B-AF4D-D04C-B366-DB520E4AE9EB}">
  <dimension ref="A1:H13"/>
  <sheetViews>
    <sheetView workbookViewId="0">
      <selection activeCell="H22" sqref="H22"/>
    </sheetView>
  </sheetViews>
  <sheetFormatPr baseColWidth="10" defaultRowHeight="15" x14ac:dyDescent="0.2"/>
  <cols>
    <col min="1" max="1" width="17" customWidth="1"/>
    <col min="2" max="2" width="15.1640625" style="16" customWidth="1"/>
    <col min="3" max="3" width="12.1640625" style="16" bestFit="1" customWidth="1"/>
    <col min="4" max="4" width="14.33203125" style="16" customWidth="1"/>
    <col min="5" max="5" width="13.33203125" style="16" customWidth="1"/>
    <col min="6" max="6" width="17.83203125" style="17" customWidth="1"/>
    <col min="7" max="7" width="14.1640625" style="16" customWidth="1"/>
    <col min="8" max="8" width="16.83203125" style="16" customWidth="1"/>
  </cols>
  <sheetData>
    <row r="1" spans="1:8" x14ac:dyDescent="0.2">
      <c r="A1" t="s">
        <v>8379</v>
      </c>
      <c r="B1" s="16" t="s">
        <v>8381</v>
      </c>
      <c r="C1" s="16" t="s">
        <v>8382</v>
      </c>
      <c r="D1" s="16" t="s">
        <v>8398</v>
      </c>
      <c r="E1" s="16" t="s">
        <v>8383</v>
      </c>
      <c r="F1" s="17" t="s">
        <v>8384</v>
      </c>
      <c r="G1" s="16" t="s">
        <v>8385</v>
      </c>
      <c r="H1" s="16" t="s">
        <v>8386</v>
      </c>
    </row>
    <row r="2" spans="1:8" x14ac:dyDescent="0.2">
      <c r="A2" t="s">
        <v>8387</v>
      </c>
      <c r="B2" s="16">
        <f>COUNTIFS(Kickstarter!$D:$D, "&lt;1000", Kickstarter!$R:$R, "plays", Kickstarter!$F:$F, "successful")</f>
        <v>141</v>
      </c>
      <c r="C2" s="16">
        <f>COUNTIFS(Kickstarter!$D:$D, "&lt;1000", Kickstarter!$R:$R, "plays", Kickstarter!$F:$F, "failed")</f>
        <v>45</v>
      </c>
      <c r="D2" s="16">
        <f>COUNTIFS(Kickstarter!$D:$D, "&lt;1000", Kickstarter!$R:$R, "plays", Kickstarter!$F:$F, "canceled")</f>
        <v>0</v>
      </c>
      <c r="E2" s="16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">
      <c r="A3" t="s">
        <v>8388</v>
      </c>
      <c r="B3" s="16">
        <f>COUNTIFS(Kickstarter!$D:$D, "&gt;=1000", Kickstarter!$R:$R, "plays", Kickstarter!$D:$D, "&lt;5000", Kickstarter!$F:$F, "successful")</f>
        <v>388</v>
      </c>
      <c r="C3" s="16">
        <f>COUNTIFS(Kickstarter!$D:$D, "&gt;=1000", Kickstarter!$R:$R, "plays", Kickstarter!$D:$D, "&lt;5000", Kickstarter!$F:$F, "failed")</f>
        <v>146</v>
      </c>
      <c r="D3" s="16">
        <f>COUNTIFS(Kickstarter!$D:$D, "&gt;=1000", Kickstarter!$R:$R, "plays", Kickstarter!$D:$D, "&lt;5000", Kickstarter!$F:$F, "canceled")</f>
        <v>0</v>
      </c>
      <c r="E3" s="16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2">
      <c r="A4" t="s">
        <v>8389</v>
      </c>
      <c r="B4" s="16">
        <f>COUNTIFS(Kickstarter!$D:$D, "&gt;=5000", Kickstarter!$R:$R, "plays", Kickstarter!$D:$D, "&lt;10000", Kickstarter!$F:$F, "successful")</f>
        <v>93</v>
      </c>
      <c r="C4" s="16">
        <f>COUNTIFS(Kickstarter!$D:$D, "&gt;=5000", Kickstarter!$R:$R, "plays", Kickstarter!$D:$D, "&lt;10000", Kickstarter!$F:$F, "failed")</f>
        <v>76</v>
      </c>
      <c r="D4" s="16">
        <f>COUNTIFS(Kickstarter!$D:$D, "&gt;=5000", Kickstarter!$R:$R, "plays", Kickstarter!$D:$D, "&lt;10000", Kickstarter!$F:$F, "canceled")</f>
        <v>0</v>
      </c>
      <c r="E4" s="16">
        <f t="shared" si="0"/>
        <v>169</v>
      </c>
      <c r="F4" s="17">
        <f>B4/E4</f>
        <v>0.55029585798816572</v>
      </c>
      <c r="G4" s="17">
        <f>C4/E4</f>
        <v>0.44970414201183434</v>
      </c>
      <c r="H4" s="17">
        <f t="shared" si="3"/>
        <v>0</v>
      </c>
    </row>
    <row r="5" spans="1:8" x14ac:dyDescent="0.2">
      <c r="A5" t="s">
        <v>8390</v>
      </c>
      <c r="B5" s="16">
        <f>COUNTIFS(Kickstarter!$D:$D, "&gt;=10000", Kickstarter!$R:$R, "plays", Kickstarter!$D:$D, "&lt;15000", Kickstarter!$F:$F, "successful")</f>
        <v>39</v>
      </c>
      <c r="C5" s="16">
        <f>COUNTIFS(Kickstarter!$D:$D, "&gt;=10000", Kickstarter!$R:$R, "plays", Kickstarter!$D:$D, "&lt;15000", Kickstarter!$F:$F, "failed")</f>
        <v>33</v>
      </c>
      <c r="D5" s="16">
        <f>COUNTIFS(Kickstarter!$D:$D, "&gt;=10000", Kickstarter!$R:$R, "plays", Kickstarter!$D:$D, "&lt;15000", Kickstarter!$F:$F, "canceled")</f>
        <v>0</v>
      </c>
      <c r="E5" s="16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t="s">
        <v>8391</v>
      </c>
      <c r="B6" s="16">
        <f>COUNTIFS(Kickstarter!$D:$D, "&gt;=15000", Kickstarter!$R:$R, "plays", Kickstarter!$D:$D, "&lt;20000", Kickstarter!$F:$F, "successful")</f>
        <v>12</v>
      </c>
      <c r="C6" s="16">
        <f>COUNTIFS(Kickstarter!$D:$D, "&gt;=15000", Kickstarter!$R:$R, "plays", Kickstarter!$D:$D, "&lt;20000", Kickstarter!$F:$F, "failed")</f>
        <v>12</v>
      </c>
      <c r="D6" s="16">
        <f>COUNTIFS(Kickstarter!$D:$D, "&gt;=15000", Kickstarter!$R:$R, "plays", Kickstarter!$D:$D, "&lt;20000", Kickstarter!$F:$F, "canceled")</f>
        <v>0</v>
      </c>
      <c r="E6" s="1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t="s">
        <v>8392</v>
      </c>
      <c r="B7" s="16">
        <f>COUNTIFS(Kickstarter!$D:$D, "&gt;=20000", Kickstarter!$R:$R, "plays", Kickstarter!$D:$D, "&lt;25000", Kickstarter!$F:$F, "successful")</f>
        <v>9</v>
      </c>
      <c r="C7" s="16">
        <f>COUNTIFS(Kickstarter!$D:$D, "&gt;=20000", Kickstarter!$R:$R, "plays", Kickstarter!$D:$D, "&lt;25000", Kickstarter!$F:$F, "failed")</f>
        <v>11</v>
      </c>
      <c r="D7" s="16">
        <f>COUNTIFS(Kickstarter!$D:$D, "&gt;=20000", Kickstarter!$R:$R, "plays", Kickstarter!$D:$D, "&lt;25000", Kickstarter!$F:$F, "canceled")</f>
        <v>0</v>
      </c>
      <c r="E7" s="16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t="s">
        <v>8393</v>
      </c>
      <c r="B8" s="16">
        <f>COUNTIFS(Kickstarter!$D:$D, "&gt;=25000", Kickstarter!$R:$R, "plays", Kickstarter!$D:$D, "&lt;30000", Kickstarter!$F:$F, "successful")</f>
        <v>1</v>
      </c>
      <c r="C8" s="16">
        <f>COUNTIFS(Kickstarter!$D:$D, "&gt;=25000", Kickstarter!$R:$R, "plays", Kickstarter!$D:$D, "&lt;30000", Kickstarter!$F:$F, "failed")</f>
        <v>4</v>
      </c>
      <c r="D8" s="16">
        <f>COUNTIFS(Kickstarter!$D:$D, "&gt;=25000", Kickstarter!$R:$R, "plays", Kickstarter!$D:$D, "&lt;30000", Kickstarter!$F:$F, "canceled")</f>
        <v>0</v>
      </c>
      <c r="E8" s="16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t="s">
        <v>8394</v>
      </c>
      <c r="B9" s="16">
        <f>COUNTIFS(Kickstarter!$D:$D, "&gt;=30000", Kickstarter!$R:$R, "plays", Kickstarter!$D:$D, "&lt;35000", Kickstarter!$F:$F, "successful")</f>
        <v>3</v>
      </c>
      <c r="C9" s="16">
        <f>COUNTIFS(Kickstarter!$D:$D, "&gt;=30000", Kickstarter!$R:$R, "plays", Kickstarter!$D:$D, "&lt;35000", Kickstarter!$F:$F, "failed")</f>
        <v>8</v>
      </c>
      <c r="D9" s="16">
        <f>COUNTIFS(Kickstarter!$D:$D, "&gt;=30000", Kickstarter!$R:$R, "plays", Kickstarter!$D:$D, "&lt;35000", Kickstarter!$F:$F, "canceled")</f>
        <v>0</v>
      </c>
      <c r="E9" s="16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t="s">
        <v>8395</v>
      </c>
      <c r="B10" s="16">
        <f>COUNTIFS(Kickstarter!$D:$D, "&gt;=35000", Kickstarter!$R:$R, "plays", Kickstarter!$D:$D, "&lt;40000", Kickstarter!$F:$F, "successful")</f>
        <v>4</v>
      </c>
      <c r="C10" s="16">
        <f>COUNTIFS(Kickstarter!$D:$D, "&gt;=35000", Kickstarter!$R:$R, "plays", Kickstarter!$D:$D, "&lt;40000", Kickstarter!$F:$F, "failed")</f>
        <v>2</v>
      </c>
      <c r="D10" s="16">
        <f>COUNTIFS(Kickstarter!$D:$D, "&gt;=35000", Kickstarter!$R:$R, "plays", Kickstarter!$D:$D, "&lt;40000", Kickstarter!$F:$F, "canceled")</f>
        <v>0</v>
      </c>
      <c r="E10" s="16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t="s">
        <v>8396</v>
      </c>
      <c r="B11" s="16">
        <f>COUNTIFS(Kickstarter!$D:$D, "&gt;=40000", Kickstarter!$R:$R, "plays", Kickstarter!$D:$D, "&lt;45000", Kickstarter!$F:$F, "successful")</f>
        <v>2</v>
      </c>
      <c r="C11" s="16">
        <f>COUNTIFS(Kickstarter!$D:$D, "&gt;=40000", Kickstarter!$R:$R, "plays", Kickstarter!$D:$D, "&lt;45000", Kickstarter!$F:$F, "failed")</f>
        <v>1</v>
      </c>
      <c r="D11" s="16">
        <f>COUNTIFS(Kickstarter!$D:$D, "&gt;=40000", Kickstarter!$R:$R, "plays", Kickstarter!$D:$D, "&lt;45000", Kickstarter!$F:$F, "canceled")</f>
        <v>0</v>
      </c>
      <c r="E11" s="16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t="s">
        <v>8399</v>
      </c>
      <c r="B12" s="16">
        <f>COUNTIFS(Kickstarter!$D:$D, "&gt;=45000", Kickstarter!$R:$R, "plays", Kickstarter!$D:$D, "&lt;50000", Kickstarter!$F:$F, "successful")</f>
        <v>0</v>
      </c>
      <c r="C12" s="16">
        <f>COUNTIFS(Kickstarter!$D:$D, "&gt;=45000", Kickstarter!$R:$R, "plays", Kickstarter!$D:$D, "&lt;50000", Kickstarter!$F:$F, "failed")</f>
        <v>1</v>
      </c>
      <c r="D12" s="16">
        <f>COUNTIFS(Kickstarter!$D:$D, "&gt;=40000", Kickstarter!$R:$R, "plays", Kickstarter!$D:$D, "&lt;45000", Kickstarter!$F:$F, "canceled")</f>
        <v>0</v>
      </c>
      <c r="E12" s="16">
        <f t="shared" ref="E12" si="4">SUM(B12:D12)</f>
        <v>1</v>
      </c>
      <c r="F12" s="17">
        <f t="shared" ref="F12" si="5">B12/E12</f>
        <v>0</v>
      </c>
      <c r="G12" s="17">
        <f t="shared" ref="G12" si="6">C12/E12</f>
        <v>1</v>
      </c>
      <c r="H12" s="17">
        <f t="shared" ref="H12" si="7">D12/E12</f>
        <v>0</v>
      </c>
    </row>
    <row r="13" spans="1:8" x14ac:dyDescent="0.2">
      <c r="A13" t="s">
        <v>8397</v>
      </c>
      <c r="B13" s="16">
        <f>COUNTIFS(Kickstarter!$D:$D, "&gt;50000", Kickstarter!$R:$R, "plays", Kickstarter!$F:$F, "successful")</f>
        <v>2</v>
      </c>
      <c r="C13" s="16">
        <f>COUNTIFS(Kickstarter!$D:$D, "&gt;50000", Kickstarter!$R:$R, "plays", Kickstarter!$F:$F, "failed")</f>
        <v>10</v>
      </c>
      <c r="D13" s="16">
        <f>COUNTIFS(Kickstarter!$D:$D, "&gt;50000", Kickstarter!$R:$R, "plays", Kickstarter!$F:$F, "canceled")</f>
        <v>0</v>
      </c>
      <c r="E13" s="16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ySplit="1" topLeftCell="A152" activePane="bottomLeft" state="frozen"/>
      <selection pane="bottomLeft" activeCell="M522" sqref="M522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21.5" customWidth="1"/>
    <col min="17" max="17" width="41.1640625" customWidth="1"/>
    <col min="18" max="18" width="16.6640625" customWidth="1"/>
    <col min="19" max="19" width="25.5" customWidth="1"/>
    <col min="20" max="20" width="22.33203125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8380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 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 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 0)</f>
        <v>132.05000000000001</v>
      </c>
      <c r="Q67" s="11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1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 0)</f>
        <v>0</v>
      </c>
      <c r="Q131" s="11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1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 0)</f>
        <v>0</v>
      </c>
      <c r="Q195" s="11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1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 0)</f>
        <v>66.7</v>
      </c>
      <c r="Q259" s="11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1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 0)</f>
        <v>106.62</v>
      </c>
      <c r="Q323" s="11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1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 0)</f>
        <v>111.8</v>
      </c>
      <c r="Q387" s="11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1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 0)</f>
        <v>9</v>
      </c>
      <c r="Q451" s="11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1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 0)</f>
        <v>102.38</v>
      </c>
      <c r="Q515" s="11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1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 0)</f>
        <v>10</v>
      </c>
      <c r="Q579" s="11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1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 0)</f>
        <v>151.32</v>
      </c>
      <c r="Q643" s="11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1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 0)</f>
        <v>195.4</v>
      </c>
      <c r="Q707" s="11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1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 0)</f>
        <v>31.85</v>
      </c>
      <c r="Q771" s="11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1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 0)</f>
        <v>148.78</v>
      </c>
      <c r="Q835" s="11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1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 0)</f>
        <v>0</v>
      </c>
      <c r="Q899" s="11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1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 0)</f>
        <v>364.35</v>
      </c>
      <c r="Q963" s="11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1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 0)</f>
        <v>71.849999999999994</v>
      </c>
      <c r="Q1027" s="11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1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 0)</f>
        <v>23.96</v>
      </c>
      <c r="Q1091" s="11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1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 0)</f>
        <v>50</v>
      </c>
      <c r="Q1155" s="11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1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 0)</f>
        <v>148.57</v>
      </c>
      <c r="Q1219" s="11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1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 0)</f>
        <v>104.73</v>
      </c>
      <c r="Q1283" s="11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1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 0)</f>
        <v>53.57</v>
      </c>
      <c r="Q1347" s="11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1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 0)</f>
        <v>0</v>
      </c>
      <c r="Q1411" s="11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1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 0)</f>
        <v>38.46</v>
      </c>
      <c r="Q1475" s="11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1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 0)</f>
        <v>96.38</v>
      </c>
      <c r="Q1539" s="11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1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 0)</f>
        <v>48.33</v>
      </c>
      <c r="Q1603" s="11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1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 0)</f>
        <v>44.96</v>
      </c>
      <c r="Q1667" s="11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1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 0)</f>
        <v>0</v>
      </c>
      <c r="Q1731" s="11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1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 0)</f>
        <v>20</v>
      </c>
      <c r="Q1795" s="11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1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 0)</f>
        <v>136.36000000000001</v>
      </c>
      <c r="Q1859" s="11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1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 0)</f>
        <v>54</v>
      </c>
      <c r="Q1923" s="11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1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 0)</f>
        <v>12.75</v>
      </c>
      <c r="Q1987" s="11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1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 0)</f>
        <v>80.989999999999995</v>
      </c>
      <c r="Q2051" s="11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1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 0)</f>
        <v>68.599999999999994</v>
      </c>
      <c r="Q2115" s="11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1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 0)</f>
        <v>65.87</v>
      </c>
      <c r="Q2179" s="11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1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 0)</f>
        <v>49.47</v>
      </c>
      <c r="Q2243" s="11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1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 0)</f>
        <v>109.11</v>
      </c>
      <c r="Q2307" s="11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1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 0)</f>
        <v>0</v>
      </c>
      <c r="Q2371" s="11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1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 0)</f>
        <v>0</v>
      </c>
      <c r="Q2435" s="11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1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 0)</f>
        <v>80.55</v>
      </c>
      <c r="Q2499" s="11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1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 0)</f>
        <v>0</v>
      </c>
      <c r="Q2563" s="11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1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 0)</f>
        <v>27.58</v>
      </c>
      <c r="Q2627" s="11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1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 0)</f>
        <v>1</v>
      </c>
      <c r="Q2691" s="11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1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 0)</f>
        <v>47.5</v>
      </c>
      <c r="Q2755" s="11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1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 0)</f>
        <v>23.64</v>
      </c>
      <c r="Q2819" s="11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1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 0)</f>
        <v>0</v>
      </c>
      <c r="Q2883" s="11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1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 0)</f>
        <v>0</v>
      </c>
      <c r="Q2947" s="11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1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 0)</f>
        <v>233.9</v>
      </c>
      <c r="Q3011" s="11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1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 0)</f>
        <v>92.14</v>
      </c>
      <c r="Q3075" s="11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1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 0)</f>
        <v>50</v>
      </c>
      <c r="Q3139" s="11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1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 0)</f>
        <v>12.5</v>
      </c>
      <c r="Q3203" s="11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1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 0)</f>
        <v>70.290000000000006</v>
      </c>
      <c r="Q3267" s="11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1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 0)</f>
        <v>44.92</v>
      </c>
      <c r="Q3331" s="11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1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 0)</f>
        <v>36.07</v>
      </c>
      <c r="Q3395" s="11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1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 0)</f>
        <v>50.98</v>
      </c>
      <c r="Q3459" s="11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1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 0)</f>
        <v>45.62</v>
      </c>
      <c r="Q3523" s="11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1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 0)</f>
        <v>176.09</v>
      </c>
      <c r="Q3587" s="11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1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 0)</f>
        <v>97.5</v>
      </c>
      <c r="Q3651" s="11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1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 0)</f>
        <v>106.84</v>
      </c>
      <c r="Q3715" s="11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1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 0)</f>
        <v>48.54</v>
      </c>
      <c r="Q3779" s="11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1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 0)</f>
        <v>25.65</v>
      </c>
      <c r="Q3843" s="11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1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 0)</f>
        <v>24.71</v>
      </c>
      <c r="Q3907" s="11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1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 0)</f>
        <v>35.17</v>
      </c>
      <c r="Q3971" s="11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1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 0)</f>
        <v>65.34</v>
      </c>
      <c r="Q4035" s="11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1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 0)</f>
        <v>0</v>
      </c>
      <c r="Q4099" s="11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2021-12-21T20:36:34Z</dcterms:modified>
</cp:coreProperties>
</file>