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SHIBA\Desktop\RawMixV2\"/>
    </mc:Choice>
  </mc:AlternateContent>
  <xr:revisionPtr revIDLastSave="0" documentId="13_ncr:1_{ADEBE218-6393-4022-96D8-33ED5DD2F6D0}" xr6:coauthVersionLast="47" xr6:coauthVersionMax="47" xr10:uidLastSave="{00000000-0000-0000-0000-000000000000}"/>
  <bookViews>
    <workbookView xWindow="-120" yWindow="-120" windowWidth="20730" windowHeight="11160" tabRatio="841" activeTab="7" xr2:uid="{00000000-000D-0000-FFFF-FFFF00000000}"/>
  </bookViews>
  <sheets>
    <sheet name="3 MATERIALS (LSF &amp; AM)" sheetId="17" r:id="rId1"/>
    <sheet name="RECIPE( LSF AND AM)" sheetId="1" r:id="rId2"/>
    <sheet name="3 MATERIALS(LSF &amp; SM)" sheetId="16" r:id="rId3"/>
    <sheet name="RECIPE( LSF AND SM)" sheetId="5" r:id="rId4"/>
    <sheet name="4  MATERIALS (LSF,SM &amp; AM)" sheetId="15" r:id="rId5"/>
    <sheet name="RECIPE (LSF,SM and AM)" sheetId="19" r:id="rId6"/>
    <sheet name="Fuel&amp; Clinker Factor" sheetId="7" r:id="rId7"/>
    <sheet name="RAWMIX DESIGN" sheetId="18" r:id="rId8"/>
  </sheets>
  <calcPr calcId="181029"/>
</workbook>
</file>

<file path=xl/calcChain.xml><?xml version="1.0" encoding="utf-8"?>
<calcChain xmlns="http://schemas.openxmlformats.org/spreadsheetml/2006/main">
  <c r="U33" i="7" l="1"/>
  <c r="U29" i="7"/>
  <c r="U28" i="7"/>
  <c r="T16" i="7"/>
  <c r="T15" i="7"/>
  <c r="U14" i="7" s="1"/>
  <c r="T13" i="7"/>
  <c r="T12" i="7"/>
  <c r="U11" i="7" s="1"/>
  <c r="U9" i="7"/>
  <c r="U8" i="7"/>
  <c r="U10" i="7" s="1"/>
  <c r="U18" i="7" s="1"/>
  <c r="U20" i="7" s="1"/>
  <c r="Q63" i="18"/>
  <c r="Q60" i="18"/>
  <c r="Q59" i="18"/>
  <c r="Q58" i="18"/>
  <c r="Q57" i="18"/>
  <c r="Q56" i="18"/>
  <c r="Q55" i="18"/>
  <c r="Q54" i="18"/>
  <c r="Q53" i="18"/>
  <c r="Q52" i="18"/>
  <c r="Q51" i="18"/>
  <c r="Q50" i="18"/>
  <c r="Q66" i="18" s="1"/>
  <c r="Q49" i="18"/>
  <c r="Q65" i="18" s="1"/>
  <c r="T26" i="18"/>
  <c r="S26" i="18"/>
  <c r="R26" i="18"/>
  <c r="Q26" i="18"/>
  <c r="P26" i="18"/>
  <c r="T25" i="18"/>
  <c r="S25" i="18"/>
  <c r="R25" i="18"/>
  <c r="Q25" i="18"/>
  <c r="P25" i="18"/>
  <c r="T24" i="18"/>
  <c r="S24" i="18"/>
  <c r="R24" i="18"/>
  <c r="Q24" i="18"/>
  <c r="P24" i="18"/>
  <c r="T23" i="18"/>
  <c r="S23" i="18"/>
  <c r="R23" i="18"/>
  <c r="Q23" i="18"/>
  <c r="P23" i="18"/>
  <c r="U21" i="18"/>
  <c r="V19" i="18" s="1"/>
  <c r="W19" i="18" s="1"/>
  <c r="U20" i="18"/>
  <c r="U19" i="18"/>
  <c r="U18" i="18"/>
  <c r="U17" i="18"/>
  <c r="U16" i="18"/>
  <c r="U15" i="18"/>
  <c r="U24" i="18" s="1"/>
  <c r="U14" i="18"/>
  <c r="U13" i="18"/>
  <c r="U26" i="18" s="1"/>
  <c r="U12" i="18"/>
  <c r="U25" i="18" s="1"/>
  <c r="J79" i="19"/>
  <c r="H79" i="19"/>
  <c r="D79" i="19"/>
  <c r="D78" i="19"/>
  <c r="D77" i="19"/>
  <c r="D76" i="19"/>
  <c r="M73" i="19"/>
  <c r="M72" i="19"/>
  <c r="M71" i="19"/>
  <c r="M70" i="19"/>
  <c r="N68" i="19"/>
  <c r="N67" i="19"/>
  <c r="Q56" i="19" s="1"/>
  <c r="N66" i="19"/>
  <c r="H66" i="19"/>
  <c r="G66" i="19"/>
  <c r="F66" i="19"/>
  <c r="E66" i="19"/>
  <c r="N65" i="19"/>
  <c r="H65" i="19"/>
  <c r="G65" i="19"/>
  <c r="F65" i="19"/>
  <c r="E65" i="19"/>
  <c r="N64" i="19"/>
  <c r="H64" i="19"/>
  <c r="G64" i="19"/>
  <c r="F64" i="19"/>
  <c r="E64" i="19"/>
  <c r="N63" i="19"/>
  <c r="H63" i="19"/>
  <c r="G63" i="19"/>
  <c r="F63" i="19"/>
  <c r="E63" i="19"/>
  <c r="N62" i="19"/>
  <c r="I62" i="19"/>
  <c r="N61" i="19"/>
  <c r="I61" i="19"/>
  <c r="N60" i="19"/>
  <c r="I60" i="19"/>
  <c r="N59" i="19"/>
  <c r="I59" i="19"/>
  <c r="N58" i="19"/>
  <c r="I58" i="19"/>
  <c r="N57" i="19"/>
  <c r="I57" i="19"/>
  <c r="I56" i="19"/>
  <c r="I64" i="19" s="1"/>
  <c r="I55" i="19"/>
  <c r="Q54" i="19"/>
  <c r="I54" i="19"/>
  <c r="I66" i="19" s="1"/>
  <c r="I53" i="19"/>
  <c r="I65" i="19" s="1"/>
  <c r="M33" i="19"/>
  <c r="M32" i="19"/>
  <c r="M31" i="19"/>
  <c r="M30" i="19"/>
  <c r="H39" i="19"/>
  <c r="J39" i="19"/>
  <c r="D39" i="19"/>
  <c r="D38" i="19"/>
  <c r="D37" i="19"/>
  <c r="D36" i="19"/>
  <c r="N28" i="19"/>
  <c r="N27" i="19"/>
  <c r="N26" i="19"/>
  <c r="H26" i="19"/>
  <c r="G26" i="19"/>
  <c r="F26" i="19"/>
  <c r="E26" i="19"/>
  <c r="N25" i="19"/>
  <c r="H25" i="19"/>
  <c r="G25" i="19"/>
  <c r="F25" i="19"/>
  <c r="E25" i="19"/>
  <c r="N24" i="19"/>
  <c r="H24" i="19"/>
  <c r="G24" i="19"/>
  <c r="F24" i="19"/>
  <c r="E24" i="19"/>
  <c r="N23" i="19"/>
  <c r="H23" i="19"/>
  <c r="G23" i="19"/>
  <c r="F23" i="19"/>
  <c r="E23" i="19"/>
  <c r="N22" i="19"/>
  <c r="N21" i="19"/>
  <c r="N20" i="19"/>
  <c r="N19" i="19"/>
  <c r="N18" i="19"/>
  <c r="N17" i="19"/>
  <c r="U34" i="7" l="1"/>
  <c r="U35" i="7" s="1"/>
  <c r="P30" i="18"/>
  <c r="R45" i="18" s="1"/>
  <c r="P31" i="18"/>
  <c r="R46" i="18" s="1"/>
  <c r="V18" i="18"/>
  <c r="W18" i="18" s="1"/>
  <c r="V13" i="18"/>
  <c r="V17" i="18"/>
  <c r="W17" i="18" s="1"/>
  <c r="Q64" i="18"/>
  <c r="P32" i="18" s="1"/>
  <c r="R47" i="18" s="1"/>
  <c r="V12" i="18"/>
  <c r="V16" i="18"/>
  <c r="W16" i="18" s="1"/>
  <c r="V20" i="18"/>
  <c r="W20" i="18" s="1"/>
  <c r="U23" i="18"/>
  <c r="V14" i="18"/>
  <c r="W14" i="18" s="1"/>
  <c r="V32" i="18" s="1"/>
  <c r="W32" i="18" s="1"/>
  <c r="V15" i="18"/>
  <c r="Q62" i="18"/>
  <c r="P29" i="18" s="1"/>
  <c r="H71" i="19"/>
  <c r="H52" i="19" s="1"/>
  <c r="Q53" i="19"/>
  <c r="H70" i="19" s="1"/>
  <c r="G52" i="19" s="1"/>
  <c r="Q55" i="19"/>
  <c r="H69" i="19" s="1"/>
  <c r="F52" i="19" s="1"/>
  <c r="I63" i="19"/>
  <c r="Q52" i="19"/>
  <c r="H68" i="19" s="1"/>
  <c r="M74" i="19"/>
  <c r="Q12" i="19"/>
  <c r="Q16" i="19"/>
  <c r="Q14" i="19"/>
  <c r="Q15" i="19"/>
  <c r="Q13" i="19"/>
  <c r="M34" i="19"/>
  <c r="V25" i="18" l="1"/>
  <c r="V23" i="18"/>
  <c r="W12" i="18"/>
  <c r="V26" i="18"/>
  <c r="W13" i="18"/>
  <c r="V24" i="18"/>
  <c r="W15" i="18"/>
  <c r="P33" i="18"/>
  <c r="R44" i="18"/>
  <c r="V33" i="18"/>
  <c r="W33" i="18" s="1"/>
  <c r="H72" i="19"/>
  <c r="M75" i="19" s="1"/>
  <c r="E52" i="19"/>
  <c r="I52" i="19" s="1"/>
  <c r="H30" i="19"/>
  <c r="G12" i="19" s="1"/>
  <c r="H28" i="19"/>
  <c r="E12" i="19" s="1"/>
  <c r="H29" i="19"/>
  <c r="F12" i="19" s="1"/>
  <c r="H31" i="19"/>
  <c r="H12" i="19" s="1"/>
  <c r="I12" i="19" s="1"/>
  <c r="I22" i="19" s="1"/>
  <c r="V36" i="18" l="1"/>
  <c r="W36" i="18" s="1"/>
  <c r="V30" i="18"/>
  <c r="W30" i="18" s="1"/>
  <c r="W25" i="18"/>
  <c r="W23" i="18"/>
  <c r="R49" i="18"/>
  <c r="Q29" i="18" s="1"/>
  <c r="R48" i="18"/>
  <c r="V29" i="18"/>
  <c r="V28" i="18"/>
  <c r="W28" i="18" s="1"/>
  <c r="W24" i="18"/>
  <c r="V37" i="18" s="1"/>
  <c r="W37" i="18" s="1"/>
  <c r="V34" i="18"/>
  <c r="W34" i="18" s="1"/>
  <c r="V31" i="18"/>
  <c r="W26" i="18"/>
  <c r="E75" i="19"/>
  <c r="E77" i="19"/>
  <c r="E78" i="19"/>
  <c r="E76" i="19"/>
  <c r="E79" i="19" s="1"/>
  <c r="H32" i="19"/>
  <c r="M35" i="19" s="1"/>
  <c r="I21" i="19"/>
  <c r="I13" i="19"/>
  <c r="I16" i="19"/>
  <c r="I15" i="19"/>
  <c r="I18" i="19"/>
  <c r="I17" i="19"/>
  <c r="I20" i="19"/>
  <c r="I19" i="19"/>
  <c r="I14" i="19"/>
  <c r="I26" i="19" s="1"/>
  <c r="W31" i="18" l="1"/>
  <c r="V35" i="18"/>
  <c r="W35" i="18" s="1"/>
  <c r="V38" i="18"/>
  <c r="W38" i="18" s="1"/>
  <c r="W29" i="18"/>
  <c r="Q30" i="18"/>
  <c r="Q33" i="18" s="1"/>
  <c r="Q31" i="18"/>
  <c r="Q32" i="18"/>
  <c r="E37" i="19"/>
  <c r="E38" i="19"/>
  <c r="E35" i="19"/>
  <c r="E36" i="19"/>
  <c r="E39" i="19" s="1"/>
  <c r="I24" i="19"/>
  <c r="I23" i="19"/>
  <c r="I25" i="19"/>
  <c r="AH37" i="5" l="1"/>
  <c r="AF37" i="5"/>
  <c r="AC37" i="5"/>
  <c r="AC34" i="5"/>
  <c r="AC30" i="5"/>
  <c r="AC36" i="5" s="1"/>
  <c r="AC29" i="5"/>
  <c r="AC35" i="5" s="1"/>
  <c r="AC28" i="5"/>
  <c r="AF26" i="5"/>
  <c r="AE26" i="5"/>
  <c r="AD26" i="5"/>
  <c r="AF25" i="5"/>
  <c r="AE25" i="5"/>
  <c r="AD25" i="5"/>
  <c r="AF24" i="5"/>
  <c r="AE24" i="5"/>
  <c r="AD24" i="5"/>
  <c r="AF23" i="5"/>
  <c r="AE23" i="5"/>
  <c r="AD23" i="5"/>
  <c r="AQ22" i="5"/>
  <c r="AG22" i="5"/>
  <c r="AQ21" i="5"/>
  <c r="AQ20" i="5"/>
  <c r="AG20" i="5"/>
  <c r="AG19" i="5"/>
  <c r="AQ18" i="5"/>
  <c r="AQ17" i="5"/>
  <c r="AG17" i="5"/>
  <c r="AQ16" i="5"/>
  <c r="AG15" i="5"/>
  <c r="AG14" i="5"/>
  <c r="AG26" i="5" s="1"/>
  <c r="AG13" i="5"/>
  <c r="AG25" i="5" s="1"/>
  <c r="AG12" i="5"/>
  <c r="AG21" i="5" s="1"/>
  <c r="Y37" i="1"/>
  <c r="W37" i="1"/>
  <c r="T37" i="1"/>
  <c r="T34" i="1"/>
  <c r="T30" i="1"/>
  <c r="T36" i="1" s="1"/>
  <c r="T29" i="1"/>
  <c r="T35" i="1" s="1"/>
  <c r="T28" i="1"/>
  <c r="W26" i="1"/>
  <c r="V26" i="1"/>
  <c r="U26" i="1"/>
  <c r="W25" i="1"/>
  <c r="V25" i="1"/>
  <c r="U25" i="1"/>
  <c r="W24" i="1"/>
  <c r="V24" i="1"/>
  <c r="U24" i="1"/>
  <c r="W23" i="1"/>
  <c r="V23" i="1"/>
  <c r="U23" i="1"/>
  <c r="AB22" i="1"/>
  <c r="X22" i="1"/>
  <c r="AB21" i="1"/>
  <c r="AB20" i="1"/>
  <c r="X20" i="1"/>
  <c r="X19" i="1"/>
  <c r="AB18" i="1"/>
  <c r="AB17" i="1"/>
  <c r="X17" i="1"/>
  <c r="AB16" i="1"/>
  <c r="X15" i="1"/>
  <c r="X14" i="1"/>
  <c r="X26" i="1" s="1"/>
  <c r="X13" i="1"/>
  <c r="X25" i="1" s="1"/>
  <c r="X12" i="1"/>
  <c r="X21" i="1" s="1"/>
  <c r="F22" i="5"/>
  <c r="H37" i="1"/>
  <c r="J32" i="7"/>
  <c r="E23" i="18"/>
  <c r="AG16" i="5" l="1"/>
  <c r="AG24" i="5" s="1"/>
  <c r="AG18" i="5"/>
  <c r="AQ24" i="5"/>
  <c r="AF28" i="5" s="1"/>
  <c r="X16" i="1"/>
  <c r="X24" i="1" s="1"/>
  <c r="X18" i="1"/>
  <c r="AB24" i="1"/>
  <c r="W28" i="1" s="1"/>
  <c r="AP26" i="5" l="1"/>
  <c r="AF29" i="5"/>
  <c r="AG23" i="5"/>
  <c r="AA26" i="1"/>
  <c r="W29" i="1"/>
  <c r="X23" i="1"/>
  <c r="AF30" i="5" l="1"/>
  <c r="AP28" i="5" s="1"/>
  <c r="AP27" i="5"/>
  <c r="AF31" i="5"/>
  <c r="AP29" i="5"/>
  <c r="W30" i="1"/>
  <c r="AA28" i="1" s="1"/>
  <c r="AA27" i="1"/>
  <c r="AA29" i="1"/>
  <c r="W31" i="1"/>
  <c r="AP30" i="5" l="1"/>
  <c r="AD34" i="5" s="1"/>
  <c r="AD36" i="5"/>
  <c r="AA30" i="1"/>
  <c r="U34" i="1" s="1"/>
  <c r="U36" i="1"/>
  <c r="AD35" i="5" l="1"/>
  <c r="AD37" i="5" s="1"/>
  <c r="U35" i="1"/>
  <c r="U37" i="1" s="1"/>
  <c r="F60" i="18" l="1"/>
  <c r="F59" i="18"/>
  <c r="F58" i="18"/>
  <c r="F57" i="18"/>
  <c r="F56" i="18"/>
  <c r="F55" i="18"/>
  <c r="F54" i="18"/>
  <c r="F53" i="18"/>
  <c r="F52" i="18"/>
  <c r="F51" i="18"/>
  <c r="F50" i="18"/>
  <c r="F49" i="18"/>
  <c r="F65" i="18" s="1"/>
  <c r="I26" i="18"/>
  <c r="E26" i="18"/>
  <c r="G26" i="18"/>
  <c r="F26" i="18"/>
  <c r="H26" i="18"/>
  <c r="I25" i="18"/>
  <c r="E25" i="18"/>
  <c r="G25" i="18"/>
  <c r="F25" i="18"/>
  <c r="H25" i="18"/>
  <c r="I24" i="18"/>
  <c r="E24" i="18"/>
  <c r="G24" i="18"/>
  <c r="F24" i="18"/>
  <c r="H24" i="18"/>
  <c r="I23" i="18"/>
  <c r="G23" i="18"/>
  <c r="F23" i="18"/>
  <c r="H23" i="18"/>
  <c r="F63" i="18" l="1"/>
  <c r="F66" i="18"/>
  <c r="E30" i="18" s="1"/>
  <c r="G45" i="18" s="1"/>
  <c r="F64" i="18"/>
  <c r="F62" i="18"/>
  <c r="E31" i="18" l="1"/>
  <c r="G46" i="18" s="1"/>
  <c r="E29" i="18"/>
  <c r="G44" i="18" s="1"/>
  <c r="E32" i="18"/>
  <c r="G47" i="18" s="1"/>
  <c r="G48" i="18" s="1"/>
  <c r="E33" i="18"/>
  <c r="J19" i="18" s="1"/>
  <c r="N25" i="16"/>
  <c r="T10" i="17"/>
  <c r="I11" i="7"/>
  <c r="T17" i="17"/>
  <c r="K22" i="17" s="1"/>
  <c r="H36" i="5"/>
  <c r="J36" i="5"/>
  <c r="J37" i="1"/>
  <c r="E36" i="5"/>
  <c r="E37" i="1"/>
  <c r="E28" i="1"/>
  <c r="E34" i="1" s="1"/>
  <c r="J15" i="18" l="1"/>
  <c r="J14" i="18"/>
  <c r="J16" i="18"/>
  <c r="J13" i="18"/>
  <c r="J26" i="18" s="1"/>
  <c r="J20" i="18"/>
  <c r="J18" i="18"/>
  <c r="J21" i="18"/>
  <c r="K15" i="18"/>
  <c r="G49" i="18"/>
  <c r="F29" i="18" s="1"/>
  <c r="J17" i="18"/>
  <c r="J12" i="18"/>
  <c r="O61" i="15"/>
  <c r="R58" i="15"/>
  <c r="Z55" i="15"/>
  <c r="Y55" i="15"/>
  <c r="X55" i="15"/>
  <c r="W55" i="15"/>
  <c r="V55" i="15"/>
  <c r="Z53" i="15"/>
  <c r="I55" i="15" s="1"/>
  <c r="Y53" i="15"/>
  <c r="I54" i="15" s="1"/>
  <c r="X53" i="15"/>
  <c r="W53" i="15"/>
  <c r="I53" i="15" s="1"/>
  <c r="U53" i="15"/>
  <c r="N58" i="15" s="1"/>
  <c r="T61" i="15" s="1"/>
  <c r="T50" i="15"/>
  <c r="S50" i="15"/>
  <c r="R50" i="15"/>
  <c r="Q50" i="15"/>
  <c r="P50" i="15"/>
  <c r="O50" i="15"/>
  <c r="N50" i="15"/>
  <c r="M50" i="15"/>
  <c r="L50" i="15"/>
  <c r="T49" i="15"/>
  <c r="S49" i="15"/>
  <c r="R49" i="15"/>
  <c r="Q49" i="15"/>
  <c r="P49" i="15"/>
  <c r="O49" i="15"/>
  <c r="N49" i="15"/>
  <c r="M49" i="15"/>
  <c r="L49" i="15"/>
  <c r="T47" i="15"/>
  <c r="S47" i="15"/>
  <c r="R47" i="15"/>
  <c r="Q47" i="15"/>
  <c r="P47" i="15"/>
  <c r="O47" i="15"/>
  <c r="N47" i="15"/>
  <c r="M47" i="15"/>
  <c r="L47" i="15"/>
  <c r="Z45" i="15"/>
  <c r="Y45" i="15"/>
  <c r="X45" i="15"/>
  <c r="W45" i="15"/>
  <c r="U45" i="15"/>
  <c r="V45" i="15" s="1"/>
  <c r="Z44" i="15"/>
  <c r="Z48" i="15" s="1"/>
  <c r="Y44" i="15"/>
  <c r="X44" i="15"/>
  <c r="W44" i="15"/>
  <c r="U44" i="15"/>
  <c r="V44" i="15" s="1"/>
  <c r="Z43" i="15"/>
  <c r="Y43" i="15"/>
  <c r="X43" i="15"/>
  <c r="W43" i="15"/>
  <c r="U43" i="15"/>
  <c r="V43" i="15" s="1"/>
  <c r="K43" i="15"/>
  <c r="J43" i="15"/>
  <c r="I43" i="15"/>
  <c r="Z42" i="15"/>
  <c r="Y42" i="15"/>
  <c r="Y48" i="15" s="1"/>
  <c r="X42" i="15"/>
  <c r="W42" i="15"/>
  <c r="U42" i="15"/>
  <c r="G42" i="15"/>
  <c r="N60" i="16"/>
  <c r="Q57" i="16"/>
  <c r="Y54" i="16"/>
  <c r="X54" i="16"/>
  <c r="W54" i="16"/>
  <c r="V54" i="16"/>
  <c r="U54" i="16"/>
  <c r="Y52" i="16"/>
  <c r="X52" i="16"/>
  <c r="H53" i="16" s="1"/>
  <c r="W52" i="16"/>
  <c r="V52" i="16"/>
  <c r="H52" i="16" s="1"/>
  <c r="T52" i="16"/>
  <c r="P57" i="16" s="1"/>
  <c r="U60" i="16" s="1"/>
  <c r="S49" i="16"/>
  <c r="R49" i="16"/>
  <c r="Q49" i="16"/>
  <c r="P49" i="16"/>
  <c r="O49" i="16"/>
  <c r="N49" i="16"/>
  <c r="M49" i="16"/>
  <c r="L49" i="16"/>
  <c r="K49" i="16"/>
  <c r="S48" i="16"/>
  <c r="R48" i="16"/>
  <c r="Q48" i="16"/>
  <c r="P48" i="16"/>
  <c r="O48" i="16"/>
  <c r="N48" i="16"/>
  <c r="M48" i="16"/>
  <c r="L48" i="16"/>
  <c r="K48" i="16"/>
  <c r="S46" i="16"/>
  <c r="R46" i="16"/>
  <c r="Q46" i="16"/>
  <c r="P46" i="16"/>
  <c r="O46" i="16"/>
  <c r="N46" i="16"/>
  <c r="M46" i="16"/>
  <c r="L46" i="16"/>
  <c r="K46" i="16"/>
  <c r="Y44" i="16"/>
  <c r="X44" i="16"/>
  <c r="W44" i="16"/>
  <c r="V44" i="16"/>
  <c r="T44" i="16"/>
  <c r="U44" i="16" s="1"/>
  <c r="Y43" i="16"/>
  <c r="X43" i="16"/>
  <c r="W43" i="16"/>
  <c r="V43" i="16"/>
  <c r="T43" i="16"/>
  <c r="U43" i="16" s="1"/>
  <c r="Y42" i="16"/>
  <c r="X42" i="16"/>
  <c r="W42" i="16"/>
  <c r="V42" i="16"/>
  <c r="U42" i="16"/>
  <c r="T42" i="16"/>
  <c r="I42" i="16"/>
  <c r="H42" i="16"/>
  <c r="Y41" i="16"/>
  <c r="X41" i="16"/>
  <c r="W41" i="16"/>
  <c r="V41" i="16"/>
  <c r="T41" i="16"/>
  <c r="J41" i="16"/>
  <c r="N60" i="17"/>
  <c r="Q57" i="17"/>
  <c r="Y54" i="17"/>
  <c r="X54" i="17"/>
  <c r="W54" i="17"/>
  <c r="V54" i="17"/>
  <c r="U54" i="17"/>
  <c r="Y52" i="17"/>
  <c r="H53" i="17" s="1"/>
  <c r="X52" i="17"/>
  <c r="W52" i="17"/>
  <c r="V52" i="17"/>
  <c r="H52" i="17" s="1"/>
  <c r="T52" i="17"/>
  <c r="P57" i="17" s="1"/>
  <c r="Y48" i="17"/>
  <c r="X48" i="17"/>
  <c r="W48" i="17"/>
  <c r="V48" i="17"/>
  <c r="T48" i="17"/>
  <c r="U48" i="17" s="1"/>
  <c r="Y47" i="17"/>
  <c r="X47" i="17"/>
  <c r="W47" i="17"/>
  <c r="V47" i="17"/>
  <c r="T47" i="17"/>
  <c r="U47" i="17" s="1"/>
  <c r="Y46" i="17"/>
  <c r="X46" i="17"/>
  <c r="W46" i="17"/>
  <c r="V46" i="17"/>
  <c r="T46" i="17"/>
  <c r="U46" i="17" s="1"/>
  <c r="H46" i="17"/>
  <c r="Y45" i="17"/>
  <c r="X45" i="17"/>
  <c r="W45" i="17"/>
  <c r="V45" i="17"/>
  <c r="T45" i="17"/>
  <c r="J45" i="17"/>
  <c r="G45" i="17"/>
  <c r="H11" i="17"/>
  <c r="H12" i="17" s="1"/>
  <c r="K17" i="18" l="1"/>
  <c r="L17" i="18" s="1"/>
  <c r="K20" i="18"/>
  <c r="L20" i="18" s="1"/>
  <c r="K14" i="18"/>
  <c r="L14" i="18" s="1"/>
  <c r="K32" i="18" s="1"/>
  <c r="L32" i="18" s="1"/>
  <c r="K18" i="18"/>
  <c r="L18" i="18" s="1"/>
  <c r="K19" i="18"/>
  <c r="L19" i="18" s="1"/>
  <c r="K13" i="18"/>
  <c r="K16" i="18"/>
  <c r="L16" i="18" s="1"/>
  <c r="K33" i="18"/>
  <c r="L33" i="18" s="1"/>
  <c r="J25" i="18"/>
  <c r="J23" i="18"/>
  <c r="L15" i="18"/>
  <c r="K12" i="18"/>
  <c r="F32" i="18"/>
  <c r="F30" i="18"/>
  <c r="F31" i="18"/>
  <c r="L13" i="18"/>
  <c r="J24" i="18"/>
  <c r="X48" i="15"/>
  <c r="X48" i="16"/>
  <c r="Y49" i="16"/>
  <c r="Z49" i="15"/>
  <c r="M57" i="16"/>
  <c r="S60" i="16" s="1"/>
  <c r="N57" i="16"/>
  <c r="T47" i="16"/>
  <c r="V49" i="16"/>
  <c r="R57" i="16"/>
  <c r="T60" i="16" s="1"/>
  <c r="I44" i="15"/>
  <c r="I45" i="15" s="1"/>
  <c r="I46" i="15" s="1"/>
  <c r="V46" i="16"/>
  <c r="V47" i="16"/>
  <c r="U52" i="16"/>
  <c r="W48" i="16"/>
  <c r="U49" i="15"/>
  <c r="X49" i="16"/>
  <c r="T48" i="16"/>
  <c r="W50" i="15"/>
  <c r="M57" i="17"/>
  <c r="S60" i="17" s="1"/>
  <c r="U60" i="17"/>
  <c r="U52" i="17"/>
  <c r="U48" i="15"/>
  <c r="W49" i="15"/>
  <c r="O58" i="15"/>
  <c r="S58" i="15"/>
  <c r="J44" i="15"/>
  <c r="X47" i="15"/>
  <c r="W48" i="15"/>
  <c r="X49" i="15"/>
  <c r="I50" i="15"/>
  <c r="U50" i="15"/>
  <c r="Y50" i="15"/>
  <c r="V53" i="15"/>
  <c r="L58" i="15"/>
  <c r="P58" i="15"/>
  <c r="T58" i="15"/>
  <c r="H43" i="15"/>
  <c r="W47" i="15"/>
  <c r="X50" i="15"/>
  <c r="V42" i="15"/>
  <c r="K44" i="15"/>
  <c r="K45" i="15" s="1"/>
  <c r="K46" i="15" s="1"/>
  <c r="I47" i="15"/>
  <c r="U47" i="15"/>
  <c r="Y47" i="15"/>
  <c r="Y49" i="15"/>
  <c r="Z50" i="15"/>
  <c r="M58" i="15"/>
  <c r="Q58" i="15"/>
  <c r="V61" i="15" s="1"/>
  <c r="Z47" i="15"/>
  <c r="W46" i="16"/>
  <c r="T46" i="16"/>
  <c r="X46" i="16"/>
  <c r="W47" i="16"/>
  <c r="Y48" i="16"/>
  <c r="W49" i="16"/>
  <c r="K57" i="16"/>
  <c r="V57" i="16" s="1"/>
  <c r="O57" i="16"/>
  <c r="S57" i="16"/>
  <c r="U41" i="16"/>
  <c r="J42" i="16"/>
  <c r="G42" i="16" s="1"/>
  <c r="H43" i="16"/>
  <c r="Y46" i="16"/>
  <c r="X47" i="16"/>
  <c r="V48" i="16"/>
  <c r="T49" i="16"/>
  <c r="L57" i="16"/>
  <c r="G41" i="16"/>
  <c r="I43" i="16"/>
  <c r="I44" i="16" s="1"/>
  <c r="I45" i="16" s="1"/>
  <c r="Y47" i="16"/>
  <c r="N57" i="17"/>
  <c r="R57" i="17"/>
  <c r="T60" i="17" s="1"/>
  <c r="K57" i="17"/>
  <c r="O57" i="17"/>
  <c r="S57" i="17"/>
  <c r="U45" i="17"/>
  <c r="J46" i="17"/>
  <c r="I46" i="17" s="1"/>
  <c r="H47" i="17"/>
  <c r="L57" i="17"/>
  <c r="J7" i="7"/>
  <c r="K26" i="18" l="1"/>
  <c r="K24" i="18"/>
  <c r="F33" i="18"/>
  <c r="K34" i="18"/>
  <c r="L34" i="18" s="1"/>
  <c r="K31" i="18"/>
  <c r="L26" i="18"/>
  <c r="K25" i="18"/>
  <c r="K23" i="18"/>
  <c r="L12" i="18"/>
  <c r="K47" i="15"/>
  <c r="I49" i="15"/>
  <c r="W58" i="15"/>
  <c r="Q61" i="15"/>
  <c r="X58" i="15"/>
  <c r="U58" i="15"/>
  <c r="R61" i="15"/>
  <c r="Y58" i="15"/>
  <c r="J45" i="15"/>
  <c r="H44" i="15"/>
  <c r="G44" i="15" s="1"/>
  <c r="K49" i="15"/>
  <c r="K50" i="15"/>
  <c r="V49" i="15"/>
  <c r="V47" i="15"/>
  <c r="V50" i="15"/>
  <c r="W61" i="15"/>
  <c r="S61" i="15"/>
  <c r="Z58" i="15"/>
  <c r="G43" i="15"/>
  <c r="U61" i="15"/>
  <c r="T57" i="16"/>
  <c r="Q60" i="16"/>
  <c r="X57" i="16"/>
  <c r="W57" i="16"/>
  <c r="V60" i="16"/>
  <c r="R60" i="16"/>
  <c r="Y57" i="16"/>
  <c r="H44" i="16"/>
  <c r="H48" i="16" s="1"/>
  <c r="J43" i="16"/>
  <c r="G43" i="16" s="1"/>
  <c r="U49" i="16"/>
  <c r="U46" i="16"/>
  <c r="U48" i="16"/>
  <c r="I48" i="16"/>
  <c r="I46" i="16"/>
  <c r="P60" i="16"/>
  <c r="I49" i="16"/>
  <c r="G46" i="17"/>
  <c r="T57" i="17"/>
  <c r="Q60" i="17"/>
  <c r="X57" i="17"/>
  <c r="V57" i="17"/>
  <c r="P60" i="17"/>
  <c r="W57" i="17"/>
  <c r="J47" i="17"/>
  <c r="J48" i="17" s="1"/>
  <c r="J49" i="17" s="1"/>
  <c r="V60" i="17"/>
  <c r="R60" i="17"/>
  <c r="Y57" i="17"/>
  <c r="H48" i="17"/>
  <c r="K36" i="18" l="1"/>
  <c r="L36" i="18" s="1"/>
  <c r="K30" i="18"/>
  <c r="L30" i="18" s="1"/>
  <c r="L25" i="18"/>
  <c r="L23" i="18"/>
  <c r="K29" i="18"/>
  <c r="L24" i="18"/>
  <c r="L31" i="18"/>
  <c r="K28" i="18"/>
  <c r="L28" i="18" s="1"/>
  <c r="X61" i="15"/>
  <c r="I47" i="17"/>
  <c r="G47" i="17" s="1"/>
  <c r="W60" i="16"/>
  <c r="W60" i="17"/>
  <c r="J46" i="15"/>
  <c r="H46" i="15" s="1"/>
  <c r="G46" i="15" s="1"/>
  <c r="J50" i="15"/>
  <c r="H45" i="15"/>
  <c r="G45" i="15" s="1"/>
  <c r="J49" i="15"/>
  <c r="J47" i="15"/>
  <c r="H45" i="16"/>
  <c r="J44" i="16"/>
  <c r="J48" i="16" s="1"/>
  <c r="H46" i="16"/>
  <c r="H49" i="16"/>
  <c r="H49" i="17"/>
  <c r="I48" i="17"/>
  <c r="K37" i="18" l="1"/>
  <c r="L37" i="18" s="1"/>
  <c r="K35" i="18"/>
  <c r="L35" i="18" s="1"/>
  <c r="K38" i="18"/>
  <c r="L38" i="18" s="1"/>
  <c r="L29" i="18"/>
  <c r="H50" i="15"/>
  <c r="J49" i="16"/>
  <c r="G44" i="16"/>
  <c r="H49" i="15"/>
  <c r="H47" i="15"/>
  <c r="J46" i="16"/>
  <c r="J45" i="16"/>
  <c r="G45" i="16" s="1"/>
  <c r="I49" i="17"/>
  <c r="G49" i="17" s="1"/>
  <c r="G48" i="17"/>
  <c r="N25" i="17"/>
  <c r="H13" i="17" l="1"/>
  <c r="H14" i="17" s="1"/>
  <c r="Q22" i="17"/>
  <c r="Y19" i="17"/>
  <c r="X19" i="17"/>
  <c r="W19" i="17"/>
  <c r="V19" i="17"/>
  <c r="U19" i="17"/>
  <c r="Y17" i="17"/>
  <c r="H18" i="17" s="1"/>
  <c r="X17" i="17"/>
  <c r="W17" i="17"/>
  <c r="V17" i="17"/>
  <c r="H17" i="17" s="1"/>
  <c r="M22" i="17"/>
  <c r="S25" i="17" s="1"/>
  <c r="Y13" i="17"/>
  <c r="X13" i="17"/>
  <c r="W13" i="17"/>
  <c r="V13" i="17"/>
  <c r="T13" i="17"/>
  <c r="U13" i="17" s="1"/>
  <c r="Y12" i="17"/>
  <c r="X12" i="17"/>
  <c r="W12" i="17"/>
  <c r="V12" i="17"/>
  <c r="T12" i="17"/>
  <c r="U12" i="17" s="1"/>
  <c r="Y11" i="17"/>
  <c r="X11" i="17"/>
  <c r="W11" i="17"/>
  <c r="V11" i="17"/>
  <c r="T11" i="17"/>
  <c r="U11" i="17" s="1"/>
  <c r="Y10" i="17"/>
  <c r="X10" i="17"/>
  <c r="W10" i="17"/>
  <c r="V10" i="17"/>
  <c r="J10" i="17"/>
  <c r="J11" i="17" s="1"/>
  <c r="I11" i="17" s="1"/>
  <c r="J10" i="16"/>
  <c r="G10" i="16" s="1"/>
  <c r="I11" i="16"/>
  <c r="I12" i="16" s="1"/>
  <c r="I13" i="16" s="1"/>
  <c r="I14" i="16" s="1"/>
  <c r="H11" i="16"/>
  <c r="J11" i="16" s="1"/>
  <c r="Q22" i="16"/>
  <c r="Y19" i="16"/>
  <c r="X19" i="16"/>
  <c r="W19" i="16"/>
  <c r="V19" i="16"/>
  <c r="U19" i="16"/>
  <c r="Y17" i="16"/>
  <c r="X17" i="16"/>
  <c r="H18" i="16" s="1"/>
  <c r="W17" i="16"/>
  <c r="V17" i="16"/>
  <c r="H17" i="16" s="1"/>
  <c r="T17" i="16"/>
  <c r="R22" i="16" s="1"/>
  <c r="Y13" i="16"/>
  <c r="X13" i="16"/>
  <c r="W13" i="16"/>
  <c r="V13" i="16"/>
  <c r="T13" i="16"/>
  <c r="U13" i="16" s="1"/>
  <c r="Y12" i="16"/>
  <c r="X12" i="16"/>
  <c r="W12" i="16"/>
  <c r="V12" i="16"/>
  <c r="T12" i="16"/>
  <c r="U12" i="16" s="1"/>
  <c r="Y11" i="16"/>
  <c r="X11" i="16"/>
  <c r="W11" i="16"/>
  <c r="V11" i="16"/>
  <c r="T11" i="16"/>
  <c r="U11" i="16" s="1"/>
  <c r="Y10" i="16"/>
  <c r="X10" i="16"/>
  <c r="W10" i="16"/>
  <c r="V10" i="16"/>
  <c r="T10" i="16"/>
  <c r="I11" i="15"/>
  <c r="R22" i="15"/>
  <c r="W11" i="15"/>
  <c r="X11" i="15"/>
  <c r="Y11" i="15"/>
  <c r="Z11" i="15"/>
  <c r="W12" i="15"/>
  <c r="X12" i="15"/>
  <c r="Y12" i="15"/>
  <c r="Z12" i="15"/>
  <c r="W13" i="15"/>
  <c r="X13" i="15"/>
  <c r="Y13" i="15"/>
  <c r="Z13" i="15"/>
  <c r="V19" i="15"/>
  <c r="W19" i="15"/>
  <c r="X19" i="15"/>
  <c r="Y19" i="15"/>
  <c r="Z19" i="15"/>
  <c r="O25" i="15"/>
  <c r="Z17" i="15"/>
  <c r="I19" i="15" s="1"/>
  <c r="Y17" i="15"/>
  <c r="I18" i="15" s="1"/>
  <c r="X17" i="15"/>
  <c r="W17" i="15"/>
  <c r="I17" i="15" s="1"/>
  <c r="U17" i="15"/>
  <c r="V17" i="15" s="1"/>
  <c r="U13" i="15"/>
  <c r="V13" i="15" s="1"/>
  <c r="U12" i="15"/>
  <c r="V12" i="15" s="1"/>
  <c r="U11" i="15"/>
  <c r="V11" i="15" s="1"/>
  <c r="K11" i="15"/>
  <c r="J11" i="15"/>
  <c r="Z10" i="15"/>
  <c r="Y10" i="15"/>
  <c r="X10" i="15"/>
  <c r="W10" i="15"/>
  <c r="U10" i="15"/>
  <c r="G10" i="15"/>
  <c r="G11" i="16" l="1"/>
  <c r="H12" i="16"/>
  <c r="H13" i="16" s="1"/>
  <c r="J13" i="16" s="1"/>
  <c r="G13" i="16" s="1"/>
  <c r="H14" i="16"/>
  <c r="J12" i="17"/>
  <c r="J13" i="17" s="1"/>
  <c r="J14" i="17" s="1"/>
  <c r="M22" i="15"/>
  <c r="Q22" i="15"/>
  <c r="V25" i="15" s="1"/>
  <c r="J12" i="16"/>
  <c r="G12" i="16" s="1"/>
  <c r="N22" i="15"/>
  <c r="T25" i="15" s="1"/>
  <c r="S22" i="15"/>
  <c r="U10" i="17"/>
  <c r="L22" i="15"/>
  <c r="O22" i="15"/>
  <c r="P22" i="15"/>
  <c r="T22" i="15"/>
  <c r="R22" i="17"/>
  <c r="T25" i="17" s="1"/>
  <c r="G10" i="17"/>
  <c r="U17" i="17"/>
  <c r="O22" i="17"/>
  <c r="S22" i="17"/>
  <c r="L22" i="17"/>
  <c r="R25" i="17" s="1"/>
  <c r="P22" i="17"/>
  <c r="U25" i="17" s="1"/>
  <c r="N22" i="17"/>
  <c r="P22" i="16"/>
  <c r="U25" i="16" s="1"/>
  <c r="K22" i="16"/>
  <c r="L22" i="16"/>
  <c r="S22" i="16"/>
  <c r="O22" i="16"/>
  <c r="U10" i="16"/>
  <c r="M22" i="16"/>
  <c r="S25" i="16" s="1"/>
  <c r="U17" i="16"/>
  <c r="N22" i="16"/>
  <c r="J12" i="15"/>
  <c r="J13" i="15" s="1"/>
  <c r="J14" i="15" s="1"/>
  <c r="V10" i="15"/>
  <c r="K12" i="15"/>
  <c r="H11" i="15"/>
  <c r="I12" i="15"/>
  <c r="Z22" i="15" l="1"/>
  <c r="U22" i="15"/>
  <c r="W25" i="15"/>
  <c r="W22" i="15"/>
  <c r="X22" i="15"/>
  <c r="Y22" i="15"/>
  <c r="P25" i="16"/>
  <c r="I12" i="17"/>
  <c r="U25" i="15"/>
  <c r="R25" i="15"/>
  <c r="I13" i="17"/>
  <c r="Q25" i="16"/>
  <c r="S25" i="15"/>
  <c r="R25" i="16"/>
  <c r="Q25" i="17"/>
  <c r="Q25" i="15"/>
  <c r="T25" i="16"/>
  <c r="J14" i="16"/>
  <c r="G14" i="16" s="1"/>
  <c r="P25" i="17"/>
  <c r="V22" i="17"/>
  <c r="W22" i="17"/>
  <c r="I14" i="17"/>
  <c r="T22" i="17"/>
  <c r="X22" i="17"/>
  <c r="V25" i="17"/>
  <c r="Y22" i="17"/>
  <c r="T22" i="16"/>
  <c r="Y22" i="16"/>
  <c r="X22" i="16"/>
  <c r="V25" i="16"/>
  <c r="W22" i="16"/>
  <c r="V22" i="16"/>
  <c r="I13" i="15"/>
  <c r="H12" i="15"/>
  <c r="G12" i="15" s="1"/>
  <c r="K13" i="15"/>
  <c r="G11" i="15"/>
  <c r="X25" i="15"/>
  <c r="W25" i="17" l="1"/>
  <c r="W25" i="16"/>
  <c r="K14" i="15"/>
  <c r="I14" i="15"/>
  <c r="H13" i="15"/>
  <c r="H14" i="15" l="1"/>
  <c r="G14" i="15" s="1"/>
  <c r="G13" i="15"/>
  <c r="I15" i="7" l="1"/>
  <c r="I14" i="7"/>
  <c r="I12" i="7"/>
  <c r="J10" i="7" l="1"/>
  <c r="J13" i="7"/>
  <c r="J8" i="7"/>
  <c r="J27" i="7"/>
  <c r="J28" i="7" s="1"/>
  <c r="J9" i="7" l="1"/>
  <c r="J17" i="7" s="1"/>
  <c r="J19" i="7" s="1"/>
  <c r="I11" i="5" l="1"/>
  <c r="I15" i="5" s="1"/>
  <c r="H22" i="5" l="1"/>
  <c r="H23" i="1" l="1"/>
  <c r="G23" i="1"/>
  <c r="F26" i="1" l="1"/>
  <c r="S21" i="5"/>
  <c r="S20" i="5"/>
  <c r="S19" i="5"/>
  <c r="S17" i="5"/>
  <c r="S16" i="5"/>
  <c r="S15" i="5"/>
  <c r="M22" i="1"/>
  <c r="M21" i="1"/>
  <c r="M20" i="1"/>
  <c r="M18" i="1"/>
  <c r="M17" i="1"/>
  <c r="M16" i="1"/>
  <c r="H24" i="1"/>
  <c r="E29" i="5" l="1"/>
  <c r="E35" i="5" s="1"/>
  <c r="E28" i="5"/>
  <c r="E34" i="5" s="1"/>
  <c r="E27" i="5"/>
  <c r="E33" i="5" s="1"/>
  <c r="F24" i="5"/>
  <c r="G24" i="5"/>
  <c r="H24" i="5"/>
  <c r="F25" i="5"/>
  <c r="G25" i="5"/>
  <c r="H25" i="5"/>
  <c r="F23" i="5"/>
  <c r="G23" i="5"/>
  <c r="H23" i="5"/>
  <c r="G22" i="5"/>
  <c r="S23" i="5" l="1"/>
  <c r="H28" i="5" s="1"/>
  <c r="R26" i="5" s="1"/>
  <c r="E30" i="1"/>
  <c r="E36" i="1" s="1"/>
  <c r="E29" i="1"/>
  <c r="E35" i="1" s="1"/>
  <c r="H27" i="5" l="1"/>
  <c r="R25" i="5" s="1"/>
  <c r="H29" i="5" l="1"/>
  <c r="F25" i="1"/>
  <c r="G25" i="1"/>
  <c r="H25" i="1"/>
  <c r="G26" i="1"/>
  <c r="H26" i="1"/>
  <c r="F24" i="1"/>
  <c r="G24" i="1"/>
  <c r="H30" i="5" l="1"/>
  <c r="R27" i="5"/>
  <c r="I21" i="5"/>
  <c r="F23" i="1"/>
  <c r="R28" i="5" l="1"/>
  <c r="R29" i="5" s="1"/>
  <c r="I13" i="5"/>
  <c r="I20" i="5"/>
  <c r="I19" i="5"/>
  <c r="I12" i="5"/>
  <c r="I17" i="5"/>
  <c r="I16" i="5"/>
  <c r="I14" i="5"/>
  <c r="I18" i="5"/>
  <c r="M24" i="1"/>
  <c r="H28" i="1" s="1"/>
  <c r="L26" i="1" s="1"/>
  <c r="F34" i="5" l="1"/>
  <c r="F33" i="5"/>
  <c r="F35" i="5"/>
  <c r="I23" i="5"/>
  <c r="I22" i="5"/>
  <c r="I25" i="5"/>
  <c r="I24" i="5"/>
  <c r="H29" i="1"/>
  <c r="L27" i="1" s="1"/>
  <c r="F36" i="5" l="1"/>
  <c r="H30" i="1"/>
  <c r="H31" i="1" l="1"/>
  <c r="L28" i="1"/>
  <c r="I12" i="1"/>
  <c r="I22" i="1" s="1"/>
  <c r="L29" i="1" l="1"/>
  <c r="L30" i="1" s="1"/>
  <c r="F34" i="1" s="1"/>
  <c r="I21" i="1"/>
  <c r="I18" i="1"/>
  <c r="I15" i="1"/>
  <c r="I13" i="1"/>
  <c r="I19" i="1"/>
  <c r="I20" i="1"/>
  <c r="I14" i="1"/>
  <c r="I16" i="1"/>
  <c r="I17" i="1"/>
  <c r="F35" i="1" l="1"/>
  <c r="F36" i="1"/>
  <c r="I23" i="1"/>
  <c r="I25" i="1"/>
  <c r="I24" i="1"/>
  <c r="I26" i="1"/>
  <c r="F37" i="1" l="1"/>
  <c r="G13" i="17"/>
  <c r="G12" i="17"/>
  <c r="G11" i="17"/>
  <c r="G14" i="17" l="1"/>
  <c r="J33" i="7"/>
  <c r="J34" i="7" s="1"/>
</calcChain>
</file>

<file path=xl/sharedStrings.xml><?xml version="1.0" encoding="utf-8"?>
<sst xmlns="http://schemas.openxmlformats.org/spreadsheetml/2006/main" count="1132" uniqueCount="198">
  <si>
    <t>RAWMEAL</t>
  </si>
  <si>
    <t>SiO2</t>
  </si>
  <si>
    <t>MIX %</t>
  </si>
  <si>
    <t>Al2O3</t>
  </si>
  <si>
    <t>Fe2O3</t>
  </si>
  <si>
    <t>CaO</t>
  </si>
  <si>
    <t>MgO</t>
  </si>
  <si>
    <t>K2O</t>
  </si>
  <si>
    <t>Na2O</t>
  </si>
  <si>
    <t>SO3</t>
  </si>
  <si>
    <t>TOTAL</t>
  </si>
  <si>
    <t>LIMESTONE</t>
  </si>
  <si>
    <t>COEFFICIENTS FOR MIX CALCULATION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</si>
  <si>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</si>
  <si>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</si>
  <si>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</si>
  <si>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</si>
  <si>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</si>
  <si>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</si>
  <si>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</si>
  <si>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</si>
  <si>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</si>
  <si>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</si>
  <si>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</si>
  <si>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</si>
  <si>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DELTA</t>
  </si>
  <si>
    <t>SHALE</t>
  </si>
  <si>
    <t>IRON ORE</t>
  </si>
  <si>
    <t>Clinker Production, TPH</t>
  </si>
  <si>
    <t>Specific Heat Consumption, Kcal/Kg Clinker</t>
  </si>
  <si>
    <t>Clinker Factor</t>
  </si>
  <si>
    <t>Kiln Feed, TPH</t>
  </si>
  <si>
    <t>%</t>
  </si>
  <si>
    <t>Kg Fuel per Kg Clinker Produced</t>
  </si>
  <si>
    <t>Kiln Feed, LOI</t>
  </si>
  <si>
    <t>Kiln Feed, H2O</t>
  </si>
  <si>
    <t>SM</t>
  </si>
  <si>
    <t>AM</t>
  </si>
  <si>
    <t>LSF</t>
  </si>
  <si>
    <t>LOI</t>
  </si>
  <si>
    <t>Cl</t>
  </si>
  <si>
    <t>LIME SATURATION FACTOR</t>
  </si>
  <si>
    <t>ALUMINA MODULUS</t>
  </si>
  <si>
    <t>SILICA MODULUS</t>
  </si>
  <si>
    <t>% Ash Content</t>
  </si>
  <si>
    <t>% Ash Absorbed</t>
  </si>
  <si>
    <t>LVM</t>
  </si>
  <si>
    <t>Heat Value, Kcal/Kg</t>
  </si>
  <si>
    <t xml:space="preserve">HVM </t>
  </si>
  <si>
    <t>HM</t>
  </si>
  <si>
    <t>FCaO</t>
  </si>
  <si>
    <t>Burning Condition</t>
  </si>
  <si>
    <t>DOC</t>
  </si>
  <si>
    <t>KF LOI</t>
  </si>
  <si>
    <t>MINERALS</t>
  </si>
  <si>
    <t xml:space="preserve">Total Alkali </t>
  </si>
  <si>
    <t>COATING INDEX</t>
  </si>
  <si>
    <t xml:space="preserve">Hotmeal </t>
  </si>
  <si>
    <t>C3S net</t>
  </si>
  <si>
    <t>C2S</t>
  </si>
  <si>
    <t>C3A</t>
  </si>
  <si>
    <t>C4AF</t>
  </si>
  <si>
    <t>%SO3</t>
  </si>
  <si>
    <t>Density,Kg/L</t>
  </si>
  <si>
    <t>Combined Fuel, Kcal/Kg</t>
  </si>
  <si>
    <t>Viscosity, cP</t>
  </si>
  <si>
    <t>Fuel &amp; Kiln Feed to Clinker Ratio</t>
  </si>
  <si>
    <t>% Dust Loss to Silo</t>
  </si>
  <si>
    <t>% Dust Loss to Silo, LOI</t>
  </si>
  <si>
    <t>VCM</t>
  </si>
  <si>
    <t>Combined Ash</t>
  </si>
  <si>
    <t>Combined VCM</t>
  </si>
  <si>
    <t>CMH</t>
  </si>
  <si>
    <t>Fuel Requirement</t>
  </si>
  <si>
    <t>SAND</t>
  </si>
  <si>
    <t>MIX</t>
  </si>
  <si>
    <t xml:space="preserve">   COEFFICIENTS</t>
  </si>
  <si>
    <t>MATRIX DETERMINANTS</t>
  </si>
  <si>
    <t>a</t>
  </si>
  <si>
    <t>Dw</t>
  </si>
  <si>
    <t>b</t>
  </si>
  <si>
    <t>Dx</t>
  </si>
  <si>
    <t>c</t>
  </si>
  <si>
    <t>Dy</t>
  </si>
  <si>
    <t>d</t>
  </si>
  <si>
    <t>Dz</t>
  </si>
  <si>
    <t>e</t>
  </si>
  <si>
    <t>f</t>
  </si>
  <si>
    <t>g</t>
  </si>
  <si>
    <t>h</t>
  </si>
  <si>
    <t>i</t>
  </si>
  <si>
    <t>L.O.I.</t>
  </si>
  <si>
    <t>k</t>
  </si>
  <si>
    <t>l</t>
  </si>
  <si>
    <t>m</t>
  </si>
  <si>
    <t>n</t>
  </si>
  <si>
    <t>p</t>
  </si>
  <si>
    <t>q</t>
  </si>
  <si>
    <t>r</t>
  </si>
  <si>
    <t>s</t>
  </si>
  <si>
    <t>4 MATERIALS - LSF,SM AND AM</t>
  </si>
  <si>
    <t>RATIOS</t>
  </si>
  <si>
    <t>Total Alkali</t>
  </si>
  <si>
    <t>Coating Index</t>
  </si>
  <si>
    <t xml:space="preserve">Liquid Phase @ 1450 C </t>
  </si>
  <si>
    <t>C3Sgross</t>
  </si>
  <si>
    <t>C3Snet</t>
  </si>
  <si>
    <t>Hotmeal SO3</t>
  </si>
  <si>
    <t xml:space="preserve"> Material Setting</t>
  </si>
  <si>
    <t>XRF Analysis</t>
  </si>
  <si>
    <t>Limestome</t>
  </si>
  <si>
    <t>Shale</t>
  </si>
  <si>
    <t>Sand</t>
  </si>
  <si>
    <t>MANUAL</t>
  </si>
  <si>
    <t>AVERAGE</t>
  </si>
  <si>
    <t>STDEV</t>
  </si>
  <si>
    <t>MIN</t>
  </si>
  <si>
    <t>MAX</t>
  </si>
  <si>
    <t>Target Rawmeal Composition</t>
  </si>
  <si>
    <t>Target</t>
  </si>
  <si>
    <t>RAWMIX TYPE:</t>
  </si>
  <si>
    <t>Potential  Clinker Composition</t>
  </si>
  <si>
    <t>Coal Ash Composition</t>
  </si>
  <si>
    <t xml:space="preserve">Liter Wt. </t>
  </si>
  <si>
    <t>Condition (M/A)</t>
  </si>
  <si>
    <t>MANUAL/AUTOMATIC</t>
  </si>
  <si>
    <t>LP @ 1450C</t>
  </si>
  <si>
    <t xml:space="preserve">3 MATERIALS - LSF and SM </t>
  </si>
  <si>
    <t>oxidize</t>
  </si>
  <si>
    <t>reducing</t>
  </si>
  <si>
    <t>OPC</t>
  </si>
  <si>
    <t>SRC</t>
  </si>
  <si>
    <t>Alkali/Sulphate Ratio</t>
  </si>
  <si>
    <t>LAYOUT</t>
  </si>
  <si>
    <t>WITH FORMULA</t>
  </si>
  <si>
    <t>formula</t>
  </si>
  <si>
    <t>Legend:</t>
  </si>
  <si>
    <t>TEXT BOX</t>
  </si>
  <si>
    <t>NUMBERS</t>
  </si>
  <si>
    <t>text</t>
  </si>
  <si>
    <t>numbers</t>
  </si>
  <si>
    <t>Iron Ore</t>
  </si>
  <si>
    <t>TEXT</t>
  </si>
  <si>
    <t>% H2O</t>
  </si>
  <si>
    <t>Wet*</t>
  </si>
  <si>
    <t>RAW MATERIAL PERCENTAGE (%Dry)</t>
  </si>
  <si>
    <t>Burning Con</t>
  </si>
  <si>
    <t xml:space="preserve">Ltr. Wt. </t>
  </si>
  <si>
    <t xml:space="preserve">Ltr Wt. </t>
  </si>
  <si>
    <t>XRF ANALYSIS</t>
  </si>
  <si>
    <t>H2O %</t>
  </si>
  <si>
    <t>Dry Basis</t>
  </si>
  <si>
    <t xml:space="preserve"> LSF</t>
  </si>
  <si>
    <t>Alk/Sul Ratio</t>
  </si>
  <si>
    <t xml:space="preserve">Tot Alkali </t>
  </si>
  <si>
    <t>Cond</t>
  </si>
  <si>
    <t>Alk/Sulp Ratio</t>
  </si>
  <si>
    <t xml:space="preserve">3 MATERIALS - LSF &amp; AM </t>
  </si>
  <si>
    <t>3 MATERIALS - LSF &amp; AM</t>
  </si>
  <si>
    <t xml:space="preserve">3 MATERIALS - LSF &amp; SM </t>
  </si>
  <si>
    <t>ASH</t>
  </si>
  <si>
    <t>FUEL AND CLINKER BALANCE</t>
  </si>
  <si>
    <t>HVM</t>
  </si>
  <si>
    <t>Min</t>
  </si>
  <si>
    <t>Max</t>
  </si>
  <si>
    <t>Remarks</t>
  </si>
  <si>
    <t xml:space="preserve">LP @ 1450 C </t>
  </si>
  <si>
    <t>Activity Index</t>
  </si>
  <si>
    <t>Burn Factor</t>
  </si>
  <si>
    <t>Burn Index</t>
  </si>
  <si>
    <t>Wet basis</t>
  </si>
  <si>
    <t xml:space="preserve">MIX % </t>
  </si>
  <si>
    <t xml:space="preserve"> Dry Basis</t>
  </si>
  <si>
    <t xml:space="preserve"> Wet Basis</t>
  </si>
  <si>
    <t>TARGET</t>
  </si>
  <si>
    <t>Control Range</t>
  </si>
  <si>
    <t>CKR analysis</t>
  </si>
  <si>
    <t>CKR-ASH FREE</t>
  </si>
  <si>
    <t>CKR w/ ASH</t>
  </si>
  <si>
    <t>Material Percentage (WEIGH FEEDER)</t>
  </si>
  <si>
    <t>CLINKER ANALYSIS</t>
  </si>
  <si>
    <r>
      <rPr>
        <b/>
        <u/>
        <sz val="22"/>
        <color theme="2" tint="-0.749992370372631"/>
        <rFont val="Book Antiqua"/>
        <family val="1"/>
      </rPr>
      <t>F</t>
    </r>
    <r>
      <rPr>
        <sz val="14"/>
        <color theme="9" tint="0.39997558519241921"/>
        <rFont val="Book Antiqua"/>
        <family val="1"/>
      </rPr>
      <t>e2O3</t>
    </r>
  </si>
  <si>
    <r>
      <t>LIMESTO</t>
    </r>
    <r>
      <rPr>
        <b/>
        <sz val="20"/>
        <color theme="2" tint="-0.749992370372631"/>
        <rFont val="Book Antiqua"/>
        <family val="1"/>
      </rPr>
      <t>N</t>
    </r>
    <r>
      <rPr>
        <b/>
        <sz val="16"/>
        <color theme="0"/>
        <rFont val="Book Antiqua"/>
        <family val="1"/>
      </rPr>
      <t>E</t>
    </r>
  </si>
  <si>
    <r>
      <t>SH</t>
    </r>
    <r>
      <rPr>
        <b/>
        <sz val="20"/>
        <color theme="2" tint="-0.749992370372631"/>
        <rFont val="Book Antiqua"/>
        <family val="1"/>
      </rPr>
      <t>A</t>
    </r>
    <r>
      <rPr>
        <b/>
        <sz val="16"/>
        <color theme="9" tint="-0.499984740745262"/>
        <rFont val="Book Antiqua"/>
        <family val="1"/>
      </rPr>
      <t>LE</t>
    </r>
  </si>
  <si>
    <r>
      <t>IRON O</t>
    </r>
    <r>
      <rPr>
        <b/>
        <sz val="20"/>
        <color theme="2" tint="-0.749992370372631"/>
        <rFont val="Book Antiqua"/>
        <family val="1"/>
      </rPr>
      <t>R</t>
    </r>
    <r>
      <rPr>
        <b/>
        <sz val="16"/>
        <color theme="2" tint="-0.249977111117893"/>
        <rFont val="Book Antiqua"/>
        <family val="1"/>
      </rPr>
      <t>E</t>
    </r>
  </si>
  <si>
    <r>
      <rPr>
        <b/>
        <sz val="18"/>
        <color theme="2" tint="-0.749992370372631"/>
        <rFont val="Book Antiqua"/>
        <family val="1"/>
      </rPr>
      <t>CO</t>
    </r>
    <r>
      <rPr>
        <b/>
        <sz val="16"/>
        <color theme="6" tint="-0.249977111117893"/>
        <rFont val="Book Antiqua"/>
        <family val="1"/>
      </rPr>
      <t>AL ASH</t>
    </r>
  </si>
  <si>
    <r>
      <t xml:space="preserve">RAW MIX DESIGN  </t>
    </r>
    <r>
      <rPr>
        <b/>
        <sz val="18"/>
        <color theme="0" tint="-0.499984740745262"/>
        <rFont val="Book Antiqua"/>
        <family val="1"/>
      </rPr>
      <t>(RM to CKR conversion)</t>
    </r>
  </si>
  <si>
    <t>FCaO Result</t>
  </si>
  <si>
    <t>Fuel, TPH (Actual)</t>
  </si>
  <si>
    <t>TPH (Ideal)</t>
  </si>
  <si>
    <t>Wet Basis</t>
  </si>
  <si>
    <t>3 MATERIALS - LSF &amp; SM</t>
  </si>
  <si>
    <t>RAW MATERIAL PERCENTAGE (Dry Basis)</t>
  </si>
  <si>
    <t>Hide this table</t>
  </si>
  <si>
    <t>Hide this Table</t>
  </si>
  <si>
    <t>layout</t>
  </si>
  <si>
    <t>Wet  Basis</t>
  </si>
  <si>
    <r>
      <t xml:space="preserve">FUEL </t>
    </r>
    <r>
      <rPr>
        <sz val="12"/>
        <color theme="0"/>
        <rFont val="Book Antiqua"/>
        <family val="1"/>
      </rPr>
      <t>(as fired)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</si>
</sst>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"/>
    <numFmt numFmtId="165" formatCode="0.000"/>
    <numFmt numFmtId="166" formatCode="0.0"/>
    <numFmt numFmtId="167" formatCode="0.000%"/>
    <numFmt numFmtId="168" formatCode="0.0000"/>
  </numFmts>
  <fonts count="162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 Black"/>
      <family val="2"/>
    </font>
    <font>
      <b/>
      <sz val="12"/>
      <color theme="9" tint="-0.249977111117893"/>
      <name val="Arial Black"/>
      <family val="2"/>
    </font>
    <font>
      <b/>
      <sz val="12"/>
      <color theme="0"/>
      <name val="Arial Black"/>
      <family val="2"/>
    </font>
    <font>
      <b/>
      <sz val="12"/>
      <color theme="2" tint="-0.499984740745262"/>
      <name val="Arial Black"/>
      <family val="2"/>
    </font>
    <font>
      <b/>
      <sz val="12"/>
      <color rgb="FF00B050"/>
      <name val="Arial Black"/>
      <family val="2"/>
    </font>
    <font>
      <sz val="10"/>
      <color rgb="FF00B050"/>
      <name val="Arial Black"/>
      <family val="2"/>
    </font>
    <font>
      <sz val="12"/>
      <color rgb="FF00B050"/>
      <name val="Arial Black"/>
      <family val="2"/>
    </font>
    <font>
      <sz val="12"/>
      <color theme="0"/>
      <name val="Arial Black"/>
      <family val="2"/>
    </font>
    <font>
      <b/>
      <sz val="12"/>
      <color theme="9" tint="-0.499984740745262"/>
      <name val="Arial Black"/>
      <family val="2"/>
    </font>
    <font>
      <b/>
      <sz val="14"/>
      <color rgb="FF00B050"/>
      <name val="Arial Black"/>
      <family val="2"/>
    </font>
    <font>
      <sz val="12"/>
      <color rgb="FFFFFF00"/>
      <name val="Arial Black"/>
      <family val="2"/>
    </font>
    <font>
      <u/>
      <sz val="10"/>
      <color theme="10"/>
      <name val="Arial"/>
      <family val="2"/>
    </font>
    <font>
      <sz val="12"/>
      <color theme="2" tint="-0.499984740745262"/>
      <name val="Arial Black"/>
      <family val="2"/>
    </font>
    <font>
      <sz val="12"/>
      <color theme="1" tint="0.499984740745262"/>
      <name val="Arial Black"/>
      <family val="2"/>
    </font>
    <font>
      <b/>
      <u/>
      <sz val="14"/>
      <name val="Arial Black"/>
      <family val="2"/>
    </font>
    <font>
      <sz val="12"/>
      <name val="Arial Black"/>
      <family val="2"/>
    </font>
    <font>
      <b/>
      <sz val="14"/>
      <name val="Arial Black"/>
      <family val="2"/>
    </font>
    <font>
      <b/>
      <sz val="16"/>
      <color theme="0"/>
      <name val="Arial Black"/>
      <family val="2"/>
    </font>
    <font>
      <sz val="14"/>
      <color rgb="FF00B050"/>
      <name val="Arial Black"/>
      <family val="2"/>
    </font>
    <font>
      <sz val="14"/>
      <color theme="9" tint="-0.499984740745262"/>
      <name val="Arial Black"/>
      <family val="2"/>
    </font>
    <font>
      <sz val="14"/>
      <color theme="2" tint="-0.499984740745262"/>
      <name val="Arial Black"/>
      <family val="2"/>
    </font>
    <font>
      <b/>
      <sz val="16"/>
      <color theme="9" tint="-0.499984740745262"/>
      <name val="Arial Black"/>
      <family val="2"/>
    </font>
    <font>
      <sz val="12"/>
      <color rgb="FFFF0000"/>
      <name val="Arial Black"/>
      <family val="2"/>
    </font>
    <font>
      <u/>
      <sz val="12"/>
      <color theme="10"/>
      <name val="Arial Black"/>
      <family val="2"/>
    </font>
    <font>
      <sz val="12"/>
      <color theme="1"/>
      <name val="Arial Black"/>
      <family val="2"/>
    </font>
    <font>
      <b/>
      <u/>
      <sz val="14"/>
      <color theme="0"/>
      <name val="Arial Black"/>
      <family val="2"/>
    </font>
    <font>
      <b/>
      <sz val="12"/>
      <color rgb="FFFF0000"/>
      <name val="Arial Black"/>
      <family val="2"/>
    </font>
    <font>
      <b/>
      <sz val="12"/>
      <color rgb="FF0070C0"/>
      <name val="Arial Black"/>
      <family val="2"/>
    </font>
    <font>
      <b/>
      <sz val="16"/>
      <color theme="9" tint="-0.249977111117893"/>
      <name val="Arial Black"/>
      <family val="2"/>
    </font>
    <font>
      <sz val="14"/>
      <color theme="9" tint="-0.249977111117893"/>
      <name val="Arial Black"/>
      <family val="2"/>
    </font>
    <font>
      <b/>
      <sz val="9"/>
      <color rgb="FF00B050"/>
      <name val="Arial Black"/>
      <family val="2"/>
    </font>
    <font>
      <sz val="14"/>
      <color theme="0"/>
      <name val="Book Antiqua"/>
      <family val="1"/>
    </font>
    <font>
      <sz val="12"/>
      <color theme="0"/>
      <name val="Book Antiqua"/>
      <family val="1"/>
    </font>
    <font>
      <b/>
      <sz val="12"/>
      <color theme="0"/>
      <name val="Book Antiqua"/>
      <family val="1"/>
    </font>
    <font>
      <b/>
      <sz val="14"/>
      <color rgb="FFFFFF00"/>
      <name val="Book Antiqua"/>
      <family val="1"/>
    </font>
    <font>
      <sz val="14"/>
      <color rgb="FFFFFF00"/>
      <name val="Book Antiqua"/>
      <family val="1"/>
    </font>
    <font>
      <b/>
      <sz val="14"/>
      <color theme="0"/>
      <name val="Book Antiqua"/>
      <family val="1"/>
    </font>
    <font>
      <sz val="10"/>
      <name val="Book Antiqua"/>
      <family val="1"/>
    </font>
    <font>
      <sz val="10"/>
      <color rgb="FFFFFF00"/>
      <name val="Book Antiqua"/>
      <family val="1"/>
    </font>
    <font>
      <sz val="11"/>
      <color theme="0"/>
      <name val="Book Antiqua"/>
      <family val="1"/>
    </font>
    <font>
      <b/>
      <sz val="10"/>
      <name val="Book Antiqua"/>
      <family val="1"/>
    </font>
    <font>
      <b/>
      <sz val="16"/>
      <name val="Book Antiqua"/>
      <family val="1"/>
    </font>
    <font>
      <b/>
      <sz val="14"/>
      <name val="Book Antiqua"/>
      <family val="1"/>
    </font>
    <font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9"/>
      <name val="Book Antiqua"/>
      <family val="1"/>
    </font>
    <font>
      <b/>
      <sz val="15"/>
      <name val="Book Antiqua"/>
      <family val="1"/>
    </font>
    <font>
      <b/>
      <sz val="15"/>
      <color theme="0"/>
      <name val="Book Antiqua"/>
      <family val="1"/>
    </font>
    <font>
      <b/>
      <sz val="20"/>
      <color theme="0"/>
      <name val="Book Antiqua"/>
      <family val="1"/>
    </font>
    <font>
      <b/>
      <sz val="16"/>
      <color theme="0"/>
      <name val="Book Antiqua"/>
      <family val="1"/>
    </font>
    <font>
      <b/>
      <sz val="16"/>
      <color theme="9" tint="-0.499984740745262"/>
      <name val="Book Antiqua"/>
      <family val="1"/>
    </font>
    <font>
      <b/>
      <sz val="35"/>
      <color theme="0"/>
      <name val="Book Antiqua"/>
      <family val="1"/>
    </font>
    <font>
      <b/>
      <u/>
      <sz val="24"/>
      <color rgb="FF00B050"/>
      <name val="Book Antiqua"/>
      <family val="1"/>
    </font>
    <font>
      <b/>
      <sz val="14"/>
      <color theme="9" tint="-0.249977111117893"/>
      <name val="Book Antiqua"/>
      <family val="1"/>
    </font>
    <font>
      <sz val="12"/>
      <color theme="1"/>
      <name val="Book Antiqua"/>
      <family val="1"/>
    </font>
    <font>
      <b/>
      <sz val="12"/>
      <color rgb="FFFFFF00"/>
      <name val="Book Antiqua"/>
      <family val="1"/>
    </font>
    <font>
      <b/>
      <sz val="14"/>
      <color theme="9" tint="0.39997558519241921"/>
      <name val="Book Antiqua"/>
      <family val="1"/>
    </font>
    <font>
      <b/>
      <sz val="14"/>
      <color rgb="FFFF0000"/>
      <name val="Book Antiqua"/>
      <family val="1"/>
    </font>
    <font>
      <b/>
      <sz val="12"/>
      <color theme="1"/>
      <name val="Book Antiqua"/>
      <family val="1"/>
    </font>
    <font>
      <b/>
      <sz val="16"/>
      <color theme="1"/>
      <name val="Book Antiqua"/>
      <family val="1"/>
    </font>
    <font>
      <b/>
      <sz val="16"/>
      <color rgb="FFFFFF00"/>
      <name val="Book Antiqua"/>
      <family val="1"/>
    </font>
    <font>
      <b/>
      <sz val="14"/>
      <color rgb="FF0070C0"/>
      <name val="Book Antiqua"/>
      <family val="1"/>
    </font>
    <font>
      <b/>
      <sz val="20"/>
      <name val="Book Antiqua"/>
      <family val="1"/>
    </font>
    <font>
      <b/>
      <sz val="20"/>
      <color theme="9" tint="-0.499984740745262"/>
      <name val="Book Antiqua"/>
      <family val="1"/>
    </font>
    <font>
      <b/>
      <sz val="20"/>
      <color theme="9" tint="-0.249977111117893"/>
      <name val="Book Antiqua"/>
      <family val="1"/>
    </font>
    <font>
      <b/>
      <sz val="20"/>
      <color theme="1"/>
      <name val="Book Antiqua"/>
      <family val="1"/>
    </font>
    <font>
      <b/>
      <sz val="20"/>
      <color theme="2" tint="-0.749992370372631"/>
      <name val="Book Antiqua"/>
      <family val="1"/>
    </font>
    <font>
      <b/>
      <sz val="16"/>
      <color rgb="FF0070C0"/>
      <name val="Book Antiqua"/>
      <family val="1"/>
    </font>
    <font>
      <sz val="10"/>
      <color theme="0"/>
      <name val="Book Antiqua"/>
      <family val="1"/>
    </font>
    <font>
      <b/>
      <sz val="16"/>
      <color theme="9" tint="0.39997558519241921"/>
      <name val="Book Antiqua"/>
      <family val="1"/>
    </font>
    <font>
      <sz val="14"/>
      <color theme="9" tint="0.39997558519241921"/>
      <name val="Book Antiqua"/>
      <family val="1"/>
    </font>
    <font>
      <sz val="12"/>
      <color theme="9" tint="0.39997558519241921"/>
      <name val="Book Antiqua"/>
      <family val="1"/>
    </font>
    <font>
      <sz val="12"/>
      <color theme="9" tint="-0.499984740745262"/>
      <name val="Book Antiqua"/>
      <family val="1"/>
    </font>
    <font>
      <b/>
      <sz val="16"/>
      <color theme="9" tint="-0.249977111117893"/>
      <name val="Book Antiqua"/>
      <family val="1"/>
    </font>
    <font>
      <sz val="12"/>
      <color theme="9" tint="-0.249977111117893"/>
      <name val="Book Antiqua"/>
      <family val="1"/>
    </font>
    <font>
      <b/>
      <sz val="16"/>
      <color theme="2" tint="-0.249977111117893"/>
      <name val="Book Antiqua"/>
      <family val="1"/>
    </font>
    <font>
      <sz val="12"/>
      <color theme="2" tint="-0.249977111117893"/>
      <name val="Book Antiqua"/>
      <family val="1"/>
    </font>
    <font>
      <b/>
      <sz val="16"/>
      <color theme="6" tint="-0.249977111117893"/>
      <name val="Book Antiqua"/>
      <family val="1"/>
    </font>
    <font>
      <sz val="12"/>
      <color theme="6" tint="-0.249977111117893"/>
      <name val="Book Antiqua"/>
      <family val="1"/>
    </font>
    <font>
      <sz val="12"/>
      <color theme="9" tint="0.79998168889431442"/>
      <name val="Book Antiqua"/>
      <family val="1"/>
    </font>
    <font>
      <b/>
      <sz val="18"/>
      <color rgb="FF00B050"/>
      <name val="Book Antiqua"/>
      <family val="1"/>
    </font>
    <font>
      <sz val="9"/>
      <color theme="0"/>
      <name val="Book Antiqua"/>
      <family val="1"/>
    </font>
    <font>
      <b/>
      <sz val="16"/>
      <color rgb="FFFF0000"/>
      <name val="Book Antiqua"/>
      <family val="1"/>
    </font>
    <font>
      <b/>
      <sz val="12"/>
      <color rgb="FFFF0000"/>
      <name val="Book Antiqua"/>
      <family val="1"/>
    </font>
    <font>
      <b/>
      <sz val="16"/>
      <color rgb="FF00B050"/>
      <name val="Book Antiqua"/>
      <family val="1"/>
    </font>
    <font>
      <sz val="16"/>
      <color rgb="FFFF0000"/>
      <name val="Book Antiqua"/>
      <family val="1"/>
    </font>
    <font>
      <sz val="16"/>
      <color rgb="FFFFFF00"/>
      <name val="Book Antiqua"/>
      <family val="1"/>
    </font>
    <font>
      <sz val="14"/>
      <color rgb="FFFF0000"/>
      <name val="Book Antiqua"/>
      <family val="1"/>
    </font>
    <font>
      <b/>
      <sz val="16"/>
      <color rgb="FF00B0F0"/>
      <name val="Book Antiqua"/>
      <family val="1"/>
    </font>
    <font>
      <b/>
      <sz val="12"/>
      <color theme="9" tint="-0.249977111117893"/>
      <name val="Book Antiqua"/>
      <family val="1"/>
    </font>
    <font>
      <b/>
      <sz val="12"/>
      <color theme="6" tint="-0.249977111117893"/>
      <name val="Book Antiqua"/>
      <family val="1"/>
    </font>
    <font>
      <b/>
      <sz val="14"/>
      <color theme="9" tint="-0.499984740745262"/>
      <name val="Book Antiqua"/>
      <family val="1"/>
    </font>
    <font>
      <b/>
      <sz val="14"/>
      <color theme="2" tint="-0.249977111117893"/>
      <name val="Book Antiqua"/>
      <family val="1"/>
    </font>
    <font>
      <b/>
      <sz val="14"/>
      <color theme="6" tint="-0.249977111117893"/>
      <name val="Book Antiqua"/>
      <family val="1"/>
    </font>
    <font>
      <b/>
      <u/>
      <sz val="22"/>
      <color theme="2" tint="-0.749992370372631"/>
      <name val="Book Antiqua"/>
      <family val="1"/>
    </font>
    <font>
      <b/>
      <sz val="18"/>
      <color theme="2" tint="-0.749992370372631"/>
      <name val="Book Antiqua"/>
      <family val="1"/>
    </font>
    <font>
      <b/>
      <sz val="18"/>
      <color theme="0" tint="-0.499984740745262"/>
      <name val="Book Antiqua"/>
      <family val="1"/>
    </font>
    <font>
      <sz val="10"/>
      <color theme="1"/>
      <name val="Arial"/>
      <family val="2"/>
    </font>
    <font>
      <b/>
      <sz val="18"/>
      <color theme="0"/>
      <name val="Book Antiqua"/>
      <family val="1"/>
    </font>
    <font>
      <sz val="14"/>
      <color theme="9" tint="-0.249977111117893"/>
      <name val="Book Antiqua"/>
      <family val="1"/>
    </font>
    <font>
      <sz val="14"/>
      <color rgb="FF00B050"/>
      <name val="Book Antiqua"/>
      <family val="1"/>
    </font>
    <font>
      <sz val="14"/>
      <color theme="2" tint="-0.249977111117893"/>
      <name val="Book Antiqua"/>
      <family val="1"/>
    </font>
    <font>
      <b/>
      <sz val="22"/>
      <name val="Book Antiqua"/>
      <family val="1"/>
    </font>
    <font>
      <b/>
      <u/>
      <sz val="12"/>
      <color rgb="FF00B050"/>
      <name val="Book Antiqua"/>
      <family val="1"/>
    </font>
    <font>
      <b/>
      <sz val="12"/>
      <color theme="9" tint="-0.499984740745262"/>
      <name val="Book Antiqua"/>
      <family val="1"/>
    </font>
    <font>
      <b/>
      <sz val="28"/>
      <color theme="0"/>
      <name val="Book Antiqua"/>
      <family val="1"/>
    </font>
    <font>
      <b/>
      <sz val="12"/>
      <color theme="0" tint="-0.499984740745262"/>
      <name val="Book Antiqua"/>
      <family val="1"/>
    </font>
    <font>
      <sz val="12"/>
      <color theme="0" tint="-0.499984740745262"/>
      <name val="Book Antiqua"/>
      <family val="1"/>
    </font>
    <font>
      <b/>
      <sz val="14"/>
      <color theme="0" tint="-0.499984740745262"/>
      <name val="Book Antiqua"/>
      <family val="1"/>
    </font>
    <font>
      <b/>
      <sz val="12"/>
      <color theme="9" tint="0.59999389629810485"/>
      <name val="Book Antiqua"/>
      <family val="1"/>
    </font>
    <font>
      <sz val="12"/>
      <color theme="9" tint="0.59999389629810485"/>
      <name val="Book Antiqua"/>
      <family val="1"/>
    </font>
    <font>
      <b/>
      <sz val="15"/>
      <color rgb="FF0070C0"/>
      <name val="Book Antiqua"/>
      <family val="1"/>
    </font>
    <font>
      <sz val="14"/>
      <color theme="9" tint="0.59999389629810485"/>
      <name val="Book Antiqua"/>
      <family val="1"/>
    </font>
    <font>
      <b/>
      <sz val="14"/>
      <color theme="9" tint="0.59999389629810485"/>
      <name val="Book Antiqua"/>
      <family val="1"/>
    </font>
    <font>
      <b/>
      <sz val="14"/>
      <color rgb="FF00B0F0"/>
      <name val="Book Antiqua"/>
      <family val="1"/>
    </font>
    <font>
      <b/>
      <sz val="16"/>
      <color theme="0" tint="-0.499984740745262"/>
      <name val="Book Antiqua"/>
      <family val="1"/>
    </font>
    <font>
      <b/>
      <sz val="14"/>
      <color theme="1"/>
      <name val="Book Antiqua"/>
      <family val="1"/>
    </font>
    <font>
      <b/>
      <sz val="16"/>
      <color theme="9" tint="0.59999389629810485"/>
      <name val="Book Antiqua"/>
      <family val="1"/>
    </font>
    <font>
      <b/>
      <sz val="16"/>
      <color theme="2" tint="-0.749992370372631"/>
      <name val="Book Antiqua"/>
      <family val="1"/>
    </font>
    <font>
      <sz val="14"/>
      <color theme="1"/>
      <name val="Book Antiqua"/>
      <family val="1"/>
    </font>
    <font>
      <b/>
      <u/>
      <sz val="18"/>
      <color theme="0"/>
      <name val="Arial Black"/>
      <family val="2"/>
    </font>
    <font>
      <b/>
      <u/>
      <sz val="24"/>
      <color rgb="FF00B050"/>
      <name val="Arial Black"/>
      <family val="2"/>
    </font>
    <font>
      <b/>
      <sz val="16"/>
      <color theme="2" tint="-0.499984740745262"/>
      <name val="Book Antiqua"/>
      <family val="1"/>
    </font>
    <font>
      <b/>
      <sz val="20"/>
      <color theme="9" tint="-0.249977111117893"/>
      <name val="Arial Black"/>
      <family val="2"/>
    </font>
    <font>
      <b/>
      <sz val="12"/>
      <color theme="9" tint="0.39997558519241921"/>
      <name val="Book Antiqua"/>
      <family val="1"/>
    </font>
    <font>
      <b/>
      <sz val="18"/>
      <color rgb="FF007033"/>
      <name val="Book Antiqua"/>
      <family val="1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  <font>
      <sz val="24"/>
      <name val="Book Antiqua"/>
      <family val="1"/>
    </font>
    <font>
      <sz val="20"/>
      <name val="Arial Black"/>
      <family val="2"/>
    </font>
    <font>
      <b/>
      <sz val="18"/>
      <color theme="1"/>
      <name val="Arial"/>
      <family val="2"/>
    </font>
    <font>
      <sz val="11"/>
      <color theme="1"/>
      <name val="Book Antiqua"/>
      <family val="1"/>
    </font>
    <font>
      <sz val="16"/>
      <color theme="1"/>
      <name val="Book Antiqua"/>
      <family val="1"/>
    </font>
    <font>
      <b/>
      <sz val="16"/>
      <color theme="4" tint="0.39997558519241921"/>
      <name val="Book Antiqua"/>
      <family val="1"/>
    </font>
    <font>
      <b/>
      <sz val="22"/>
      <color rgb="FFFF0000"/>
      <name val="Book Antiqua"/>
      <family val="1"/>
    </font>
    <font>
      <sz val="12"/>
      <color rgb="FFFF0000"/>
      <name val="Book Antiqua"/>
      <family val="1"/>
    </font>
    <font>
      <b/>
      <sz val="14"/>
      <color theme="1" tint="0.14999847407452621"/>
      <name val="Book Antiqua"/>
      <family val="1"/>
    </font>
    <font>
      <b/>
      <sz val="16"/>
      <color theme="1" tint="0.14999847407452621"/>
      <name val="Book Antiqua"/>
      <family val="1"/>
    </font>
    <font>
      <b/>
      <sz val="16"/>
      <color theme="0" tint="-0.34998626667073579"/>
      <name val="Book Antiqua"/>
      <family val="1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</fills>
  <borders count="30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 style="double">
        <color theme="2" tint="-0.499984740745262"/>
      </left>
      <right/>
      <top style="double">
        <color theme="2" tint="-0.499984740745262"/>
      </top>
      <bottom style="double">
        <color theme="2" tint="-0.499984740745262"/>
      </bottom>
      <diagonal/>
    </border>
    <border>
      <left/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/>
      <diagonal/>
    </border>
    <border>
      <left/>
      <right style="thin">
        <color rgb="FFFFFF00"/>
      </right>
      <top/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double">
        <color theme="9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double">
        <color theme="9" tint="-0.24994659260841701"/>
      </left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rgb="FF0070C0"/>
      </left>
      <right style="double">
        <color rgb="FF0070C0"/>
      </right>
      <top style="double">
        <color rgb="FF0070C0"/>
      </top>
      <bottom style="double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ck">
        <color theme="1"/>
      </left>
      <right style="thin">
        <color theme="1"/>
      </right>
      <top/>
      <bottom/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>
      <left style="double">
        <color theme="1"/>
      </left>
      <right style="thick">
        <color theme="1"/>
      </right>
      <top style="double">
        <color theme="1"/>
      </top>
      <bottom style="double">
        <color theme="1"/>
      </bottom>
      <diagonal/>
    </border>
    <border>
      <left style="thick">
        <color theme="1"/>
      </left>
      <right style="double">
        <color theme="1"/>
      </right>
      <top style="double">
        <color theme="1"/>
      </top>
      <bottom style="thick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thick">
        <color theme="1"/>
      </bottom>
      <diagonal/>
    </border>
    <border>
      <left/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/>
      <top style="thin">
        <color theme="1"/>
      </top>
      <bottom style="thick">
        <color theme="1"/>
      </bottom>
      <diagonal/>
    </border>
    <border>
      <left style="double">
        <color theme="1"/>
      </left>
      <right style="thick">
        <color theme="1"/>
      </right>
      <top style="double">
        <color theme="1"/>
      </top>
      <bottom style="thick">
        <color theme="1"/>
      </bottom>
      <diagonal/>
    </border>
    <border>
      <left style="thick">
        <color theme="1"/>
      </left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/>
      <right/>
      <top/>
      <bottom style="thick">
        <color theme="1"/>
      </bottom>
      <diagonal/>
    </border>
    <border>
      <left/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/>
      <top/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/>
      <right/>
      <top style="double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/>
      <top style="thin">
        <color theme="1"/>
      </top>
      <bottom style="thin">
        <color theme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ck">
        <color theme="1"/>
      </right>
      <top style="double">
        <color theme="1"/>
      </top>
      <bottom style="thick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double">
        <color auto="1"/>
      </left>
      <right style="thick">
        <color auto="1"/>
      </right>
      <top/>
      <bottom style="double">
        <color auto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ck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double">
        <color theme="1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 style="double">
        <color theme="1"/>
      </top>
      <bottom style="double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double">
        <color theme="1"/>
      </bottom>
      <diagonal/>
    </border>
    <border>
      <left style="thin">
        <color theme="1"/>
      </left>
      <right style="thin">
        <color theme="1"/>
      </right>
      <top/>
      <bottom style="double">
        <color theme="1"/>
      </bottom>
      <diagonal/>
    </border>
    <border>
      <left style="thin">
        <color theme="1"/>
      </left>
      <right style="medium">
        <color theme="1"/>
      </right>
      <top/>
      <bottom style="double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ck">
        <color theme="1"/>
      </right>
      <top style="medium">
        <color theme="1"/>
      </top>
      <bottom/>
      <diagonal/>
    </border>
    <border>
      <left/>
      <right style="thick">
        <color theme="1"/>
      </right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ck">
        <color theme="1"/>
      </bottom>
      <diagonal/>
    </border>
    <border>
      <left/>
      <right/>
      <top/>
      <bottom style="medium">
        <color theme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/>
      <top style="double">
        <color theme="1"/>
      </top>
      <bottom style="double">
        <color auto="1"/>
      </bottom>
      <diagonal/>
    </border>
    <border>
      <left/>
      <right style="medium">
        <color theme="1"/>
      </right>
      <top style="double">
        <color theme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double">
        <color theme="9" tint="-0.24994659260841701"/>
      </top>
      <bottom style="thin">
        <color theme="9" tint="-0.2499465926084170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thin">
        <color theme="9" tint="-0.24994659260841701"/>
      </top>
      <bottom style="double">
        <color theme="9" tint="-0.2499465926084170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theme="1"/>
      </left>
      <right/>
      <top/>
      <bottom style="double">
        <color theme="1"/>
      </bottom>
      <diagonal/>
    </border>
    <border>
      <left style="double">
        <color theme="1"/>
      </left>
      <right/>
      <top style="double">
        <color theme="1"/>
      </top>
      <bottom style="thick">
        <color theme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theme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auto="1"/>
      </top>
      <bottom style="thin">
        <color theme="1"/>
      </bottom>
      <diagonal/>
    </border>
    <border>
      <left style="thick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 style="thick">
        <color theme="1"/>
      </right>
      <top style="thin">
        <color theme="1" tint="0.14996795556505021"/>
      </top>
      <bottom style="thin">
        <color theme="1" tint="0.14996795556505021"/>
      </bottom>
      <diagonal/>
    </border>
    <border>
      <left style="thick">
        <color theme="1"/>
      </left>
      <right style="thin">
        <color theme="1" tint="0.14996795556505021"/>
      </right>
      <top style="thin">
        <color theme="1" tint="0.14996795556505021"/>
      </top>
      <bottom/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/>
      <diagonal/>
    </border>
    <border>
      <left style="thin">
        <color theme="1" tint="0.14996795556505021"/>
      </left>
      <right style="thick">
        <color theme="1"/>
      </right>
      <top style="thin">
        <color theme="1" tint="0.14996795556505021"/>
      </top>
      <bottom/>
      <diagonal/>
    </border>
    <border>
      <left style="thick">
        <color theme="1"/>
      </left>
      <right style="thin">
        <color theme="1" tint="4.9989318521683403E-2"/>
      </right>
      <top style="thick">
        <color theme="1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ck">
        <color theme="1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ck">
        <color theme="1"/>
      </right>
      <top style="thick">
        <color theme="1"/>
      </top>
      <bottom style="thin">
        <color theme="1" tint="4.9989318521683403E-2"/>
      </bottom>
      <diagonal/>
    </border>
    <border>
      <left style="thick">
        <color theme="1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ck">
        <color theme="1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ck">
        <color theme="1"/>
      </left>
      <right style="thin">
        <color theme="1" tint="4.9989318521683403E-2"/>
      </right>
      <top style="thin">
        <color theme="1" tint="4.9989318521683403E-2"/>
      </top>
      <bottom style="thick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ck">
        <color theme="1"/>
      </bottom>
      <diagonal/>
    </border>
    <border>
      <left style="thin">
        <color theme="1" tint="4.9989318521683403E-2"/>
      </left>
      <right style="thick">
        <color theme="1"/>
      </right>
      <top style="thin">
        <color theme="1" tint="4.9989318521683403E-2"/>
      </top>
      <bottom style="thick">
        <color theme="1"/>
      </bottom>
      <diagonal/>
    </border>
    <border>
      <left style="thick">
        <color theme="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double">
        <color theme="1"/>
      </right>
      <top style="thin">
        <color theme="1" tint="0.24994659260841701"/>
      </top>
      <bottom style="thin">
        <color theme="1" tint="0.24994659260841701"/>
      </bottom>
      <diagonal/>
    </border>
    <border>
      <left style="thick">
        <color theme="1"/>
      </left>
      <right/>
      <top style="thin">
        <color theme="1" tint="0.24994659260841701"/>
      </top>
      <bottom style="thick">
        <color theme="1"/>
      </bottom>
      <diagonal/>
    </border>
    <border>
      <left/>
      <right style="double">
        <color theme="1"/>
      </right>
      <top style="thin">
        <color theme="1" tint="0.24994659260841701"/>
      </top>
      <bottom style="thick">
        <color theme="1"/>
      </bottom>
      <diagonal/>
    </border>
    <border>
      <left style="thick">
        <color theme="1" tint="4.9989318521683403E-2"/>
      </left>
      <right/>
      <top style="thick">
        <color theme="1" tint="4.9989318521683403E-2"/>
      </top>
      <bottom/>
      <diagonal/>
    </border>
    <border>
      <left/>
      <right style="thick">
        <color theme="1" tint="4.9989318521683403E-2"/>
      </right>
      <top style="thick">
        <color theme="1" tint="4.9989318521683403E-2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ck">
        <color theme="1" tint="4.9989318521683403E-2"/>
      </left>
      <right/>
      <top/>
      <bottom style="thin">
        <color theme="2" tint="-0.89996032593768116"/>
      </bottom>
      <diagonal/>
    </border>
    <border>
      <left/>
      <right style="thick">
        <color theme="1" tint="4.9989318521683403E-2"/>
      </right>
      <top/>
      <bottom style="thin">
        <color theme="2" tint="-0.89996032593768116"/>
      </bottom>
      <diagonal/>
    </border>
    <border>
      <left style="thick">
        <color theme="1" tint="4.9989318521683403E-2"/>
      </left>
      <right style="double">
        <color auto="1"/>
      </right>
      <top style="thin">
        <color theme="2" tint="-0.89996032593768116"/>
      </top>
      <bottom style="thin">
        <color theme="2" tint="-0.89996032593768116"/>
      </bottom>
      <diagonal/>
    </border>
    <border>
      <left style="thick">
        <color theme="1" tint="4.9989318521683403E-2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theme="2" tint="-0.89996032593768116"/>
      </bottom>
      <diagonal/>
    </border>
    <border>
      <left/>
      <right/>
      <top/>
      <bottom style="thin">
        <color theme="2" tint="-0.89996032593768116"/>
      </bottom>
      <diagonal/>
    </border>
    <border>
      <left/>
      <right style="thick">
        <color auto="1"/>
      </right>
      <top/>
      <bottom style="thin">
        <color theme="2" tint="-0.89996032593768116"/>
      </bottom>
      <diagonal/>
    </border>
    <border>
      <left style="thick">
        <color auto="1"/>
      </left>
      <right style="thin">
        <color auto="1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auto="1"/>
      </left>
      <right style="thin">
        <color auto="1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auto="1"/>
      </left>
      <right style="thick">
        <color auto="1"/>
      </right>
      <top style="thin">
        <color theme="2" tint="-0.89996032593768116"/>
      </top>
      <bottom style="thin">
        <color theme="2" tint="-0.89996032593768116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theme="1"/>
      </left>
      <right style="thick">
        <color theme="1"/>
      </right>
      <top style="thin">
        <color theme="2" tint="-0.89996032593768116"/>
      </top>
      <bottom style="thin">
        <color theme="2" tint="-0.89996032593768116"/>
      </bottom>
      <diagonal/>
    </border>
    <border>
      <left style="double">
        <color theme="2" tint="-0.89996032593768116"/>
      </left>
      <right style="double">
        <color theme="2" tint="-0.89996032593768116"/>
      </right>
      <top style="double">
        <color theme="2" tint="-0.89996032593768116"/>
      </top>
      <bottom style="double">
        <color theme="2" tint="-0.89996032593768116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ck">
        <color theme="1"/>
      </left>
      <right style="double">
        <color theme="1"/>
      </right>
      <top style="thin">
        <color theme="2" tint="-0.89996032593768116"/>
      </top>
      <bottom style="thin">
        <color theme="2" tint="-0.89996032593768116"/>
      </bottom>
      <diagonal/>
    </border>
    <border>
      <left style="thick">
        <color theme="1"/>
      </left>
      <right style="thick">
        <color theme="1"/>
      </right>
      <top style="thin">
        <color theme="2" tint="-0.89996032593768116"/>
      </top>
      <bottom style="thick">
        <color theme="1"/>
      </bottom>
      <diagonal/>
    </border>
    <border>
      <left style="double">
        <color theme="1"/>
      </left>
      <right style="thick">
        <color theme="1"/>
      </right>
      <top style="thin">
        <color theme="2" tint="-0.89996032593768116"/>
      </top>
      <bottom style="double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2" tint="-0.89996032593768116"/>
      </bottom>
      <diagonal/>
    </border>
    <border>
      <left style="double">
        <color theme="1"/>
      </left>
      <right style="thick">
        <color theme="1"/>
      </right>
      <top style="double">
        <color theme="1"/>
      </top>
      <bottom style="thin">
        <color theme="2" tint="-0.89996032593768116"/>
      </bottom>
      <diagonal/>
    </border>
    <border>
      <left style="thick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ck">
        <color theme="1"/>
      </right>
      <top/>
      <bottom style="medium">
        <color theme="1"/>
      </bottom>
      <diagonal/>
    </border>
    <border>
      <left style="thick">
        <color theme="1"/>
      </left>
      <right style="thin">
        <color theme="1"/>
      </right>
      <top style="thick">
        <color theme="2" tint="-0.89996032593768116"/>
      </top>
      <bottom style="medium">
        <color theme="2" tint="-0.89992980742820516"/>
      </bottom>
      <diagonal/>
    </border>
    <border>
      <left style="thin">
        <color theme="1"/>
      </left>
      <right style="thin">
        <color theme="1"/>
      </right>
      <top style="thick">
        <color theme="2" tint="-0.89996032593768116"/>
      </top>
      <bottom style="medium">
        <color theme="2" tint="-0.89992980742820516"/>
      </bottom>
      <diagonal/>
    </border>
    <border>
      <left style="thin">
        <color theme="1"/>
      </left>
      <right style="thick">
        <color theme="1"/>
      </right>
      <top style="thick">
        <color theme="2" tint="-0.89996032593768116"/>
      </top>
      <bottom style="medium">
        <color theme="2" tint="-0.89992980742820516"/>
      </bottom>
      <diagonal/>
    </border>
    <border>
      <left style="thin">
        <color theme="1"/>
      </left>
      <right/>
      <top style="thick">
        <color theme="1"/>
      </top>
      <bottom style="thick">
        <color theme="2" tint="-0.89996032593768116"/>
      </bottom>
      <diagonal/>
    </border>
    <border>
      <left/>
      <right/>
      <top style="thick">
        <color theme="1"/>
      </top>
      <bottom style="thick">
        <color theme="2" tint="-0.89996032593768116"/>
      </bottom>
      <diagonal/>
    </border>
    <border>
      <left/>
      <right style="thick">
        <color theme="1"/>
      </right>
      <top style="thick">
        <color theme="1"/>
      </top>
      <bottom style="thick">
        <color theme="2" tint="-0.89996032593768116"/>
      </bottom>
      <diagonal/>
    </border>
    <border>
      <left/>
      <right style="thick">
        <color theme="1"/>
      </right>
      <top style="thin">
        <color theme="1"/>
      </top>
      <bottom style="thick">
        <color theme="1"/>
      </bottom>
      <diagonal/>
    </border>
    <border>
      <left/>
      <right style="thick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/>
      <bottom style="double">
        <color theme="1"/>
      </bottom>
      <diagonal/>
    </border>
    <border>
      <left/>
      <right style="thick">
        <color theme="1"/>
      </right>
      <top style="double">
        <color theme="1"/>
      </top>
      <bottom style="double">
        <color theme="1"/>
      </bottom>
      <diagonal/>
    </border>
    <border>
      <left/>
      <right style="thick">
        <color theme="1"/>
      </right>
      <top style="double">
        <color theme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theme="2" tint="-0.749961851863155"/>
      </left>
      <right style="thin">
        <color theme="1"/>
      </right>
      <top style="double">
        <color theme="2" tint="-0.749961851863155"/>
      </top>
      <bottom style="double">
        <color theme="2" tint="-0.749961851863155"/>
      </bottom>
      <diagonal/>
    </border>
    <border>
      <left style="thin">
        <color theme="1"/>
      </left>
      <right style="thin">
        <color theme="1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theme="1"/>
      </left>
      <right style="double">
        <color theme="2" tint="-0.749961851863155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theme="1"/>
      </left>
      <right style="thick">
        <color theme="1"/>
      </right>
      <top style="double">
        <color theme="2" tint="-0.749961851863155"/>
      </top>
      <bottom style="double">
        <color theme="2" tint="-0.749961851863155"/>
      </bottom>
      <diagonal/>
    </border>
    <border>
      <left style="thin">
        <color theme="1"/>
      </left>
      <right/>
      <top style="medium">
        <color theme="2" tint="-0.89992980742820516"/>
      </top>
      <bottom/>
      <diagonal/>
    </border>
    <border>
      <left/>
      <right style="thin">
        <color theme="1"/>
      </right>
      <top style="medium">
        <color theme="2" tint="-0.89992980742820516"/>
      </top>
      <bottom/>
      <diagonal/>
    </border>
    <border>
      <left style="thin">
        <color theme="1"/>
      </left>
      <right/>
      <top style="medium">
        <color theme="2" tint="-0.89992980742820516"/>
      </top>
      <bottom style="thin">
        <color theme="1"/>
      </bottom>
      <diagonal/>
    </border>
    <border>
      <left/>
      <right style="thin">
        <color theme="1"/>
      </right>
      <top style="medium">
        <color theme="2" tint="-0.89992980742820516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medium">
        <color theme="2" tint="-0.89992980742820516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medium">
        <color theme="2" tint="-0.89992980742820516"/>
      </top>
      <bottom/>
      <diagonal/>
    </border>
    <border>
      <left style="thin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n">
        <color auto="1"/>
      </right>
      <top style="thick">
        <color theme="1"/>
      </top>
      <bottom/>
      <diagonal/>
    </border>
    <border>
      <left style="thin">
        <color auto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auto="1"/>
      </right>
      <top/>
      <bottom/>
      <diagonal/>
    </border>
    <border>
      <left style="thin">
        <color auto="1"/>
      </left>
      <right style="thick">
        <color theme="1"/>
      </right>
      <top/>
      <bottom/>
      <diagonal/>
    </border>
    <border>
      <left style="double">
        <color theme="1"/>
      </left>
      <right style="thin">
        <color theme="1"/>
      </right>
      <top/>
      <bottom/>
      <diagonal/>
    </border>
    <border>
      <left style="thin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 style="thin">
        <color theme="2" tint="-0.89996032593768116"/>
      </top>
      <bottom style="double">
        <color theme="1"/>
      </bottom>
      <diagonal/>
    </border>
    <border>
      <left style="thick">
        <color theme="1"/>
      </left>
      <right style="thick">
        <color theme="1"/>
      </right>
      <top style="double">
        <color theme="1"/>
      </top>
      <bottom style="thin">
        <color theme="2" tint="-0.89996032593768116"/>
      </bottom>
      <diagonal/>
    </border>
    <border>
      <left style="thick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ck">
        <color theme="1"/>
      </left>
      <right/>
      <top/>
      <bottom style="thin">
        <color theme="1"/>
      </bottom>
      <diagonal/>
    </border>
    <border>
      <left/>
      <right style="double">
        <color theme="1"/>
      </right>
      <top style="thin">
        <color theme="1"/>
      </top>
      <bottom style="thin">
        <color theme="2" tint="-0.89996032593768116"/>
      </bottom>
      <diagonal/>
    </border>
    <border>
      <left style="thick">
        <color theme="1"/>
      </left>
      <right/>
      <top style="thin">
        <color theme="1"/>
      </top>
      <bottom style="thin">
        <color theme="2" tint="-0.89996032593768116"/>
      </bottom>
      <diagonal/>
    </border>
    <border>
      <left/>
      <right/>
      <top style="thin">
        <color theme="1"/>
      </top>
      <bottom style="thin">
        <color theme="2" tint="-0.89996032593768116"/>
      </bottom>
      <diagonal/>
    </border>
    <border>
      <left style="thin">
        <color theme="1"/>
      </left>
      <right/>
      <top style="thin">
        <color theme="2" tint="-0.89996032593768116"/>
      </top>
      <bottom style="thin">
        <color theme="2" tint="-0.89996032593768116"/>
      </bottom>
      <diagonal/>
    </border>
    <border>
      <left/>
      <right/>
      <top style="thin">
        <color theme="2" tint="-0.89996032593768116"/>
      </top>
      <bottom style="thin">
        <color theme="2" tint="-0.89996032593768116"/>
      </bottom>
      <diagonal/>
    </border>
    <border>
      <left/>
      <right style="double">
        <color theme="1"/>
      </right>
      <top style="thin">
        <color theme="2" tint="-0.89996032593768116"/>
      </top>
      <bottom style="thin">
        <color theme="2" tint="-0.89996032593768116"/>
      </bottom>
      <diagonal/>
    </border>
    <border>
      <left style="thick">
        <color theme="1"/>
      </left>
      <right style="thin">
        <color theme="1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theme="1"/>
      </left>
      <right style="thick">
        <color theme="1"/>
      </right>
      <top style="thin">
        <color theme="2" tint="-0.89996032593768116"/>
      </top>
      <bottom style="thin">
        <color theme="2" tint="-0.89996032593768116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double">
        <color theme="9" tint="-0.24994659260841701"/>
      </left>
      <right style="double">
        <color theme="9" tint="-0.24994659260841701"/>
      </right>
      <top style="double">
        <color theme="9" tint="-0.24994659260841701"/>
      </top>
      <bottom/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/>
    <xf numFmtId="0" fontId="33" fillId="0" borderId="0" applyNumberFormat="0" applyFill="0" applyBorder="0" applyAlignment="0" applyProtection="0"/>
  </cellStyleXfs>
  <cellXfs count="1255">
    <xf numFmtId="0" fontId="0" fillId="0" borderId="0" xfId="0"/>
    <xf numFmtId="0" fontId="0" fillId="24" borderId="0" xfId="0" applyFill="1"/>
    <xf numFmtId="0" fontId="29" fillId="24" borderId="0" xfId="0" applyFont="1" applyFill="1"/>
    <xf numFmtId="166" fontId="24" fillId="24" borderId="14" xfId="0" applyNumberFormat="1" applyFont="1" applyFill="1" applyBorder="1" applyAlignment="1">
      <alignment horizontal="center" vertical="center"/>
    </xf>
    <xf numFmtId="166" fontId="22" fillId="35" borderId="14" xfId="0" applyNumberFormat="1" applyFont="1" applyFill="1" applyBorder="1" applyAlignment="1">
      <alignment horizontal="center" vertical="center"/>
    </xf>
    <xf numFmtId="166" fontId="30" fillId="35" borderId="14" xfId="0" applyNumberFormat="1" applyFont="1" applyFill="1" applyBorder="1" applyAlignment="1">
      <alignment horizontal="center" vertical="center"/>
    </xf>
    <xf numFmtId="166" fontId="25" fillId="35" borderId="14" xfId="0" applyNumberFormat="1" applyFont="1" applyFill="1" applyBorder="1" applyAlignment="1">
      <alignment horizontal="center" vertical="center"/>
    </xf>
    <xf numFmtId="2" fontId="34" fillId="35" borderId="14" xfId="0" applyNumberFormat="1" applyFont="1" applyFill="1" applyBorder="1" applyAlignment="1">
      <alignment horizontal="center" vertical="center"/>
    </xf>
    <xf numFmtId="2" fontId="32" fillId="35" borderId="10" xfId="0" applyNumberFormat="1" applyFont="1" applyFill="1" applyBorder="1" applyAlignment="1">
      <alignment horizontal="center" vertical="center"/>
    </xf>
    <xf numFmtId="2" fontId="35" fillId="35" borderId="10" xfId="37" applyNumberFormat="1" applyFont="1" applyFill="1" applyBorder="1" applyAlignment="1">
      <alignment horizontal="center" vertical="center"/>
    </xf>
    <xf numFmtId="0" fontId="29" fillId="35" borderId="10" xfId="0" applyFont="1" applyFill="1" applyBorder="1" applyAlignment="1">
      <alignment horizontal="center" vertical="center"/>
    </xf>
    <xf numFmtId="2" fontId="29" fillId="35" borderId="10" xfId="0" applyNumberFormat="1" applyFont="1" applyFill="1" applyBorder="1" applyAlignment="1">
      <alignment horizontal="center" vertical="center"/>
    </xf>
    <xf numFmtId="0" fontId="29" fillId="34" borderId="10" xfId="0" applyFont="1" applyFill="1" applyBorder="1" applyAlignment="1">
      <alignment horizontal="center" vertical="center"/>
    </xf>
    <xf numFmtId="2" fontId="28" fillId="24" borderId="14" xfId="0" applyNumberFormat="1" applyFont="1" applyFill="1" applyBorder="1" applyAlignment="1">
      <alignment horizontal="center" vertical="center"/>
    </xf>
    <xf numFmtId="166" fontId="28" fillId="24" borderId="16" xfId="0" applyNumberFormat="1" applyFont="1" applyFill="1" applyBorder="1" applyAlignment="1">
      <alignment horizontal="center" vertical="center"/>
    </xf>
    <xf numFmtId="166" fontId="28" fillId="24" borderId="26" xfId="0" applyNumberFormat="1" applyFont="1" applyFill="1" applyBorder="1" applyAlignment="1">
      <alignment horizontal="center" vertical="center"/>
    </xf>
    <xf numFmtId="2" fontId="28" fillId="24" borderId="26" xfId="0" applyNumberFormat="1" applyFont="1" applyFill="1" applyBorder="1" applyAlignment="1">
      <alignment horizontal="center" vertical="center"/>
    </xf>
    <xf numFmtId="2" fontId="28" fillId="24" borderId="17" xfId="0" applyNumberFormat="1" applyFont="1" applyFill="1" applyBorder="1" applyAlignment="1">
      <alignment horizontal="center" vertical="center"/>
    </xf>
    <xf numFmtId="166" fontId="23" fillId="35" borderId="14" xfId="0" applyNumberFormat="1" applyFont="1" applyFill="1" applyBorder="1" applyAlignment="1">
      <alignment horizontal="center" vertical="center"/>
    </xf>
    <xf numFmtId="166" fontId="24" fillId="33" borderId="14" xfId="0" applyNumberFormat="1" applyFont="1" applyFill="1" applyBorder="1" applyAlignment="1">
      <alignment horizontal="center" vertical="center"/>
    </xf>
    <xf numFmtId="166" fontId="30" fillId="33" borderId="14" xfId="0" applyNumberFormat="1" applyFont="1" applyFill="1" applyBorder="1" applyAlignment="1">
      <alignment horizontal="center" vertical="center"/>
    </xf>
    <xf numFmtId="166" fontId="25" fillId="33" borderId="14" xfId="0" applyNumberFormat="1" applyFont="1" applyFill="1" applyBorder="1" applyAlignment="1">
      <alignment horizontal="center" vertical="center"/>
    </xf>
    <xf numFmtId="2" fontId="29" fillId="33" borderId="14" xfId="0" applyNumberFormat="1" applyFont="1" applyFill="1" applyBorder="1" applyAlignment="1">
      <alignment horizontal="center" vertical="center"/>
    </xf>
    <xf numFmtId="166" fontId="28" fillId="33" borderId="14" xfId="0" applyNumberFormat="1" applyFont="1" applyFill="1" applyBorder="1" applyAlignment="1">
      <alignment horizontal="center" vertical="center"/>
    </xf>
    <xf numFmtId="2" fontId="28" fillId="33" borderId="14" xfId="0" applyNumberFormat="1" applyFont="1" applyFill="1" applyBorder="1" applyAlignment="1">
      <alignment horizontal="center" vertical="center"/>
    </xf>
    <xf numFmtId="2" fontId="28" fillId="33" borderId="15" xfId="0" applyNumberFormat="1" applyFont="1" applyFill="1" applyBorder="1" applyAlignment="1">
      <alignment horizontal="center" vertical="center"/>
    </xf>
    <xf numFmtId="2" fontId="29" fillId="33" borderId="10" xfId="0" applyNumberFormat="1" applyFont="1" applyFill="1" applyBorder="1" applyAlignment="1">
      <alignment horizontal="center" vertical="center"/>
    </xf>
    <xf numFmtId="2" fontId="32" fillId="33" borderId="10" xfId="0" applyNumberFormat="1" applyFont="1" applyFill="1" applyBorder="1" applyAlignment="1">
      <alignment horizontal="center" vertical="center"/>
    </xf>
    <xf numFmtId="2" fontId="35" fillId="33" borderId="10" xfId="0" applyNumberFormat="1" applyFont="1" applyFill="1" applyBorder="1" applyAlignment="1">
      <alignment horizontal="center" vertical="center"/>
    </xf>
    <xf numFmtId="166" fontId="23" fillId="33" borderId="14" xfId="0" applyNumberFormat="1" applyFont="1" applyFill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0" fontId="31" fillId="26" borderId="10" xfId="43" applyFont="1" applyFill="1" applyBorder="1" applyAlignment="1">
      <alignment horizontal="center" vertical="center"/>
    </xf>
    <xf numFmtId="0" fontId="31" fillId="26" borderId="10" xfId="43" applyFont="1" applyFill="1" applyBorder="1" applyAlignment="1">
      <alignment horizontal="center" vertical="center" wrapText="1"/>
    </xf>
    <xf numFmtId="0" fontId="40" fillId="26" borderId="10" xfId="0" applyFont="1" applyFill="1" applyBorder="1" applyAlignment="1">
      <alignment horizontal="center" vertical="center"/>
    </xf>
    <xf numFmtId="2" fontId="24" fillId="34" borderId="10" xfId="0" applyNumberFormat="1" applyFont="1" applyFill="1" applyBorder="1" applyAlignment="1">
      <alignment horizontal="center" vertical="center"/>
    </xf>
    <xf numFmtId="167" fontId="37" fillId="35" borderId="10" xfId="0" applyNumberFormat="1" applyFont="1" applyFill="1" applyBorder="1" applyAlignment="1">
      <alignment horizontal="center" vertical="center"/>
    </xf>
    <xf numFmtId="0" fontId="37" fillId="0" borderId="0" xfId="0" applyFont="1"/>
    <xf numFmtId="2" fontId="29" fillId="24" borderId="0" xfId="0" applyNumberFormat="1" applyFont="1" applyFill="1"/>
    <xf numFmtId="0" fontId="45" fillId="0" borderId="0" xfId="44" applyFont="1" applyAlignment="1" applyProtection="1"/>
    <xf numFmtId="166" fontId="37" fillId="0" borderId="0" xfId="0" applyNumberFormat="1" applyFont="1"/>
    <xf numFmtId="2" fontId="46" fillId="0" borderId="0" xfId="0" applyNumberFormat="1" applyFont="1"/>
    <xf numFmtId="0" fontId="37" fillId="24" borderId="0" xfId="0" applyFont="1" applyFill="1"/>
    <xf numFmtId="0" fontId="45" fillId="24" borderId="0" xfId="44" applyFont="1" applyFill="1" applyAlignment="1" applyProtection="1"/>
    <xf numFmtId="166" fontId="37" fillId="24" borderId="0" xfId="0" applyNumberFormat="1" applyFont="1" applyFill="1"/>
    <xf numFmtId="2" fontId="46" fillId="24" borderId="0" xfId="0" applyNumberFormat="1" applyFont="1" applyFill="1"/>
    <xf numFmtId="0" fontId="29" fillId="24" borderId="18" xfId="0" applyFont="1" applyFill="1" applyBorder="1"/>
    <xf numFmtId="0" fontId="29" fillId="24" borderId="19" xfId="0" applyFont="1" applyFill="1" applyBorder="1"/>
    <xf numFmtId="0" fontId="29" fillId="24" borderId="20" xfId="0" applyFont="1" applyFill="1" applyBorder="1"/>
    <xf numFmtId="0" fontId="29" fillId="24" borderId="27" xfId="0" applyFont="1" applyFill="1" applyBorder="1"/>
    <xf numFmtId="0" fontId="29" fillId="24" borderId="28" xfId="0" applyFont="1" applyFill="1" applyBorder="1"/>
    <xf numFmtId="0" fontId="29" fillId="24" borderId="32" xfId="0" applyFont="1" applyFill="1" applyBorder="1"/>
    <xf numFmtId="0" fontId="29" fillId="24" borderId="33" xfId="0" applyFont="1" applyFill="1" applyBorder="1"/>
    <xf numFmtId="0" fontId="29" fillId="24" borderId="34" xfId="0" applyFont="1" applyFill="1" applyBorder="1"/>
    <xf numFmtId="0" fontId="29" fillId="24" borderId="21" xfId="0" applyFont="1" applyFill="1" applyBorder="1"/>
    <xf numFmtId="0" fontId="29" fillId="24" borderId="29" xfId="0" applyFont="1" applyFill="1" applyBorder="1"/>
    <xf numFmtId="0" fontId="29" fillId="34" borderId="0" xfId="0" applyFont="1" applyFill="1"/>
    <xf numFmtId="0" fontId="29" fillId="24" borderId="35" xfId="0" applyFont="1" applyFill="1" applyBorder="1"/>
    <xf numFmtId="0" fontId="29" fillId="35" borderId="0" xfId="0" applyFont="1" applyFill="1"/>
    <xf numFmtId="0" fontId="29" fillId="24" borderId="36" xfId="0" applyFont="1" applyFill="1" applyBorder="1"/>
    <xf numFmtId="0" fontId="29" fillId="24" borderId="23" xfId="0" applyFont="1" applyFill="1" applyBorder="1"/>
    <xf numFmtId="0" fontId="29" fillId="24" borderId="24" xfId="0" applyFont="1" applyFill="1" applyBorder="1"/>
    <xf numFmtId="0" fontId="29" fillId="24" borderId="25" xfId="0" applyFont="1" applyFill="1" applyBorder="1"/>
    <xf numFmtId="0" fontId="29" fillId="24" borderId="30" xfId="0" applyFont="1" applyFill="1" applyBorder="1"/>
    <xf numFmtId="0" fontId="29" fillId="24" borderId="31" xfId="0" applyFont="1" applyFill="1" applyBorder="1"/>
    <xf numFmtId="0" fontId="29" fillId="24" borderId="37" xfId="0" applyFont="1" applyFill="1" applyBorder="1"/>
    <xf numFmtId="0" fontId="29" fillId="24" borderId="38" xfId="0" applyFont="1" applyFill="1" applyBorder="1"/>
    <xf numFmtId="0" fontId="29" fillId="24" borderId="39" xfId="0" applyFont="1" applyFill="1" applyBorder="1"/>
    <xf numFmtId="0" fontId="37" fillId="25" borderId="0" xfId="0" applyFont="1" applyFill="1"/>
    <xf numFmtId="0" fontId="29" fillId="25" borderId="0" xfId="0" applyFont="1" applyFill="1"/>
    <xf numFmtId="2" fontId="29" fillId="25" borderId="0" xfId="0" applyNumberFormat="1" applyFont="1" applyFill="1"/>
    <xf numFmtId="2" fontId="29" fillId="34" borderId="0" xfId="0" applyNumberFormat="1" applyFont="1" applyFill="1"/>
    <xf numFmtId="0" fontId="24" fillId="24" borderId="0" xfId="0" applyFont="1" applyFill="1" applyAlignment="1">
      <alignment vertical="center"/>
    </xf>
    <xf numFmtId="0" fontId="24" fillId="35" borderId="0" xfId="0" applyFont="1" applyFill="1" applyAlignment="1">
      <alignment vertical="center"/>
    </xf>
    <xf numFmtId="2" fontId="37" fillId="0" borderId="0" xfId="0" applyNumberFormat="1" applyFont="1"/>
    <xf numFmtId="0" fontId="31" fillId="26" borderId="10" xfId="0" applyFont="1" applyFill="1" applyBorder="1" applyAlignment="1">
      <alignment horizontal="center" vertical="center"/>
    </xf>
    <xf numFmtId="0" fontId="29" fillId="0" borderId="0" xfId="0" applyFont="1"/>
    <xf numFmtId="2" fontId="29" fillId="0" borderId="0" xfId="0" applyNumberFormat="1" applyFont="1"/>
    <xf numFmtId="0" fontId="22" fillId="25" borderId="0" xfId="37" applyFont="1" applyFill="1"/>
    <xf numFmtId="164" fontId="22" fillId="25" borderId="0" xfId="37" applyNumberFormat="1" applyFont="1" applyFill="1"/>
    <xf numFmtId="166" fontId="55" fillId="37" borderId="44" xfId="0" applyNumberFormat="1" applyFont="1" applyFill="1" applyBorder="1" applyAlignment="1">
      <alignment horizontal="center" vertical="center"/>
    </xf>
    <xf numFmtId="166" fontId="55" fillId="27" borderId="44" xfId="0" applyNumberFormat="1" applyFont="1" applyFill="1" applyBorder="1" applyAlignment="1">
      <alignment horizontal="center" vertical="center"/>
    </xf>
    <xf numFmtId="166" fontId="55" fillId="37" borderId="65" xfId="0" applyNumberFormat="1" applyFont="1" applyFill="1" applyBorder="1" applyAlignment="1">
      <alignment horizontal="center" vertical="center"/>
    </xf>
    <xf numFmtId="166" fontId="55" fillId="27" borderId="65" xfId="0" applyNumberFormat="1" applyFont="1" applyFill="1" applyBorder="1" applyAlignment="1">
      <alignment horizontal="center" vertical="center"/>
    </xf>
    <xf numFmtId="0" fontId="37" fillId="46" borderId="0" xfId="0" applyFont="1" applyFill="1"/>
    <xf numFmtId="166" fontId="66" fillId="46" borderId="159" xfId="0" applyNumberFormat="1" applyFont="1" applyFill="1" applyBorder="1" applyAlignment="1">
      <alignment horizontal="center" vertical="center"/>
    </xf>
    <xf numFmtId="2" fontId="67" fillId="46" borderId="46" xfId="0" applyNumberFormat="1" applyFont="1" applyFill="1" applyBorder="1" applyAlignment="1">
      <alignment horizontal="center" vertical="center"/>
    </xf>
    <xf numFmtId="2" fontId="67" fillId="46" borderId="43" xfId="0" applyNumberFormat="1" applyFont="1" applyFill="1" applyBorder="1" applyAlignment="1">
      <alignment horizontal="center" vertical="center"/>
    </xf>
    <xf numFmtId="166" fontId="66" fillId="46" borderId="160" xfId="0" applyNumberFormat="1" applyFont="1" applyFill="1" applyBorder="1" applyAlignment="1">
      <alignment horizontal="center" vertical="center"/>
    </xf>
    <xf numFmtId="2" fontId="67" fillId="46" borderId="66" xfId="0" applyNumberFormat="1" applyFont="1" applyFill="1" applyBorder="1" applyAlignment="1">
      <alignment horizontal="center" vertical="center"/>
    </xf>
    <xf numFmtId="2" fontId="67" fillId="46" borderId="67" xfId="0" applyNumberFormat="1" applyFont="1" applyFill="1" applyBorder="1" applyAlignment="1">
      <alignment horizontal="center" vertical="center"/>
    </xf>
    <xf numFmtId="166" fontId="66" fillId="46" borderId="161" xfId="0" applyNumberFormat="1" applyFont="1" applyFill="1" applyBorder="1" applyAlignment="1">
      <alignment horizontal="center" vertical="center"/>
    </xf>
    <xf numFmtId="0" fontId="67" fillId="46" borderId="0" xfId="0" applyFont="1" applyFill="1"/>
    <xf numFmtId="2" fontId="67" fillId="46" borderId="51" xfId="0" applyNumberFormat="1" applyFont="1" applyFill="1" applyBorder="1" applyAlignment="1">
      <alignment horizontal="center" vertical="center"/>
    </xf>
    <xf numFmtId="2" fontId="67" fillId="46" borderId="47" xfId="0" applyNumberFormat="1" applyFont="1" applyFill="1" applyBorder="1" applyAlignment="1">
      <alignment horizontal="center" vertical="center"/>
    </xf>
    <xf numFmtId="2" fontId="67" fillId="46" borderId="77" xfId="0" applyNumberFormat="1" applyFont="1" applyFill="1" applyBorder="1" applyAlignment="1">
      <alignment horizontal="center" vertical="center"/>
    </xf>
    <xf numFmtId="2" fontId="66" fillId="46" borderId="73" xfId="0" applyNumberFormat="1" applyFont="1" applyFill="1" applyBorder="1" applyAlignment="1">
      <alignment horizontal="center" vertical="center"/>
    </xf>
    <xf numFmtId="2" fontId="66" fillId="46" borderId="74" xfId="0" applyNumberFormat="1" applyFont="1" applyFill="1" applyBorder="1" applyAlignment="1">
      <alignment horizontal="center" vertical="center"/>
    </xf>
    <xf numFmtId="2" fontId="67" fillId="46" borderId="74" xfId="0" applyNumberFormat="1" applyFont="1" applyFill="1" applyBorder="1" applyAlignment="1">
      <alignment horizontal="center" vertical="center"/>
    </xf>
    <xf numFmtId="2" fontId="67" fillId="46" borderId="75" xfId="0" applyNumberFormat="1" applyFont="1" applyFill="1" applyBorder="1" applyAlignment="1">
      <alignment horizontal="center" vertical="center"/>
    </xf>
    <xf numFmtId="166" fontId="66" fillId="25" borderId="44" xfId="0" applyNumberFormat="1" applyFont="1" applyFill="1" applyBorder="1" applyAlignment="1">
      <alignment horizontal="center" vertical="center"/>
    </xf>
    <xf numFmtId="166" fontId="66" fillId="25" borderId="65" xfId="0" applyNumberFormat="1" applyFont="1" applyFill="1" applyBorder="1" applyAlignment="1">
      <alignment horizontal="center" vertical="center"/>
    </xf>
    <xf numFmtId="2" fontId="66" fillId="25" borderId="43" xfId="0" applyNumberFormat="1" applyFont="1" applyFill="1" applyBorder="1" applyAlignment="1">
      <alignment horizontal="center" vertical="center"/>
    </xf>
    <xf numFmtId="2" fontId="66" fillId="25" borderId="67" xfId="0" applyNumberFormat="1" applyFont="1" applyFill="1" applyBorder="1" applyAlignment="1">
      <alignment horizontal="center" vertical="center"/>
    </xf>
    <xf numFmtId="2" fontId="66" fillId="25" borderId="47" xfId="0" applyNumberFormat="1" applyFont="1" applyFill="1" applyBorder="1" applyAlignment="1">
      <alignment horizontal="center" vertical="center"/>
    </xf>
    <xf numFmtId="2" fontId="67" fillId="47" borderId="43" xfId="0" applyNumberFormat="1" applyFont="1" applyFill="1" applyBorder="1" applyAlignment="1">
      <alignment horizontal="center" vertical="center"/>
    </xf>
    <xf numFmtId="2" fontId="67" fillId="47" borderId="67" xfId="0" applyNumberFormat="1" applyFont="1" applyFill="1" applyBorder="1" applyAlignment="1">
      <alignment horizontal="center" vertical="center"/>
    </xf>
    <xf numFmtId="2" fontId="66" fillId="25" borderId="58" xfId="0" applyNumberFormat="1" applyFont="1" applyFill="1" applyBorder="1" applyAlignment="1">
      <alignment horizontal="center" vertical="center"/>
    </xf>
    <xf numFmtId="2" fontId="66" fillId="25" borderId="77" xfId="0" applyNumberFormat="1" applyFont="1" applyFill="1" applyBorder="1" applyAlignment="1">
      <alignment horizontal="center" vertical="center"/>
    </xf>
    <xf numFmtId="2" fontId="66" fillId="25" borderId="62" xfId="0" applyNumberFormat="1" applyFont="1" applyFill="1" applyBorder="1" applyAlignment="1">
      <alignment horizontal="center" vertical="center"/>
    </xf>
    <xf numFmtId="2" fontId="67" fillId="25" borderId="44" xfId="0" applyNumberFormat="1" applyFont="1" applyFill="1" applyBorder="1" applyAlignment="1">
      <alignment horizontal="center" vertical="center"/>
    </xf>
    <xf numFmtId="2" fontId="67" fillId="25" borderId="65" xfId="0" applyNumberFormat="1" applyFont="1" applyFill="1" applyBorder="1" applyAlignment="1">
      <alignment horizontal="center" vertical="center"/>
    </xf>
    <xf numFmtId="2" fontId="67" fillId="25" borderId="71" xfId="0" applyNumberFormat="1" applyFont="1" applyFill="1" applyBorder="1" applyAlignment="1">
      <alignment horizontal="center" vertical="center"/>
    </xf>
    <xf numFmtId="2" fontId="67" fillId="25" borderId="65" xfId="37" applyNumberFormat="1" applyFont="1" applyFill="1" applyBorder="1" applyAlignment="1">
      <alignment horizontal="center" vertical="center"/>
    </xf>
    <xf numFmtId="2" fontId="67" fillId="25" borderId="64" xfId="0" applyNumberFormat="1" applyFont="1" applyFill="1" applyBorder="1" applyAlignment="1">
      <alignment horizontal="center" vertical="center"/>
    </xf>
    <xf numFmtId="2" fontId="66" fillId="25" borderId="65" xfId="0" applyNumberFormat="1" applyFont="1" applyFill="1" applyBorder="1" applyAlignment="1">
      <alignment horizontal="center" vertical="center"/>
    </xf>
    <xf numFmtId="0" fontId="67" fillId="25" borderId="65" xfId="0" applyFont="1" applyFill="1" applyBorder="1" applyAlignment="1">
      <alignment horizontal="center" vertical="center"/>
    </xf>
    <xf numFmtId="2" fontId="67" fillId="25" borderId="81" xfId="0" applyNumberFormat="1" applyFont="1" applyFill="1" applyBorder="1" applyAlignment="1">
      <alignment horizontal="center" vertical="center"/>
    </xf>
    <xf numFmtId="0" fontId="67" fillId="25" borderId="69" xfId="0" applyFont="1" applyFill="1" applyBorder="1" applyAlignment="1">
      <alignment horizontal="center" vertical="center"/>
    </xf>
    <xf numFmtId="2" fontId="67" fillId="46" borderId="96" xfId="0" applyNumberFormat="1" applyFont="1" applyFill="1" applyBorder="1" applyAlignment="1">
      <alignment horizontal="center" vertical="center"/>
    </xf>
    <xf numFmtId="2" fontId="66" fillId="38" borderId="164" xfId="0" applyNumberFormat="1" applyFont="1" applyFill="1" applyBorder="1" applyAlignment="1">
      <alignment horizontal="center" vertical="center"/>
    </xf>
    <xf numFmtId="0" fontId="29" fillId="46" borderId="0" xfId="0" applyFont="1" applyFill="1"/>
    <xf numFmtId="2" fontId="67" fillId="46" borderId="166" xfId="0" applyNumberFormat="1" applyFont="1" applyFill="1" applyBorder="1" applyAlignment="1">
      <alignment horizontal="center" vertical="center"/>
    </xf>
    <xf numFmtId="2" fontId="67" fillId="47" borderId="44" xfId="0" applyNumberFormat="1" applyFont="1" applyFill="1" applyBorder="1" applyAlignment="1">
      <alignment horizontal="center" vertical="center"/>
    </xf>
    <xf numFmtId="0" fontId="69" fillId="40" borderId="47" xfId="0" applyFont="1" applyFill="1" applyBorder="1" applyAlignment="1">
      <alignment horizontal="center" vertical="center"/>
    </xf>
    <xf numFmtId="0" fontId="69" fillId="40" borderId="67" xfId="0" applyFont="1" applyFill="1" applyBorder="1" applyAlignment="1">
      <alignment horizontal="center" vertical="center"/>
    </xf>
    <xf numFmtId="0" fontId="69" fillId="40" borderId="62" xfId="0" applyFont="1" applyFill="1" applyBorder="1" applyAlignment="1">
      <alignment horizontal="center" vertical="center"/>
    </xf>
    <xf numFmtId="0" fontId="69" fillId="40" borderId="60" xfId="43" applyFont="1" applyFill="1" applyBorder="1" applyAlignment="1">
      <alignment horizontal="center" vertical="center"/>
    </xf>
    <xf numFmtId="0" fontId="69" fillId="40" borderId="53" xfId="43" applyFont="1" applyFill="1" applyBorder="1" applyAlignment="1">
      <alignment horizontal="center" vertical="center"/>
    </xf>
    <xf numFmtId="0" fontId="69" fillId="40" borderId="48" xfId="43" applyFont="1" applyFill="1" applyBorder="1" applyAlignment="1">
      <alignment horizontal="center" vertical="center" wrapText="1"/>
    </xf>
    <xf numFmtId="0" fontId="70" fillId="24" borderId="48" xfId="43" applyFont="1" applyFill="1" applyBorder="1" applyAlignment="1">
      <alignment horizontal="center" vertical="center" wrapText="1"/>
    </xf>
    <xf numFmtId="0" fontId="70" fillId="24" borderId="78" xfId="43" applyFont="1" applyFill="1" applyBorder="1" applyAlignment="1">
      <alignment horizontal="center" vertical="center" wrapText="1"/>
    </xf>
    <xf numFmtId="0" fontId="69" fillId="36" borderId="60" xfId="43" applyFont="1" applyFill="1" applyBorder="1" applyAlignment="1">
      <alignment horizontal="center" vertical="center"/>
    </xf>
    <xf numFmtId="0" fontId="69" fillId="36" borderId="53" xfId="43" applyFont="1" applyFill="1" applyBorder="1" applyAlignment="1">
      <alignment horizontal="center" vertical="center"/>
    </xf>
    <xf numFmtId="0" fontId="69" fillId="36" borderId="48" xfId="43" applyFont="1" applyFill="1" applyBorder="1" applyAlignment="1">
      <alignment horizontal="center" vertical="center" wrapText="1"/>
    </xf>
    <xf numFmtId="10" fontId="66" fillId="42" borderId="165" xfId="0" applyNumberFormat="1" applyFont="1" applyFill="1" applyBorder="1" applyAlignment="1">
      <alignment horizontal="center" vertical="center"/>
    </xf>
    <xf numFmtId="2" fontId="66" fillId="25" borderId="52" xfId="0" applyNumberFormat="1" applyFont="1" applyFill="1" applyBorder="1" applyAlignment="1">
      <alignment horizontal="center" vertical="center"/>
    </xf>
    <xf numFmtId="2" fontId="66" fillId="25" borderId="44" xfId="0" applyNumberFormat="1" applyFont="1" applyFill="1" applyBorder="1" applyAlignment="1">
      <alignment horizontal="center" vertical="center"/>
    </xf>
    <xf numFmtId="2" fontId="66" fillId="25" borderId="70" xfId="0" applyNumberFormat="1" applyFont="1" applyFill="1" applyBorder="1" applyAlignment="1">
      <alignment horizontal="center" vertical="center"/>
    </xf>
    <xf numFmtId="2" fontId="66" fillId="25" borderId="71" xfId="0" applyNumberFormat="1" applyFont="1" applyFill="1" applyBorder="1" applyAlignment="1">
      <alignment horizontal="center" vertical="center"/>
    </xf>
    <xf numFmtId="2" fontId="66" fillId="25" borderId="64" xfId="37" applyNumberFormat="1" applyFont="1" applyFill="1" applyBorder="1" applyAlignment="1">
      <alignment horizontal="center" vertical="center"/>
    </xf>
    <xf numFmtId="2" fontId="66" fillId="25" borderId="65" xfId="37" applyNumberFormat="1" applyFont="1" applyFill="1" applyBorder="1" applyAlignment="1">
      <alignment horizontal="center" vertical="center"/>
    </xf>
    <xf numFmtId="2" fontId="66" fillId="42" borderId="65" xfId="37" applyNumberFormat="1" applyFont="1" applyFill="1" applyBorder="1" applyAlignment="1">
      <alignment horizontal="center" vertical="center"/>
    </xf>
    <xf numFmtId="0" fontId="29" fillId="47" borderId="0" xfId="0" applyFont="1" applyFill="1"/>
    <xf numFmtId="0" fontId="37" fillId="47" borderId="0" xfId="0" applyFont="1" applyFill="1"/>
    <xf numFmtId="2" fontId="29" fillId="47" borderId="0" xfId="0" applyNumberFormat="1" applyFont="1" applyFill="1"/>
    <xf numFmtId="166" fontId="66" fillId="47" borderId="139" xfId="0" applyNumberFormat="1" applyFont="1" applyFill="1" applyBorder="1" applyAlignment="1">
      <alignment horizontal="center" vertical="center"/>
    </xf>
    <xf numFmtId="2" fontId="67" fillId="47" borderId="141" xfId="0" applyNumberFormat="1" applyFont="1" applyFill="1" applyBorder="1" applyAlignment="1">
      <alignment horizontal="center" vertical="center"/>
    </xf>
    <xf numFmtId="2" fontId="67" fillId="47" borderId="133" xfId="0" applyNumberFormat="1" applyFont="1" applyFill="1" applyBorder="1" applyAlignment="1">
      <alignment horizontal="center" vertical="center"/>
    </xf>
    <xf numFmtId="2" fontId="67" fillId="47" borderId="134" xfId="0" applyNumberFormat="1" applyFont="1" applyFill="1" applyBorder="1" applyAlignment="1">
      <alignment horizontal="center" vertical="center"/>
    </xf>
    <xf numFmtId="2" fontId="67" fillId="47" borderId="138" xfId="0" applyNumberFormat="1" applyFont="1" applyFill="1" applyBorder="1" applyAlignment="1">
      <alignment horizontal="center" vertical="center"/>
    </xf>
    <xf numFmtId="2" fontId="67" fillId="47" borderId="136" xfId="0" applyNumberFormat="1" applyFont="1" applyFill="1" applyBorder="1" applyAlignment="1">
      <alignment horizontal="center" vertical="center"/>
    </xf>
    <xf numFmtId="2" fontId="67" fillId="47" borderId="137" xfId="0" applyNumberFormat="1" applyFont="1" applyFill="1" applyBorder="1" applyAlignment="1">
      <alignment horizontal="center" vertical="center"/>
    </xf>
    <xf numFmtId="166" fontId="66" fillId="47" borderId="110" xfId="0" applyNumberFormat="1" applyFont="1" applyFill="1" applyBorder="1" applyAlignment="1">
      <alignment horizontal="center" vertical="center"/>
    </xf>
    <xf numFmtId="0" fontId="67" fillId="47" borderId="0" xfId="0" applyFont="1" applyFill="1"/>
    <xf numFmtId="2" fontId="67" fillId="47" borderId="71" xfId="0" applyNumberFormat="1" applyFont="1" applyFill="1" applyBorder="1" applyAlignment="1">
      <alignment horizontal="center" vertical="center"/>
    </xf>
    <xf numFmtId="2" fontId="67" fillId="47" borderId="51" xfId="0" applyNumberFormat="1" applyFont="1" applyFill="1" applyBorder="1" applyAlignment="1">
      <alignment horizontal="center" vertical="center"/>
    </xf>
    <xf numFmtId="2" fontId="67" fillId="47" borderId="47" xfId="0" applyNumberFormat="1" applyFont="1" applyFill="1" applyBorder="1" applyAlignment="1">
      <alignment horizontal="center" vertical="center"/>
    </xf>
    <xf numFmtId="2" fontId="67" fillId="47" borderId="62" xfId="0" applyNumberFormat="1" applyFont="1" applyFill="1" applyBorder="1" applyAlignment="1">
      <alignment horizontal="center" vertical="center"/>
    </xf>
    <xf numFmtId="2" fontId="67" fillId="47" borderId="58" xfId="0" applyNumberFormat="1" applyFont="1" applyFill="1" applyBorder="1" applyAlignment="1">
      <alignment horizontal="center" vertical="center"/>
    </xf>
    <xf numFmtId="2" fontId="67" fillId="47" borderId="66" xfId="0" applyNumberFormat="1" applyFont="1" applyFill="1" applyBorder="1" applyAlignment="1">
      <alignment horizontal="center" vertical="center"/>
    </xf>
    <xf numFmtId="2" fontId="67" fillId="47" borderId="68" xfId="0" applyNumberFormat="1" applyFont="1" applyFill="1" applyBorder="1" applyAlignment="1">
      <alignment horizontal="center" vertical="center"/>
    </xf>
    <xf numFmtId="166" fontId="66" fillId="25" borderId="100" xfId="0" applyNumberFormat="1" applyFont="1" applyFill="1" applyBorder="1" applyAlignment="1">
      <alignment horizontal="center" vertical="center"/>
    </xf>
    <xf numFmtId="166" fontId="66" fillId="25" borderId="109" xfId="0" applyNumberFormat="1" applyFont="1" applyFill="1" applyBorder="1" applyAlignment="1">
      <alignment horizontal="center" vertical="center"/>
    </xf>
    <xf numFmtId="166" fontId="55" fillId="37" borderId="100" xfId="0" applyNumberFormat="1" applyFont="1" applyFill="1" applyBorder="1" applyAlignment="1">
      <alignment horizontal="center" vertical="center"/>
    </xf>
    <xf numFmtId="166" fontId="55" fillId="37" borderId="109" xfId="0" applyNumberFormat="1" applyFont="1" applyFill="1" applyBorder="1" applyAlignment="1">
      <alignment horizontal="center" vertical="center"/>
    </xf>
    <xf numFmtId="166" fontId="55" fillId="27" borderId="100" xfId="0" applyNumberFormat="1" applyFont="1" applyFill="1" applyBorder="1" applyAlignment="1">
      <alignment horizontal="center" vertical="center"/>
    </xf>
    <xf numFmtId="166" fontId="55" fillId="27" borderId="109" xfId="0" applyNumberFormat="1" applyFont="1" applyFill="1" applyBorder="1" applyAlignment="1">
      <alignment horizontal="center" vertical="center"/>
    </xf>
    <xf numFmtId="2" fontId="67" fillId="25" borderId="100" xfId="0" applyNumberFormat="1" applyFont="1" applyFill="1" applyBorder="1" applyAlignment="1">
      <alignment horizontal="center" vertical="center"/>
    </xf>
    <xf numFmtId="2" fontId="67" fillId="25" borderId="109" xfId="0" applyNumberFormat="1" applyFont="1" applyFill="1" applyBorder="1" applyAlignment="1">
      <alignment horizontal="center" vertical="center"/>
    </xf>
    <xf numFmtId="2" fontId="66" fillId="25" borderId="100" xfId="0" applyNumberFormat="1" applyFont="1" applyFill="1" applyBorder="1" applyAlignment="1">
      <alignment horizontal="center" vertical="center"/>
    </xf>
    <xf numFmtId="2" fontId="66" fillId="25" borderId="109" xfId="0" applyNumberFormat="1" applyFont="1" applyFill="1" applyBorder="1" applyAlignment="1">
      <alignment horizontal="center" vertical="center"/>
    </xf>
    <xf numFmtId="0" fontId="58" fillId="24" borderId="133" xfId="43" applyFont="1" applyFill="1" applyBorder="1" applyAlignment="1">
      <alignment horizontal="center" vertical="center" wrapText="1"/>
    </xf>
    <xf numFmtId="2" fontId="66" fillId="25" borderId="133" xfId="0" applyNumberFormat="1" applyFont="1" applyFill="1" applyBorder="1" applyAlignment="1">
      <alignment horizontal="center" vertical="center"/>
    </xf>
    <xf numFmtId="2" fontId="66" fillId="25" borderId="136" xfId="0" applyNumberFormat="1" applyFont="1" applyFill="1" applyBorder="1" applyAlignment="1">
      <alignment horizontal="center" vertical="center"/>
    </xf>
    <xf numFmtId="2" fontId="66" fillId="25" borderId="59" xfId="0" applyNumberFormat="1" applyFont="1" applyFill="1" applyBorder="1" applyAlignment="1">
      <alignment horizontal="center" vertical="center"/>
    </xf>
    <xf numFmtId="0" fontId="67" fillId="25" borderId="64" xfId="0" applyFont="1" applyFill="1" applyBorder="1" applyAlignment="1">
      <alignment horizontal="center" vertical="center"/>
    </xf>
    <xf numFmtId="0" fontId="69" fillId="40" borderId="43" xfId="0" applyFont="1" applyFill="1" applyBorder="1" applyAlignment="1">
      <alignment horizontal="center" vertical="center"/>
    </xf>
    <xf numFmtId="2" fontId="29" fillId="46" borderId="0" xfId="0" applyNumberFormat="1" applyFont="1" applyFill="1"/>
    <xf numFmtId="0" fontId="54" fillId="0" borderId="0" xfId="0" applyFont="1"/>
    <xf numFmtId="0" fontId="54" fillId="46" borderId="0" xfId="0" applyFont="1" applyFill="1"/>
    <xf numFmtId="0" fontId="66" fillId="46" borderId="139" xfId="0" applyFont="1" applyFill="1" applyBorder="1" applyAlignment="1">
      <alignment horizontal="center" vertical="center"/>
    </xf>
    <xf numFmtId="166" fontId="55" fillId="31" borderId="100" xfId="0" applyNumberFormat="1" applyFont="1" applyFill="1" applyBorder="1" applyAlignment="1">
      <alignment horizontal="center" vertical="center"/>
    </xf>
    <xf numFmtId="166" fontId="55" fillId="39" borderId="100" xfId="0" applyNumberFormat="1" applyFont="1" applyFill="1" applyBorder="1" applyAlignment="1">
      <alignment horizontal="center" vertical="center"/>
    </xf>
    <xf numFmtId="2" fontId="67" fillId="46" borderId="141" xfId="0" applyNumberFormat="1" applyFont="1" applyFill="1" applyBorder="1" applyAlignment="1">
      <alignment horizontal="center" vertical="center"/>
    </xf>
    <xf numFmtId="2" fontId="67" fillId="46" borderId="133" xfId="0" applyNumberFormat="1" applyFont="1" applyFill="1" applyBorder="1" applyAlignment="1">
      <alignment horizontal="center" vertical="center"/>
    </xf>
    <xf numFmtId="2" fontId="67" fillId="46" borderId="138" xfId="0" applyNumberFormat="1" applyFont="1" applyFill="1" applyBorder="1" applyAlignment="1">
      <alignment horizontal="center" vertical="center"/>
    </xf>
    <xf numFmtId="2" fontId="67" fillId="46" borderId="136" xfId="0" applyNumberFormat="1" applyFont="1" applyFill="1" applyBorder="1" applyAlignment="1">
      <alignment horizontal="center" vertical="center"/>
    </xf>
    <xf numFmtId="0" fontId="66" fillId="46" borderId="140" xfId="0" applyFont="1" applyFill="1" applyBorder="1" applyAlignment="1">
      <alignment horizontal="center" vertical="center"/>
    </xf>
    <xf numFmtId="166" fontId="55" fillId="31" borderId="109" xfId="0" applyNumberFormat="1" applyFont="1" applyFill="1" applyBorder="1" applyAlignment="1">
      <alignment horizontal="center" vertical="center"/>
    </xf>
    <xf numFmtId="166" fontId="55" fillId="39" borderId="109" xfId="0" applyNumberFormat="1" applyFont="1" applyFill="1" applyBorder="1" applyAlignment="1">
      <alignment horizontal="center" vertical="center"/>
    </xf>
    <xf numFmtId="0" fontId="53" fillId="46" borderId="0" xfId="0" applyFont="1" applyFill="1"/>
    <xf numFmtId="2" fontId="67" fillId="46" borderId="142" xfId="0" applyNumberFormat="1" applyFont="1" applyFill="1" applyBorder="1" applyAlignment="1">
      <alignment horizontal="center" vertical="center"/>
    </xf>
    <xf numFmtId="2" fontId="67" fillId="46" borderId="148" xfId="0" applyNumberFormat="1" applyFont="1" applyFill="1" applyBorder="1" applyAlignment="1">
      <alignment horizontal="center" vertical="center"/>
    </xf>
    <xf numFmtId="0" fontId="65" fillId="46" borderId="133" xfId="0" applyFont="1" applyFill="1" applyBorder="1" applyAlignment="1">
      <alignment horizontal="center" vertical="center"/>
    </xf>
    <xf numFmtId="0" fontId="65" fillId="46" borderId="134" xfId="0" applyFont="1" applyFill="1" applyBorder="1" applyAlignment="1">
      <alignment horizontal="center" vertical="center"/>
    </xf>
    <xf numFmtId="2" fontId="67" fillId="46" borderId="140" xfId="0" applyNumberFormat="1" applyFont="1" applyFill="1" applyBorder="1" applyAlignment="1">
      <alignment horizontal="center" vertical="center"/>
    </xf>
    <xf numFmtId="2" fontId="54" fillId="46" borderId="0" xfId="0" applyNumberFormat="1" applyFont="1" applyFill="1"/>
    <xf numFmtId="0" fontId="58" fillId="24" borderId="134" xfId="43" applyFont="1" applyFill="1" applyBorder="1" applyAlignment="1">
      <alignment horizontal="center" vertical="center" wrapText="1"/>
    </xf>
    <xf numFmtId="2" fontId="67" fillId="47" borderId="106" xfId="0" applyNumberFormat="1" applyFont="1" applyFill="1" applyBorder="1" applyAlignment="1">
      <alignment horizontal="center" vertical="center"/>
    </xf>
    <xf numFmtId="2" fontId="67" fillId="47" borderId="115" xfId="0" applyNumberFormat="1" applyFont="1" applyFill="1" applyBorder="1" applyAlignment="1">
      <alignment horizontal="center" vertical="center"/>
    </xf>
    <xf numFmtId="0" fontId="69" fillId="46" borderId="78" xfId="43" applyFont="1" applyFill="1" applyBorder="1" applyAlignment="1">
      <alignment horizontal="center" vertical="center" wrapText="1"/>
    </xf>
    <xf numFmtId="0" fontId="69" fillId="46" borderId="48" xfId="43" applyFont="1" applyFill="1" applyBorder="1" applyAlignment="1">
      <alignment horizontal="center" vertical="center" wrapText="1"/>
    </xf>
    <xf numFmtId="2" fontId="67" fillId="25" borderId="133" xfId="0" applyNumberFormat="1" applyFont="1" applyFill="1" applyBorder="1" applyAlignment="1">
      <alignment horizontal="center" vertical="center"/>
    </xf>
    <xf numFmtId="2" fontId="67" fillId="25" borderId="136" xfId="0" applyNumberFormat="1" applyFont="1" applyFill="1" applyBorder="1" applyAlignment="1">
      <alignment horizontal="center" vertical="center"/>
    </xf>
    <xf numFmtId="2" fontId="67" fillId="25" borderId="134" xfId="0" applyNumberFormat="1" applyFont="1" applyFill="1" applyBorder="1" applyAlignment="1">
      <alignment horizontal="center" vertical="center"/>
    </xf>
    <xf numFmtId="2" fontId="67" fillId="25" borderId="137" xfId="0" applyNumberFormat="1" applyFont="1" applyFill="1" applyBorder="1" applyAlignment="1">
      <alignment horizontal="center" vertical="center"/>
    </xf>
    <xf numFmtId="2" fontId="66" fillId="25" borderId="143" xfId="0" applyNumberFormat="1" applyFont="1" applyFill="1" applyBorder="1" applyAlignment="1">
      <alignment horizontal="center" vertical="center"/>
    </xf>
    <xf numFmtId="2" fontId="66" fillId="25" borderId="192" xfId="0" applyNumberFormat="1" applyFont="1" applyFill="1" applyBorder="1" applyAlignment="1">
      <alignment horizontal="center" vertical="center"/>
    </xf>
    <xf numFmtId="2" fontId="66" fillId="25" borderId="155" xfId="0" applyNumberFormat="1" applyFont="1" applyFill="1" applyBorder="1" applyAlignment="1">
      <alignment horizontal="center" vertical="center"/>
    </xf>
    <xf numFmtId="2" fontId="67" fillId="25" borderId="155" xfId="0" applyNumberFormat="1" applyFont="1" applyFill="1" applyBorder="1" applyAlignment="1">
      <alignment horizontal="center" vertical="center"/>
    </xf>
    <xf numFmtId="2" fontId="67" fillId="46" borderId="180" xfId="0" applyNumberFormat="1" applyFont="1" applyFill="1" applyBorder="1" applyAlignment="1">
      <alignment horizontal="center" vertical="center"/>
    </xf>
    <xf numFmtId="2" fontId="67" fillId="25" borderId="142" xfId="0" applyNumberFormat="1" applyFont="1" applyFill="1" applyBorder="1" applyAlignment="1">
      <alignment horizontal="center" vertical="center"/>
    </xf>
    <xf numFmtId="2" fontId="67" fillId="25" borderId="148" xfId="0" applyNumberFormat="1" applyFont="1" applyFill="1" applyBorder="1" applyAlignment="1">
      <alignment horizontal="center" vertical="center"/>
    </xf>
    <xf numFmtId="2" fontId="67" fillId="25" borderId="192" xfId="37" applyNumberFormat="1" applyFont="1" applyFill="1" applyBorder="1" applyAlignment="1">
      <alignment horizontal="center" vertical="center"/>
    </xf>
    <xf numFmtId="2" fontId="67" fillId="25" borderId="155" xfId="37" applyNumberFormat="1" applyFont="1" applyFill="1" applyBorder="1" applyAlignment="1">
      <alignment horizontal="center" vertical="center"/>
    </xf>
    <xf numFmtId="2" fontId="66" fillId="42" borderId="71" xfId="37" applyNumberFormat="1" applyFont="1" applyFill="1" applyBorder="1" applyAlignment="1">
      <alignment horizontal="center" vertical="center"/>
    </xf>
    <xf numFmtId="2" fontId="67" fillId="25" borderId="180" xfId="37" applyNumberFormat="1" applyFont="1" applyFill="1" applyBorder="1" applyAlignment="1">
      <alignment horizontal="center" vertical="center"/>
    </xf>
    <xf numFmtId="0" fontId="64" fillId="40" borderId="144" xfId="43" applyFont="1" applyFill="1" applyBorder="1" applyAlignment="1">
      <alignment horizontal="center" vertical="center"/>
    </xf>
    <xf numFmtId="0" fontId="64" fillId="40" borderId="142" xfId="43" applyFont="1" applyFill="1" applyBorder="1" applyAlignment="1">
      <alignment horizontal="center" vertical="center"/>
    </xf>
    <xf numFmtId="0" fontId="64" fillId="40" borderId="133" xfId="43" applyFont="1" applyFill="1" applyBorder="1" applyAlignment="1">
      <alignment horizontal="center" vertical="center" wrapText="1"/>
    </xf>
    <xf numFmtId="0" fontId="67" fillId="25" borderId="145" xfId="0" applyFont="1" applyFill="1" applyBorder="1" applyAlignment="1">
      <alignment horizontal="center" vertical="center"/>
    </xf>
    <xf numFmtId="0" fontId="67" fillId="25" borderId="109" xfId="0" applyFont="1" applyFill="1" applyBorder="1" applyAlignment="1">
      <alignment horizontal="center" vertical="center"/>
    </xf>
    <xf numFmtId="2" fontId="67" fillId="25" borderId="147" xfId="0" applyNumberFormat="1" applyFont="1" applyFill="1" applyBorder="1" applyAlignment="1">
      <alignment horizontal="center" vertical="center"/>
    </xf>
    <xf numFmtId="0" fontId="67" fillId="25" borderId="146" xfId="0" applyFont="1" applyFill="1" applyBorder="1" applyAlignment="1">
      <alignment horizontal="center" vertical="center"/>
    </xf>
    <xf numFmtId="0" fontId="59" fillId="46" borderId="0" xfId="0" applyFont="1" applyFill="1"/>
    <xf numFmtId="0" fontId="75" fillId="46" borderId="0" xfId="0" applyFont="1" applyFill="1" applyAlignment="1">
      <alignment vertical="center"/>
    </xf>
    <xf numFmtId="0" fontId="62" fillId="41" borderId="41" xfId="37" applyFont="1" applyFill="1" applyBorder="1" applyAlignment="1">
      <alignment vertical="center"/>
    </xf>
    <xf numFmtId="0" fontId="62" fillId="41" borderId="41" xfId="37" applyFont="1" applyFill="1" applyBorder="1" applyAlignment="1">
      <alignment horizontal="center"/>
    </xf>
    <xf numFmtId="0" fontId="62" fillId="41" borderId="41" xfId="37" applyFont="1" applyFill="1" applyBorder="1" applyAlignment="1">
      <alignment horizontal="left"/>
    </xf>
    <xf numFmtId="0" fontId="72" fillId="24" borderId="198" xfId="37" applyFont="1" applyFill="1" applyBorder="1" applyAlignment="1">
      <alignment horizontal="center" vertical="center"/>
    </xf>
    <xf numFmtId="2" fontId="54" fillId="24" borderId="112" xfId="37" applyNumberFormat="1" applyFont="1" applyFill="1" applyBorder="1" applyAlignment="1">
      <alignment horizontal="center" vertical="center"/>
    </xf>
    <xf numFmtId="2" fontId="54" fillId="24" borderId="129" xfId="37" applyNumberFormat="1" applyFont="1" applyFill="1" applyBorder="1" applyAlignment="1">
      <alignment horizontal="center" vertical="center"/>
    </xf>
    <xf numFmtId="2" fontId="54" fillId="24" borderId="133" xfId="37" applyNumberFormat="1" applyFont="1" applyFill="1" applyBorder="1" applyAlignment="1">
      <alignment horizontal="center" vertical="center"/>
    </xf>
    <xf numFmtId="2" fontId="53" fillId="24" borderId="133" xfId="37" applyNumberFormat="1" applyFont="1" applyFill="1" applyBorder="1" applyAlignment="1">
      <alignment horizontal="center" vertical="center"/>
    </xf>
    <xf numFmtId="2" fontId="54" fillId="24" borderId="142" xfId="37" applyNumberFormat="1" applyFont="1" applyFill="1" applyBorder="1" applyAlignment="1">
      <alignment horizontal="center" vertical="center"/>
    </xf>
    <xf numFmtId="2" fontId="54" fillId="24" borderId="136" xfId="37" applyNumberFormat="1" applyFont="1" applyFill="1" applyBorder="1" applyAlignment="1">
      <alignment horizontal="center" vertical="center"/>
    </xf>
    <xf numFmtId="2" fontId="53" fillId="24" borderId="136" xfId="37" applyNumberFormat="1" applyFont="1" applyFill="1" applyBorder="1" applyAlignment="1">
      <alignment horizontal="center" vertical="center"/>
    </xf>
    <xf numFmtId="0" fontId="92" fillId="24" borderId="102" xfId="37" applyFont="1" applyFill="1" applyBorder="1" applyAlignment="1">
      <alignment horizontal="center" vertical="center"/>
    </xf>
    <xf numFmtId="0" fontId="93" fillId="24" borderId="152" xfId="37" applyFont="1" applyFill="1" applyBorder="1" applyAlignment="1">
      <alignment horizontal="center" vertical="center"/>
    </xf>
    <xf numFmtId="0" fontId="93" fillId="24" borderId="211" xfId="37" applyFont="1" applyFill="1" applyBorder="1" applyAlignment="1">
      <alignment horizontal="center" vertical="center"/>
    </xf>
    <xf numFmtId="0" fontId="94" fillId="24" borderId="130" xfId="37" applyFont="1" applyFill="1" applyBorder="1" applyAlignment="1">
      <alignment horizontal="center" vertical="center"/>
    </xf>
    <xf numFmtId="0" fontId="73" fillId="24" borderId="198" xfId="37" applyFont="1" applyFill="1" applyBorder="1" applyAlignment="1">
      <alignment horizontal="center" vertical="center"/>
    </xf>
    <xf numFmtId="0" fontId="96" fillId="24" borderId="198" xfId="37" applyFont="1" applyFill="1" applyBorder="1" applyAlignment="1">
      <alignment horizontal="center" vertical="center"/>
    </xf>
    <xf numFmtId="0" fontId="98" fillId="24" borderId="198" xfId="37" applyFont="1" applyFill="1" applyBorder="1" applyAlignment="1">
      <alignment horizontal="center" vertical="center"/>
    </xf>
    <xf numFmtId="0" fontId="100" fillId="24" borderId="190" xfId="37" applyFont="1" applyFill="1" applyBorder="1" applyAlignment="1">
      <alignment horizontal="center" vertical="center"/>
    </xf>
    <xf numFmtId="2" fontId="72" fillId="30" borderId="208" xfId="0" applyNumberFormat="1" applyFont="1" applyFill="1" applyBorder="1" applyAlignment="1">
      <alignment horizontal="center" vertical="center"/>
    </xf>
    <xf numFmtId="0" fontId="72" fillId="24" borderId="208" xfId="0" applyFont="1" applyFill="1" applyBorder="1" applyAlignment="1">
      <alignment horizontal="center" vertical="center"/>
    </xf>
    <xf numFmtId="2" fontId="61" fillId="49" borderId="50" xfId="0" applyNumberFormat="1" applyFont="1" applyFill="1" applyBorder="1" applyAlignment="1">
      <alignment horizontal="center" vertical="center"/>
    </xf>
    <xf numFmtId="2" fontId="54" fillId="49" borderId="100" xfId="37" applyNumberFormat="1" applyFont="1" applyFill="1" applyBorder="1" applyAlignment="1">
      <alignment horizontal="center" vertical="center"/>
    </xf>
    <xf numFmtId="2" fontId="95" fillId="49" borderId="100" xfId="37" applyNumberFormat="1" applyFont="1" applyFill="1" applyBorder="1" applyAlignment="1">
      <alignment horizontal="center" vertical="center"/>
    </xf>
    <xf numFmtId="2" fontId="97" fillId="49" borderId="100" xfId="37" applyNumberFormat="1" applyFont="1" applyFill="1" applyBorder="1" applyAlignment="1">
      <alignment horizontal="center" vertical="center"/>
    </xf>
    <xf numFmtId="2" fontId="99" fillId="49" borderId="100" xfId="37" applyNumberFormat="1" applyFont="1" applyFill="1" applyBorder="1" applyAlignment="1">
      <alignment horizontal="center" vertical="center"/>
    </xf>
    <xf numFmtId="2" fontId="101" fillId="49" borderId="204" xfId="37" applyNumberFormat="1" applyFont="1" applyFill="1" applyBorder="1" applyAlignment="1">
      <alignment horizontal="center" vertical="center"/>
    </xf>
    <xf numFmtId="2" fontId="54" fillId="49" borderId="155" xfId="37" applyNumberFormat="1" applyFont="1" applyFill="1" applyBorder="1" applyAlignment="1">
      <alignment horizontal="center" vertical="center"/>
    </xf>
    <xf numFmtId="2" fontId="95" fillId="49" borderId="155" xfId="37" applyNumberFormat="1" applyFont="1" applyFill="1" applyBorder="1" applyAlignment="1">
      <alignment horizontal="center" vertical="center"/>
    </xf>
    <xf numFmtId="2" fontId="97" fillId="49" borderId="155" xfId="37" applyNumberFormat="1" applyFont="1" applyFill="1" applyBorder="1" applyAlignment="1">
      <alignment horizontal="center" vertical="center"/>
    </xf>
    <xf numFmtId="2" fontId="101" fillId="49" borderId="212" xfId="37" applyNumberFormat="1" applyFont="1" applyFill="1" applyBorder="1" applyAlignment="1">
      <alignment horizontal="center" vertical="center"/>
    </xf>
    <xf numFmtId="2" fontId="99" fillId="49" borderId="212" xfId="37" applyNumberFormat="1" applyFont="1" applyFill="1" applyBorder="1" applyAlignment="1">
      <alignment horizontal="center" vertical="center"/>
    </xf>
    <xf numFmtId="2" fontId="72" fillId="30" borderId="213" xfId="0" applyNumberFormat="1" applyFont="1" applyFill="1" applyBorder="1" applyAlignment="1">
      <alignment horizontal="center" vertical="center"/>
    </xf>
    <xf numFmtId="2" fontId="101" fillId="49" borderId="44" xfId="37" applyNumberFormat="1" applyFont="1" applyFill="1" applyBorder="1" applyAlignment="1">
      <alignment horizontal="center" vertical="center"/>
    </xf>
    <xf numFmtId="2" fontId="102" fillId="49" borderId="44" xfId="37" applyNumberFormat="1" applyFont="1" applyFill="1" applyBorder="1" applyAlignment="1">
      <alignment horizontal="center" vertical="center"/>
    </xf>
    <xf numFmtId="2" fontId="61" fillId="49" borderId="52" xfId="0" applyNumberFormat="1" applyFont="1" applyFill="1" applyBorder="1" applyAlignment="1">
      <alignment horizontal="center" vertical="center"/>
    </xf>
    <xf numFmtId="0" fontId="61" fillId="32" borderId="136" xfId="0" applyFont="1" applyFill="1" applyBorder="1" applyAlignment="1">
      <alignment horizontal="center" vertical="center"/>
    </xf>
    <xf numFmtId="0" fontId="61" fillId="32" borderId="140" xfId="0" applyFont="1" applyFill="1" applyBorder="1" applyAlignment="1">
      <alignment horizontal="center" vertical="center"/>
    </xf>
    <xf numFmtId="0" fontId="104" fillId="32" borderId="216" xfId="0" applyFont="1" applyFill="1" applyBorder="1" applyAlignment="1">
      <alignment horizontal="center" vertical="center" wrapText="1"/>
    </xf>
    <xf numFmtId="0" fontId="104" fillId="32" borderId="217" xfId="0" applyFont="1" applyFill="1" applyBorder="1" applyAlignment="1">
      <alignment horizontal="center" vertical="center" wrapText="1"/>
    </xf>
    <xf numFmtId="0" fontId="104" fillId="32" borderId="217" xfId="0" applyFont="1" applyFill="1" applyBorder="1" applyAlignment="1">
      <alignment horizontal="center" vertical="center"/>
    </xf>
    <xf numFmtId="2" fontId="104" fillId="32" borderId="217" xfId="0" applyNumberFormat="1" applyFont="1" applyFill="1" applyBorder="1" applyAlignment="1">
      <alignment horizontal="center" vertical="center"/>
    </xf>
    <xf numFmtId="0" fontId="104" fillId="32" borderId="217" xfId="44" applyFont="1" applyFill="1" applyBorder="1" applyAlignment="1">
      <alignment horizontal="center" vertical="center"/>
    </xf>
    <xf numFmtId="0" fontId="104" fillId="32" borderId="218" xfId="0" applyFont="1" applyFill="1" applyBorder="1" applyAlignment="1">
      <alignment horizontal="center" vertical="center"/>
    </xf>
    <xf numFmtId="0" fontId="83" fillId="24" borderId="132" xfId="37" applyFont="1" applyFill="1" applyBorder="1" applyAlignment="1">
      <alignment horizontal="center" vertical="center"/>
    </xf>
    <xf numFmtId="0" fontId="83" fillId="24" borderId="144" xfId="37" applyFont="1" applyFill="1" applyBorder="1" applyAlignment="1">
      <alignment horizontal="center" vertical="center"/>
    </xf>
    <xf numFmtId="164" fontId="72" fillId="50" borderId="100" xfId="37" applyNumberFormat="1" applyFont="1" applyFill="1" applyBorder="1" applyAlignment="1">
      <alignment horizontal="center" vertical="center"/>
    </xf>
    <xf numFmtId="2" fontId="108" fillId="24" borderId="133" xfId="37" applyNumberFormat="1" applyFont="1" applyFill="1" applyBorder="1" applyAlignment="1">
      <alignment horizontal="center" vertical="center"/>
    </xf>
    <xf numFmtId="2" fontId="109" fillId="24" borderId="134" xfId="37" applyNumberFormat="1" applyFont="1" applyFill="1" applyBorder="1" applyAlignment="1">
      <alignment horizontal="center" vertical="center"/>
    </xf>
    <xf numFmtId="2" fontId="108" fillId="24" borderId="142" xfId="37" applyNumberFormat="1" applyFont="1" applyFill="1" applyBorder="1" applyAlignment="1">
      <alignment horizontal="center" vertical="center"/>
    </xf>
    <xf numFmtId="2" fontId="109" fillId="24" borderId="148" xfId="37" applyNumberFormat="1" applyFont="1" applyFill="1" applyBorder="1" applyAlignment="1">
      <alignment horizontal="center" vertical="center"/>
    </xf>
    <xf numFmtId="2" fontId="92" fillId="24" borderId="133" xfId="37" applyNumberFormat="1" applyFont="1" applyFill="1" applyBorder="1" applyAlignment="1">
      <alignment horizontal="center" vertical="center"/>
    </xf>
    <xf numFmtId="2" fontId="92" fillId="24" borderId="142" xfId="37" applyNumberFormat="1" applyFont="1" applyFill="1" applyBorder="1" applyAlignment="1">
      <alignment horizontal="center" vertical="center"/>
    </xf>
    <xf numFmtId="2" fontId="58" fillId="49" borderId="100" xfId="37" applyNumberFormat="1" applyFont="1" applyFill="1" applyBorder="1" applyAlignment="1">
      <alignment horizontal="center" vertical="center"/>
    </xf>
    <xf numFmtId="2" fontId="114" fillId="49" borderId="100" xfId="37" applyNumberFormat="1" applyFont="1" applyFill="1" applyBorder="1" applyAlignment="1">
      <alignment horizontal="center" vertical="center"/>
    </xf>
    <xf numFmtId="2" fontId="76" fillId="49" borderId="100" xfId="37" applyNumberFormat="1" applyFont="1" applyFill="1" applyBorder="1" applyAlignment="1">
      <alignment horizontal="center" vertical="center"/>
    </xf>
    <xf numFmtId="2" fontId="115" fillId="49" borderId="100" xfId="37" applyNumberFormat="1" applyFont="1" applyFill="1" applyBorder="1" applyAlignment="1">
      <alignment horizontal="center" vertical="center"/>
    </xf>
    <xf numFmtId="2" fontId="116" fillId="49" borderId="204" xfId="37" applyNumberFormat="1" applyFont="1" applyFill="1" applyBorder="1" applyAlignment="1">
      <alignment horizontal="center" vertical="center"/>
    </xf>
    <xf numFmtId="2" fontId="61" fillId="49" borderId="214" xfId="0" applyNumberFormat="1" applyFont="1" applyFill="1" applyBorder="1" applyAlignment="1">
      <alignment horizontal="center" vertical="center"/>
    </xf>
    <xf numFmtId="2" fontId="61" fillId="49" borderId="205" xfId="0" applyNumberFormat="1" applyFont="1" applyFill="1" applyBorder="1" applyAlignment="1">
      <alignment horizontal="center" vertical="center"/>
    </xf>
    <xf numFmtId="2" fontId="61" fillId="49" borderId="215" xfId="0" applyNumberFormat="1" applyFont="1" applyFill="1" applyBorder="1" applyAlignment="1">
      <alignment horizontal="center" vertical="center"/>
    </xf>
    <xf numFmtId="2" fontId="61" fillId="49" borderId="206" xfId="0" applyNumberFormat="1" applyFont="1" applyFill="1" applyBorder="1" applyAlignment="1">
      <alignment horizontal="center" vertical="center"/>
    </xf>
    <xf numFmtId="0" fontId="60" fillId="24" borderId="219" xfId="0" applyFont="1" applyFill="1" applyBorder="1" applyAlignment="1">
      <alignment horizontal="center" vertical="center" wrapText="1"/>
    </xf>
    <xf numFmtId="2" fontId="60" fillId="24" borderId="220" xfId="0" applyNumberFormat="1" applyFont="1" applyFill="1" applyBorder="1" applyAlignment="1">
      <alignment horizontal="center" vertical="center"/>
    </xf>
    <xf numFmtId="0" fontId="91" fillId="24" borderId="221" xfId="0" applyFont="1" applyFill="1" applyBorder="1" applyAlignment="1">
      <alignment horizontal="center" vertical="center"/>
    </xf>
    <xf numFmtId="0" fontId="60" fillId="24" borderId="219" xfId="0" applyFont="1" applyFill="1" applyBorder="1" applyAlignment="1">
      <alignment horizontal="center" vertical="center"/>
    </xf>
    <xf numFmtId="2" fontId="60" fillId="24" borderId="219" xfId="0" applyNumberFormat="1" applyFont="1" applyFill="1" applyBorder="1" applyAlignment="1">
      <alignment horizontal="center" vertical="center"/>
    </xf>
    <xf numFmtId="0" fontId="60" fillId="24" borderId="222" xfId="0" applyFont="1" applyFill="1" applyBorder="1" applyAlignment="1">
      <alignment horizontal="center" vertical="center"/>
    </xf>
    <xf numFmtId="2" fontId="60" fillId="24" borderId="223" xfId="0" applyNumberFormat="1" applyFont="1" applyFill="1" applyBorder="1" applyAlignment="1">
      <alignment horizontal="center" vertical="center"/>
    </xf>
    <xf numFmtId="0" fontId="91" fillId="24" borderId="224" xfId="0" applyFont="1" applyFill="1" applyBorder="1" applyAlignment="1">
      <alignment horizontal="center" vertical="center"/>
    </xf>
    <xf numFmtId="0" fontId="107" fillId="49" borderId="228" xfId="0" applyFont="1" applyFill="1" applyBorder="1" applyAlignment="1">
      <alignment horizontal="center" vertical="center"/>
    </xf>
    <xf numFmtId="0" fontId="105" fillId="49" borderId="229" xfId="0" applyFont="1" applyFill="1" applyBorder="1" applyAlignment="1">
      <alignment horizontal="center" vertical="center"/>
    </xf>
    <xf numFmtId="0" fontId="111" fillId="49" borderId="230" xfId="0" applyFont="1" applyFill="1" applyBorder="1" applyAlignment="1">
      <alignment horizontal="center" vertical="center"/>
    </xf>
    <xf numFmtId="0" fontId="63" fillId="47" borderId="228" xfId="37" applyFont="1" applyFill="1" applyBorder="1" applyAlignment="1">
      <alignment horizontal="center" vertical="center"/>
    </xf>
    <xf numFmtId="166" fontId="71" fillId="49" borderId="229" xfId="37" applyNumberFormat="1" applyFont="1" applyFill="1" applyBorder="1" applyAlignment="1">
      <alignment horizontal="center" vertical="center"/>
    </xf>
    <xf numFmtId="166" fontId="71" fillId="49" borderId="230" xfId="0" applyNumberFormat="1" applyFont="1" applyFill="1" applyBorder="1" applyAlignment="1">
      <alignment horizontal="center" vertical="center"/>
    </xf>
    <xf numFmtId="0" fontId="82" fillId="37" borderId="228" xfId="37" applyFont="1" applyFill="1" applyBorder="1" applyAlignment="1">
      <alignment horizontal="center" vertical="center"/>
    </xf>
    <xf numFmtId="166" fontId="86" fillId="49" borderId="229" xfId="37" applyNumberFormat="1" applyFont="1" applyFill="1" applyBorder="1" applyAlignment="1">
      <alignment horizontal="center" vertical="center"/>
    </xf>
    <xf numFmtId="166" fontId="86" fillId="49" borderId="230" xfId="0" applyNumberFormat="1" applyFont="1" applyFill="1" applyBorder="1" applyAlignment="1">
      <alignment horizontal="center" vertical="center"/>
    </xf>
    <xf numFmtId="0" fontId="82" fillId="31" borderId="228" xfId="37" applyFont="1" applyFill="1" applyBorder="1" applyAlignment="1">
      <alignment horizontal="center" vertical="center"/>
    </xf>
    <xf numFmtId="166" fontId="87" fillId="49" borderId="229" xfId="37" applyNumberFormat="1" applyFont="1" applyFill="1" applyBorder="1" applyAlignment="1">
      <alignment horizontal="center" vertical="center"/>
    </xf>
    <xf numFmtId="166" fontId="87" fillId="49" borderId="230" xfId="0" applyNumberFormat="1" applyFont="1" applyFill="1" applyBorder="1" applyAlignment="1">
      <alignment horizontal="center" vertical="center"/>
    </xf>
    <xf numFmtId="0" fontId="72" fillId="44" borderId="228" xfId="37" applyFont="1" applyFill="1" applyBorder="1" applyAlignment="1">
      <alignment horizontal="center" vertical="center"/>
    </xf>
    <xf numFmtId="0" fontId="54" fillId="49" borderId="231" xfId="37" applyFont="1" applyFill="1" applyBorder="1" applyAlignment="1">
      <alignment horizontal="center" vertical="center"/>
    </xf>
    <xf numFmtId="166" fontId="54" fillId="49" borderId="232" xfId="37" applyNumberFormat="1" applyFont="1" applyFill="1" applyBorder="1" applyAlignment="1">
      <alignment horizontal="center" vertical="center"/>
    </xf>
    <xf numFmtId="166" fontId="54" fillId="49" borderId="233" xfId="0" applyNumberFormat="1" applyFont="1" applyFill="1" applyBorder="1" applyAlignment="1">
      <alignment horizontal="center" vertical="center"/>
    </xf>
    <xf numFmtId="0" fontId="55" fillId="24" borderId="221" xfId="0" applyFont="1" applyFill="1" applyBorder="1" applyAlignment="1">
      <alignment horizontal="center" vertical="center" wrapText="1"/>
    </xf>
    <xf numFmtId="10" fontId="116" fillId="49" borderId="44" xfId="0" applyNumberFormat="1" applyFont="1" applyFill="1" applyBorder="1" applyAlignment="1">
      <alignment horizontal="center" vertical="center"/>
    </xf>
    <xf numFmtId="2" fontId="56" fillId="49" borderId="44" xfId="0" applyNumberFormat="1" applyFont="1" applyFill="1" applyBorder="1" applyAlignment="1">
      <alignment horizontal="center" vertical="center"/>
    </xf>
    <xf numFmtId="2" fontId="76" fillId="49" borderId="44" xfId="0" applyNumberFormat="1" applyFont="1" applyFill="1" applyBorder="1" applyAlignment="1">
      <alignment horizontal="center" vertical="center"/>
    </xf>
    <xf numFmtId="0" fontId="64" fillId="30" borderId="200" xfId="0" applyFont="1" applyFill="1" applyBorder="1" applyAlignment="1">
      <alignment horizontal="center" vertical="center"/>
    </xf>
    <xf numFmtId="2" fontId="72" fillId="50" borderId="240" xfId="37" applyNumberFormat="1" applyFont="1" applyFill="1" applyBorder="1" applyAlignment="1">
      <alignment horizontal="center" vertical="center"/>
    </xf>
    <xf numFmtId="0" fontId="105" fillId="32" borderId="244" xfId="0" applyFont="1" applyFill="1" applyBorder="1" applyAlignment="1">
      <alignment horizontal="center" vertical="center"/>
    </xf>
    <xf numFmtId="0" fontId="90" fillId="32" borderId="243" xfId="0" applyFont="1" applyFill="1" applyBorder="1" applyAlignment="1">
      <alignment horizontal="center" vertical="center"/>
    </xf>
    <xf numFmtId="0" fontId="83" fillId="32" borderId="243" xfId="0" applyFont="1" applyFill="1" applyBorder="1" applyAlignment="1">
      <alignment horizontal="center" vertical="center"/>
    </xf>
    <xf numFmtId="0" fontId="54" fillId="24" borderId="198" xfId="0" applyFont="1" applyFill="1" applyBorder="1" applyAlignment="1">
      <alignment horizontal="center" vertical="center"/>
    </xf>
    <xf numFmtId="0" fontId="54" fillId="24" borderId="152" xfId="0" applyFont="1" applyFill="1" applyBorder="1" applyAlignment="1">
      <alignment horizontal="center" vertical="center"/>
    </xf>
    <xf numFmtId="0" fontId="54" fillId="24" borderId="199" xfId="0" applyFont="1" applyFill="1" applyBorder="1" applyAlignment="1">
      <alignment horizontal="center" vertical="center"/>
    </xf>
    <xf numFmtId="0" fontId="54" fillId="24" borderId="104" xfId="0" applyFont="1" applyFill="1" applyBorder="1" applyAlignment="1">
      <alignment horizontal="center" vertical="center"/>
    </xf>
    <xf numFmtId="2" fontId="54" fillId="24" borderId="104" xfId="0" applyNumberFormat="1" applyFont="1" applyFill="1" applyBorder="1" applyAlignment="1">
      <alignment horizontal="center" vertical="center"/>
    </xf>
    <xf numFmtId="0" fontId="54" fillId="24" borderId="103" xfId="0" applyFont="1" applyFill="1" applyBorder="1" applyAlignment="1">
      <alignment horizontal="right"/>
    </xf>
    <xf numFmtId="2" fontId="54" fillId="26" borderId="100" xfId="0" applyNumberFormat="1" applyFont="1" applyFill="1" applyBorder="1" applyAlignment="1">
      <alignment horizontal="center" vertical="center"/>
    </xf>
    <xf numFmtId="2" fontId="54" fillId="26" borderId="109" xfId="0" applyNumberFormat="1" applyFont="1" applyFill="1" applyBorder="1" applyAlignment="1">
      <alignment horizontal="center" vertical="center"/>
    </xf>
    <xf numFmtId="10" fontId="54" fillId="26" borderId="100" xfId="0" applyNumberFormat="1" applyFont="1" applyFill="1" applyBorder="1" applyAlignment="1">
      <alignment horizontal="center" vertical="center"/>
    </xf>
    <xf numFmtId="10" fontId="54" fillId="26" borderId="109" xfId="0" applyNumberFormat="1" applyFont="1" applyFill="1" applyBorder="1" applyAlignment="1">
      <alignment horizontal="center" vertical="center"/>
    </xf>
    <xf numFmtId="165" fontId="54" fillId="26" borderId="116" xfId="0" applyNumberFormat="1" applyFont="1" applyFill="1" applyBorder="1" applyAlignment="1">
      <alignment horizontal="left" vertical="center"/>
    </xf>
    <xf numFmtId="2" fontId="54" fillId="26" borderId="114" xfId="0" applyNumberFormat="1" applyFont="1" applyFill="1" applyBorder="1" applyAlignment="1">
      <alignment horizontal="left"/>
    </xf>
    <xf numFmtId="2" fontId="54" fillId="26" borderId="116" xfId="0" applyNumberFormat="1" applyFont="1" applyFill="1" applyBorder="1" applyAlignment="1">
      <alignment horizontal="left" vertical="center"/>
    </xf>
    <xf numFmtId="2" fontId="54" fillId="50" borderId="116" xfId="0" applyNumberFormat="1" applyFont="1" applyFill="1" applyBorder="1" applyAlignment="1">
      <alignment horizontal="left" vertical="center"/>
    </xf>
    <xf numFmtId="2" fontId="53" fillId="50" borderId="158" xfId="0" applyNumberFormat="1" applyFont="1" applyFill="1" applyBorder="1" applyAlignment="1">
      <alignment horizontal="left" vertical="center"/>
    </xf>
    <xf numFmtId="165" fontId="57" fillId="26" borderId="116" xfId="0" applyNumberFormat="1" applyFont="1" applyFill="1" applyBorder="1" applyAlignment="1">
      <alignment horizontal="left"/>
    </xf>
    <xf numFmtId="2" fontId="122" fillId="49" borderId="134" xfId="0" applyNumberFormat="1" applyFont="1" applyFill="1" applyBorder="1" applyAlignment="1">
      <alignment horizontal="center" vertical="center"/>
    </xf>
    <xf numFmtId="2" fontId="122" fillId="49" borderId="137" xfId="0" applyNumberFormat="1" applyFont="1" applyFill="1" applyBorder="1" applyAlignment="1">
      <alignment horizontal="center" vertical="center"/>
    </xf>
    <xf numFmtId="2" fontId="122" fillId="50" borderId="158" xfId="0" applyNumberFormat="1" applyFont="1" applyFill="1" applyBorder="1" applyAlignment="1">
      <alignment horizontal="left" vertical="center"/>
    </xf>
    <xf numFmtId="165" fontId="57" fillId="26" borderId="148" xfId="0" applyNumberFormat="1" applyFont="1" applyFill="1" applyBorder="1" applyAlignment="1">
      <alignment horizontal="center" vertical="center"/>
    </xf>
    <xf numFmtId="166" fontId="123" fillId="49" borderId="129" xfId="0" applyNumberFormat="1" applyFont="1" applyFill="1" applyBorder="1" applyAlignment="1">
      <alignment horizontal="center" vertical="center"/>
    </xf>
    <xf numFmtId="2" fontId="54" fillId="24" borderId="251" xfId="0" applyNumberFormat="1" applyFont="1" applyFill="1" applyBorder="1" applyAlignment="1">
      <alignment horizontal="right" vertical="center"/>
    </xf>
    <xf numFmtId="0" fontId="54" fillId="26" borderId="100" xfId="0" applyFont="1" applyFill="1" applyBorder="1" applyAlignment="1">
      <alignment horizontal="center" vertical="center"/>
    </xf>
    <xf numFmtId="2" fontId="124" fillId="26" borderId="157" xfId="0" applyNumberFormat="1" applyFont="1" applyFill="1" applyBorder="1" applyAlignment="1">
      <alignment horizontal="center" vertical="center"/>
    </xf>
    <xf numFmtId="0" fontId="67" fillId="0" borderId="0" xfId="0" applyFont="1"/>
    <xf numFmtId="0" fontId="54" fillId="24" borderId="111" xfId="0" applyFont="1" applyFill="1" applyBorder="1" applyAlignment="1">
      <alignment horizontal="center"/>
    </xf>
    <xf numFmtId="2" fontId="54" fillId="24" borderId="156" xfId="0" applyNumberFormat="1" applyFont="1" applyFill="1" applyBorder="1" applyAlignment="1">
      <alignment horizontal="center" vertical="center"/>
    </xf>
    <xf numFmtId="0" fontId="54" fillId="49" borderId="133" xfId="0" applyFont="1" applyFill="1" applyBorder="1" applyAlignment="1">
      <alignment horizontal="center"/>
    </xf>
    <xf numFmtId="0" fontId="54" fillId="49" borderId="136" xfId="0" applyFont="1" applyFill="1" applyBorder="1" applyAlignment="1">
      <alignment horizontal="center"/>
    </xf>
    <xf numFmtId="2" fontId="53" fillId="34" borderId="148" xfId="0" applyNumberFormat="1" applyFont="1" applyFill="1" applyBorder="1" applyAlignment="1">
      <alignment horizontal="center" vertical="center"/>
    </xf>
    <xf numFmtId="2" fontId="65" fillId="33" borderId="116" xfId="0" applyNumberFormat="1" applyFont="1" applyFill="1" applyBorder="1" applyAlignment="1">
      <alignment horizontal="center" vertical="center"/>
    </xf>
    <xf numFmtId="165" fontId="110" fillId="24" borderId="157" xfId="0" applyNumberFormat="1" applyFont="1" applyFill="1" applyBorder="1" applyAlignment="1">
      <alignment horizontal="center" vertical="center"/>
    </xf>
    <xf numFmtId="166" fontId="123" fillId="24" borderId="129" xfId="0" applyNumberFormat="1" applyFont="1" applyFill="1" applyBorder="1" applyAlignment="1">
      <alignment horizontal="center" vertical="center"/>
    </xf>
    <xf numFmtId="168" fontId="67" fillId="46" borderId="0" xfId="0" applyNumberFormat="1" applyFont="1" applyFill="1"/>
    <xf numFmtId="0" fontId="126" fillId="46" borderId="0" xfId="0" applyFont="1" applyFill="1" applyAlignment="1">
      <alignment vertical="center"/>
    </xf>
    <xf numFmtId="0" fontId="78" fillId="46" borderId="0" xfId="0" applyFont="1" applyFill="1" applyAlignment="1">
      <alignment horizontal="center" vertical="center"/>
    </xf>
    <xf numFmtId="0" fontId="66" fillId="46" borderId="0" xfId="0" applyFont="1" applyFill="1" applyAlignment="1">
      <alignment horizontal="center" vertical="center"/>
    </xf>
    <xf numFmtId="0" fontId="66" fillId="46" borderId="0" xfId="37" applyFont="1" applyFill="1"/>
    <xf numFmtId="0" fontId="66" fillId="46" borderId="0" xfId="37" applyFont="1" applyFill="1" applyAlignment="1">
      <alignment horizontal="center"/>
    </xf>
    <xf numFmtId="2" fontId="55" fillId="26" borderId="44" xfId="37" applyNumberFormat="1" applyFont="1" applyFill="1" applyBorder="1" applyAlignment="1">
      <alignment horizontal="center" vertical="center"/>
    </xf>
    <xf numFmtId="2" fontId="54" fillId="26" borderId="43" xfId="37" applyNumberFormat="1" applyFont="1" applyFill="1" applyBorder="1" applyAlignment="1">
      <alignment horizontal="center" vertical="center"/>
    </xf>
    <xf numFmtId="0" fontId="54" fillId="24" borderId="99" xfId="37" applyFont="1" applyFill="1" applyBorder="1" applyAlignment="1">
      <alignment horizontal="center" vertical="center"/>
    </xf>
    <xf numFmtId="0" fontId="54" fillId="24" borderId="85" xfId="37" applyFont="1" applyFill="1" applyBorder="1" applyAlignment="1">
      <alignment horizontal="center" vertical="center"/>
    </xf>
    <xf numFmtId="2" fontId="54" fillId="24" borderId="48" xfId="37" applyNumberFormat="1" applyFont="1" applyFill="1" applyBorder="1" applyAlignment="1">
      <alignment horizontal="center"/>
    </xf>
    <xf numFmtId="2" fontId="54" fillId="24" borderId="43" xfId="37" applyNumberFormat="1" applyFont="1" applyFill="1" applyBorder="1" applyAlignment="1">
      <alignment horizontal="center" vertical="center"/>
    </xf>
    <xf numFmtId="0" fontId="54" fillId="24" borderId="76" xfId="0" applyFont="1" applyFill="1" applyBorder="1" applyAlignment="1">
      <alignment horizontal="center" vertical="center"/>
    </xf>
    <xf numFmtId="166" fontId="54" fillId="24" borderId="153" xfId="0" applyNumberFormat="1" applyFont="1" applyFill="1" applyBorder="1" applyAlignment="1">
      <alignment horizontal="center" vertical="center"/>
    </xf>
    <xf numFmtId="2" fontId="127" fillId="26" borderId="44" xfId="37" applyNumberFormat="1" applyFont="1" applyFill="1" applyBorder="1" applyAlignment="1">
      <alignment horizontal="center" vertical="center"/>
    </xf>
    <xf numFmtId="2" fontId="129" fillId="26" borderId="44" xfId="37" applyNumberFormat="1" applyFont="1" applyFill="1" applyBorder="1" applyAlignment="1">
      <alignment horizontal="center" vertical="center"/>
    </xf>
    <xf numFmtId="2" fontId="58" fillId="26" borderId="44" xfId="37" applyNumberFormat="1" applyFont="1" applyFill="1" applyBorder="1" applyAlignment="1">
      <alignment horizontal="center"/>
    </xf>
    <xf numFmtId="2" fontId="114" fillId="26" borderId="44" xfId="37" applyNumberFormat="1" applyFont="1" applyFill="1" applyBorder="1" applyAlignment="1">
      <alignment horizontal="center"/>
    </xf>
    <xf numFmtId="2" fontId="131" fillId="26" borderId="44" xfId="37" applyNumberFormat="1" applyFont="1" applyFill="1" applyBorder="1" applyAlignment="1">
      <alignment horizontal="center"/>
    </xf>
    <xf numFmtId="0" fontId="55" fillId="24" borderId="0" xfId="37" applyFont="1" applyFill="1"/>
    <xf numFmtId="0" fontId="55" fillId="24" borderId="0" xfId="37" applyFont="1" applyFill="1" applyAlignment="1">
      <alignment horizontal="center"/>
    </xf>
    <xf numFmtId="0" fontId="54" fillId="24" borderId="0" xfId="0" applyFont="1" applyFill="1"/>
    <xf numFmtId="0" fontId="72" fillId="24" borderId="61" xfId="0" applyFont="1" applyFill="1" applyBorder="1" applyAlignment="1">
      <alignment horizontal="right" vertical="center"/>
    </xf>
    <xf numFmtId="0" fontId="72" fillId="24" borderId="85" xfId="0" applyFont="1" applyFill="1" applyBorder="1" applyAlignment="1">
      <alignment horizontal="right" vertical="center"/>
    </xf>
    <xf numFmtId="2" fontId="54" fillId="26" borderId="43" xfId="37" applyNumberFormat="1" applyFont="1" applyFill="1" applyBorder="1" applyAlignment="1">
      <alignment horizontal="center"/>
    </xf>
    <xf numFmtId="0" fontId="53" fillId="24" borderId="99" xfId="37" applyFont="1" applyFill="1" applyBorder="1" applyAlignment="1">
      <alignment horizontal="center" vertical="center"/>
    </xf>
    <xf numFmtId="0" fontId="53" fillId="24" borderId="85" xfId="37" applyFont="1" applyFill="1" applyBorder="1" applyAlignment="1">
      <alignment horizontal="center"/>
    </xf>
    <xf numFmtId="0" fontId="58" fillId="26" borderId="85" xfId="37" applyFont="1" applyFill="1" applyBorder="1" applyAlignment="1">
      <alignment horizontal="center" vertical="center"/>
    </xf>
    <xf numFmtId="0" fontId="53" fillId="24" borderId="85" xfId="37" applyFont="1" applyFill="1" applyBorder="1" applyAlignment="1">
      <alignment horizontal="center" vertical="center"/>
    </xf>
    <xf numFmtId="0" fontId="72" fillId="24" borderId="283" xfId="0" applyFont="1" applyFill="1" applyBorder="1" applyAlignment="1">
      <alignment horizontal="center" vertical="center"/>
    </xf>
    <xf numFmtId="0" fontId="137" fillId="24" borderId="284" xfId="0" applyFont="1" applyFill="1" applyBorder="1" applyAlignment="1">
      <alignment horizontal="center" vertical="center"/>
    </xf>
    <xf numFmtId="2" fontId="58" fillId="30" borderId="44" xfId="0" applyNumberFormat="1" applyFont="1" applyFill="1" applyBorder="1" applyAlignment="1">
      <alignment horizontal="center" vertical="center"/>
    </xf>
    <xf numFmtId="0" fontId="73" fillId="24" borderId="85" xfId="0" applyFont="1" applyFill="1" applyBorder="1" applyAlignment="1">
      <alignment horizontal="right" vertical="center"/>
    </xf>
    <xf numFmtId="0" fontId="138" fillId="24" borderId="85" xfId="0" applyFont="1" applyFill="1" applyBorder="1" applyAlignment="1">
      <alignment horizontal="right" vertical="center"/>
    </xf>
    <xf numFmtId="2" fontId="79" fillId="43" borderId="127" xfId="37" applyNumberFormat="1" applyFont="1" applyFill="1" applyBorder="1" applyAlignment="1">
      <alignment horizontal="center" vertical="center"/>
    </xf>
    <xf numFmtId="2" fontId="80" fillId="49" borderId="288" xfId="0" applyNumberFormat="1" applyFont="1" applyFill="1" applyBorder="1" applyAlignment="1">
      <alignment horizontal="center" vertical="center"/>
    </xf>
    <xf numFmtId="2" fontId="56" fillId="26" borderId="289" xfId="0" applyNumberFormat="1" applyFont="1" applyFill="1" applyBorder="1" applyAlignment="1">
      <alignment horizontal="center" vertical="center"/>
    </xf>
    <xf numFmtId="2" fontId="57" fillId="24" borderId="289" xfId="0" applyNumberFormat="1" applyFont="1" applyFill="1" applyBorder="1" applyAlignment="1">
      <alignment horizontal="center" vertical="center"/>
    </xf>
    <xf numFmtId="2" fontId="93" fillId="24" borderId="127" xfId="37" applyNumberFormat="1" applyFont="1" applyFill="1" applyBorder="1" applyAlignment="1">
      <alignment horizontal="center" vertical="center"/>
    </xf>
    <xf numFmtId="2" fontId="110" fillId="24" borderId="288" xfId="0" applyNumberFormat="1" applyFont="1" applyFill="1" applyBorder="1" applyAlignment="1">
      <alignment horizontal="center" vertical="center"/>
    </xf>
    <xf numFmtId="2" fontId="110" fillId="24" borderId="209" xfId="0" applyNumberFormat="1" applyFont="1" applyFill="1" applyBorder="1" applyAlignment="1">
      <alignment horizontal="center" vertical="center"/>
    </xf>
    <xf numFmtId="2" fontId="57" fillId="24" borderId="210" xfId="0" applyNumberFormat="1" applyFont="1" applyFill="1" applyBorder="1" applyAlignment="1">
      <alignment horizontal="center" vertical="center"/>
    </xf>
    <xf numFmtId="0" fontId="92" fillId="24" borderId="124" xfId="37" applyFont="1" applyFill="1" applyBorder="1" applyAlignment="1">
      <alignment horizontal="center" vertical="center"/>
    </xf>
    <xf numFmtId="0" fontId="106" fillId="24" borderId="286" xfId="0" applyFont="1" applyFill="1" applyBorder="1" applyAlignment="1">
      <alignment horizontal="center" vertical="center"/>
    </xf>
    <xf numFmtId="0" fontId="83" fillId="24" borderId="287" xfId="0" applyFont="1" applyFill="1" applyBorder="1" applyAlignment="1">
      <alignment horizontal="center" vertical="center"/>
    </xf>
    <xf numFmtId="2" fontId="54" fillId="24" borderId="253" xfId="37" applyNumberFormat="1" applyFont="1" applyFill="1" applyBorder="1" applyAlignment="1">
      <alignment horizontal="center"/>
    </xf>
    <xf numFmtId="2" fontId="95" fillId="24" borderId="253" xfId="37" applyNumberFormat="1" applyFont="1" applyFill="1" applyBorder="1" applyAlignment="1">
      <alignment horizontal="center"/>
    </xf>
    <xf numFmtId="2" fontId="130" fillId="24" borderId="253" xfId="37" applyNumberFormat="1" applyFont="1" applyFill="1" applyBorder="1" applyAlignment="1">
      <alignment horizontal="center"/>
    </xf>
    <xf numFmtId="2" fontId="58" fillId="26" borderId="71" xfId="37" applyNumberFormat="1" applyFont="1" applyFill="1" applyBorder="1" applyAlignment="1">
      <alignment horizontal="center"/>
    </xf>
    <xf numFmtId="2" fontId="114" fillId="26" borderId="71" xfId="37" applyNumberFormat="1" applyFont="1" applyFill="1" applyBorder="1" applyAlignment="1">
      <alignment horizontal="center"/>
    </xf>
    <xf numFmtId="2" fontId="131" fillId="26" borderId="71" xfId="37" applyNumberFormat="1" applyFont="1" applyFill="1" applyBorder="1" applyAlignment="1">
      <alignment horizontal="center"/>
    </xf>
    <xf numFmtId="0" fontId="114" fillId="24" borderId="85" xfId="0" applyFont="1" applyFill="1" applyBorder="1" applyAlignment="1">
      <alignment horizontal="right" vertical="center"/>
    </xf>
    <xf numFmtId="0" fontId="72" fillId="24" borderId="53" xfId="37" applyFont="1" applyFill="1" applyBorder="1" applyAlignment="1">
      <alignment horizontal="center" vertical="center"/>
    </xf>
    <xf numFmtId="0" fontId="73" fillId="24" borderId="53" xfId="37" applyFont="1" applyFill="1" applyBorder="1" applyAlignment="1">
      <alignment horizontal="center" vertical="center"/>
    </xf>
    <xf numFmtId="0" fontId="138" fillId="24" borderId="53" xfId="37" applyFont="1" applyFill="1" applyBorder="1" applyAlignment="1">
      <alignment horizontal="center" vertical="center"/>
    </xf>
    <xf numFmtId="2" fontId="72" fillId="39" borderId="44" xfId="37" applyNumberFormat="1" applyFont="1" applyFill="1" applyBorder="1" applyAlignment="1">
      <alignment horizontal="center" vertical="center"/>
    </xf>
    <xf numFmtId="2" fontId="73" fillId="39" borderId="44" xfId="37" applyNumberFormat="1" applyFont="1" applyFill="1" applyBorder="1" applyAlignment="1">
      <alignment horizontal="center" vertical="center"/>
    </xf>
    <xf numFmtId="0" fontId="72" fillId="24" borderId="261" xfId="0" applyFont="1" applyFill="1" applyBorder="1" applyAlignment="1">
      <alignment horizontal="center" vertical="center"/>
    </xf>
    <xf numFmtId="0" fontId="111" fillId="24" borderId="262" xfId="0" applyFont="1" applyFill="1" applyBorder="1" applyAlignment="1">
      <alignment horizontal="center" vertical="center"/>
    </xf>
    <xf numFmtId="166" fontId="72" fillId="30" borderId="271" xfId="0" applyNumberFormat="1" applyFont="1" applyFill="1" applyBorder="1" applyAlignment="1">
      <alignment horizontal="center" vertical="center"/>
    </xf>
    <xf numFmtId="166" fontId="72" fillId="30" borderId="272" xfId="0" applyNumberFormat="1" applyFont="1" applyFill="1" applyBorder="1" applyAlignment="1">
      <alignment horizontal="center" vertical="center"/>
    </xf>
    <xf numFmtId="0" fontId="141" fillId="24" borderId="85" xfId="0" applyFont="1" applyFill="1" applyBorder="1" applyAlignment="1">
      <alignment horizontal="right" vertical="center"/>
    </xf>
    <xf numFmtId="166" fontId="72" fillId="30" borderId="273" xfId="0" applyNumberFormat="1" applyFont="1" applyFill="1" applyBorder="1" applyAlignment="1">
      <alignment horizontal="center" vertical="center"/>
    </xf>
    <xf numFmtId="166" fontId="58" fillId="39" borderId="44" xfId="37" applyNumberFormat="1" applyFont="1" applyFill="1" applyBorder="1" applyAlignment="1">
      <alignment horizontal="center" vertical="center"/>
    </xf>
    <xf numFmtId="166" fontId="114" fillId="39" borderId="44" xfId="37" applyNumberFormat="1" applyFont="1" applyFill="1" applyBorder="1" applyAlignment="1">
      <alignment horizontal="center" vertical="center"/>
    </xf>
    <xf numFmtId="2" fontId="54" fillId="24" borderId="285" xfId="0" applyNumberFormat="1" applyFont="1" applyFill="1" applyBorder="1" applyAlignment="1">
      <alignment horizontal="center" vertical="center"/>
    </xf>
    <xf numFmtId="2" fontId="67" fillId="33" borderId="43" xfId="37" applyNumberFormat="1" applyFont="1" applyFill="1" applyBorder="1" applyAlignment="1">
      <alignment horizontal="center" vertical="center"/>
    </xf>
    <xf numFmtId="166" fontId="67" fillId="33" borderId="153" xfId="0" applyNumberFormat="1" applyFont="1" applyFill="1" applyBorder="1" applyAlignment="1">
      <alignment horizontal="center" vertical="center"/>
    </xf>
    <xf numFmtId="2" fontId="67" fillId="33" borderId="48" xfId="37" applyNumberFormat="1" applyFont="1" applyFill="1" applyBorder="1" applyAlignment="1">
      <alignment horizontal="center"/>
    </xf>
    <xf numFmtId="2" fontId="72" fillId="30" borderId="44" xfId="37" applyNumberFormat="1" applyFont="1" applyFill="1" applyBorder="1" applyAlignment="1">
      <alignment horizontal="center" vertical="center"/>
    </xf>
    <xf numFmtId="2" fontId="73" fillId="30" borderId="44" xfId="37" applyNumberFormat="1" applyFont="1" applyFill="1" applyBorder="1" applyAlignment="1">
      <alignment horizontal="center" vertical="center"/>
    </xf>
    <xf numFmtId="2" fontId="63" fillId="30" borderId="44" xfId="37" applyNumberFormat="1" applyFont="1" applyFill="1" applyBorder="1" applyAlignment="1">
      <alignment horizontal="center" vertical="center"/>
    </xf>
    <xf numFmtId="2" fontId="58" fillId="30" borderId="44" xfId="37" applyNumberFormat="1" applyFont="1" applyFill="1" applyBorder="1" applyAlignment="1">
      <alignment horizontal="center"/>
    </xf>
    <xf numFmtId="2" fontId="114" fillId="30" borderId="44" xfId="37" applyNumberFormat="1" applyFont="1" applyFill="1" applyBorder="1" applyAlignment="1">
      <alignment horizontal="center"/>
    </xf>
    <xf numFmtId="2" fontId="131" fillId="30" borderId="44" xfId="37" applyNumberFormat="1" applyFont="1" applyFill="1" applyBorder="1" applyAlignment="1">
      <alignment horizontal="center"/>
    </xf>
    <xf numFmtId="2" fontId="58" fillId="30" borderId="71" xfId="37" applyNumberFormat="1" applyFont="1" applyFill="1" applyBorder="1" applyAlignment="1">
      <alignment horizontal="center"/>
    </xf>
    <xf numFmtId="2" fontId="114" fillId="30" borderId="71" xfId="37" applyNumberFormat="1" applyFont="1" applyFill="1" applyBorder="1" applyAlignment="1">
      <alignment horizontal="center"/>
    </xf>
    <xf numFmtId="2" fontId="131" fillId="30" borderId="71" xfId="37" applyNumberFormat="1" applyFont="1" applyFill="1" applyBorder="1" applyAlignment="1">
      <alignment horizontal="center"/>
    </xf>
    <xf numFmtId="2" fontId="54" fillId="30" borderId="253" xfId="37" applyNumberFormat="1" applyFont="1" applyFill="1" applyBorder="1" applyAlignment="1">
      <alignment horizontal="center"/>
    </xf>
    <xf numFmtId="2" fontId="95" fillId="30" borderId="253" xfId="37" applyNumberFormat="1" applyFont="1" applyFill="1" applyBorder="1" applyAlignment="1">
      <alignment horizontal="center"/>
    </xf>
    <xf numFmtId="2" fontId="130" fillId="30" borderId="253" xfId="37" applyNumberFormat="1" applyFont="1" applyFill="1" applyBorder="1" applyAlignment="1">
      <alignment horizontal="center"/>
    </xf>
    <xf numFmtId="166" fontId="63" fillId="30" borderId="271" xfId="0" applyNumberFormat="1" applyFont="1" applyFill="1" applyBorder="1" applyAlignment="1">
      <alignment horizontal="center" vertical="center"/>
    </xf>
    <xf numFmtId="166" fontId="63" fillId="30" borderId="272" xfId="0" applyNumberFormat="1" applyFont="1" applyFill="1" applyBorder="1" applyAlignment="1">
      <alignment horizontal="center" vertical="center"/>
    </xf>
    <xf numFmtId="166" fontId="63" fillId="30" borderId="273" xfId="0" applyNumberFormat="1" applyFont="1" applyFill="1" applyBorder="1" applyAlignment="1">
      <alignment horizontal="center" vertical="center"/>
    </xf>
    <xf numFmtId="0" fontId="67" fillId="33" borderId="42" xfId="37" applyFont="1" applyFill="1" applyBorder="1" applyAlignment="1">
      <alignment horizontal="right"/>
    </xf>
    <xf numFmtId="0" fontId="66" fillId="33" borderId="200" xfId="0" applyFont="1" applyFill="1" applyBorder="1" applyAlignment="1">
      <alignment horizontal="center" vertical="center"/>
    </xf>
    <xf numFmtId="0" fontId="67" fillId="33" borderId="0" xfId="0" applyFont="1" applyFill="1"/>
    <xf numFmtId="2" fontId="67" fillId="33" borderId="201" xfId="0" applyNumberFormat="1" applyFont="1" applyFill="1" applyBorder="1" applyAlignment="1">
      <alignment horizontal="center" vertical="center"/>
    </xf>
    <xf numFmtId="2" fontId="66" fillId="33" borderId="201" xfId="0" applyNumberFormat="1" applyFont="1" applyFill="1" applyBorder="1" applyAlignment="1">
      <alignment horizontal="center" vertical="center"/>
    </xf>
    <xf numFmtId="165" fontId="67" fillId="33" borderId="201" xfId="0" applyNumberFormat="1" applyFont="1" applyFill="1" applyBorder="1" applyAlignment="1">
      <alignment horizontal="center" vertical="center"/>
    </xf>
    <xf numFmtId="0" fontId="55" fillId="33" borderId="0" xfId="37" applyFont="1" applyFill="1"/>
    <xf numFmtId="0" fontId="54" fillId="33" borderId="0" xfId="0" applyFont="1" applyFill="1"/>
    <xf numFmtId="0" fontId="67" fillId="33" borderId="40" xfId="37" applyFont="1" applyFill="1" applyBorder="1" applyAlignment="1">
      <alignment horizontal="right"/>
    </xf>
    <xf numFmtId="0" fontId="64" fillId="33" borderId="200" xfId="0" applyFont="1" applyFill="1" applyBorder="1" applyAlignment="1">
      <alignment horizontal="center" vertical="center"/>
    </xf>
    <xf numFmtId="0" fontId="66" fillId="33" borderId="0" xfId="37" applyFont="1" applyFill="1"/>
    <xf numFmtId="166" fontId="64" fillId="30" borderId="44" xfId="37" applyNumberFormat="1" applyFont="1" applyFill="1" applyBorder="1" applyAlignment="1">
      <alignment horizontal="center" vertical="center"/>
    </xf>
    <xf numFmtId="2" fontId="64" fillId="30" borderId="44" xfId="37" applyNumberFormat="1" applyFont="1" applyFill="1" applyBorder="1" applyAlignment="1">
      <alignment horizontal="center"/>
    </xf>
    <xf numFmtId="2" fontId="64" fillId="30" borderId="71" xfId="37" applyNumberFormat="1" applyFont="1" applyFill="1" applyBorder="1" applyAlignment="1">
      <alignment horizontal="center"/>
    </xf>
    <xf numFmtId="2" fontId="67" fillId="30" borderId="253" xfId="37" applyNumberFormat="1" applyFont="1" applyFill="1" applyBorder="1" applyAlignment="1">
      <alignment horizontal="center"/>
    </xf>
    <xf numFmtId="2" fontId="64" fillId="30" borderId="44" xfId="0" applyNumberFormat="1" applyFont="1" applyFill="1" applyBorder="1" applyAlignment="1">
      <alignment horizontal="center" vertical="center"/>
    </xf>
    <xf numFmtId="2" fontId="67" fillId="33" borderId="285" xfId="0" applyNumberFormat="1" applyFont="1" applyFill="1" applyBorder="1" applyAlignment="1">
      <alignment horizontal="center" vertical="center"/>
    </xf>
    <xf numFmtId="0" fontId="143" fillId="24" borderId="0" xfId="0" applyFont="1" applyFill="1" applyAlignment="1">
      <alignment vertical="center"/>
    </xf>
    <xf numFmtId="0" fontId="144" fillId="24" borderId="0" xfId="0" applyFont="1" applyFill="1" applyAlignment="1">
      <alignment vertical="center"/>
    </xf>
    <xf numFmtId="0" fontId="21" fillId="0" borderId="0" xfId="0" applyFont="1"/>
    <xf numFmtId="0" fontId="0" fillId="25" borderId="0" xfId="0" applyFill="1"/>
    <xf numFmtId="0" fontId="59" fillId="24" borderId="0" xfId="0" applyFont="1" applyFill="1"/>
    <xf numFmtId="0" fontId="72" fillId="24" borderId="47" xfId="37" applyFont="1" applyFill="1" applyBorder="1" applyAlignment="1">
      <alignment horizontal="center" vertical="center"/>
    </xf>
    <xf numFmtId="2" fontId="112" fillId="26" borderId="44" xfId="37" applyNumberFormat="1" applyFont="1" applyFill="1" applyBorder="1" applyAlignment="1">
      <alignment horizontal="center" vertical="center"/>
    </xf>
    <xf numFmtId="2" fontId="73" fillId="50" borderId="44" xfId="37" applyNumberFormat="1" applyFont="1" applyFill="1" applyBorder="1" applyAlignment="1">
      <alignment horizontal="center" vertical="center"/>
    </xf>
    <xf numFmtId="2" fontId="96" fillId="50" borderId="44" xfId="37" applyNumberFormat="1" applyFont="1" applyFill="1" applyBorder="1" applyAlignment="1">
      <alignment horizontal="center" vertical="center"/>
    </xf>
    <xf numFmtId="2" fontId="72" fillId="50" borderId="44" xfId="37" applyNumberFormat="1" applyFont="1" applyFill="1" applyBorder="1" applyAlignment="1">
      <alignment horizontal="center" vertical="center"/>
    </xf>
    <xf numFmtId="0" fontId="72" fillId="26" borderId="85" xfId="37" applyFont="1" applyFill="1" applyBorder="1" applyAlignment="1">
      <alignment horizontal="right"/>
    </xf>
    <xf numFmtId="2" fontId="55" fillId="26" borderId="71" xfId="37" applyNumberFormat="1" applyFont="1" applyFill="1" applyBorder="1" applyAlignment="1">
      <alignment horizontal="center" vertical="center"/>
    </xf>
    <xf numFmtId="2" fontId="127" fillId="26" borderId="71" xfId="37" applyNumberFormat="1" applyFont="1" applyFill="1" applyBorder="1" applyAlignment="1">
      <alignment horizontal="center" vertical="center"/>
    </xf>
    <xf numFmtId="2" fontId="112" fillId="26" borderId="71" xfId="37" applyNumberFormat="1" applyFont="1" applyFill="1" applyBorder="1" applyAlignment="1">
      <alignment horizontal="center" vertical="center"/>
    </xf>
    <xf numFmtId="2" fontId="129" fillId="26" borderId="71" xfId="37" applyNumberFormat="1" applyFont="1" applyFill="1" applyBorder="1" applyAlignment="1">
      <alignment horizontal="center" vertical="center"/>
    </xf>
    <xf numFmtId="2" fontId="54" fillId="24" borderId="253" xfId="37" applyNumberFormat="1" applyFont="1" applyFill="1" applyBorder="1" applyAlignment="1">
      <alignment horizontal="center" vertical="center"/>
    </xf>
    <xf numFmtId="2" fontId="95" fillId="24" borderId="253" xfId="37" applyNumberFormat="1" applyFont="1" applyFill="1" applyBorder="1" applyAlignment="1">
      <alignment horizontal="center" vertical="center"/>
    </xf>
    <xf numFmtId="2" fontId="97" fillId="24" borderId="253" xfId="37" applyNumberFormat="1" applyFont="1" applyFill="1" applyBorder="1" applyAlignment="1">
      <alignment horizontal="center" vertical="center"/>
    </xf>
    <xf numFmtId="2" fontId="130" fillId="24" borderId="253" xfId="37" applyNumberFormat="1" applyFont="1" applyFill="1" applyBorder="1" applyAlignment="1">
      <alignment horizontal="center" vertical="center"/>
    </xf>
    <xf numFmtId="0" fontId="96" fillId="24" borderId="53" xfId="37" applyFont="1" applyFill="1" applyBorder="1" applyAlignment="1">
      <alignment horizontal="center" vertical="center"/>
    </xf>
    <xf numFmtId="0" fontId="145" fillId="24" borderId="53" xfId="37" applyFont="1" applyFill="1" applyBorder="1" applyAlignment="1">
      <alignment horizontal="center" vertical="center"/>
    </xf>
    <xf numFmtId="0" fontId="53" fillId="24" borderId="99" xfId="37" applyFont="1" applyFill="1" applyBorder="1" applyAlignment="1">
      <alignment horizontal="center"/>
    </xf>
    <xf numFmtId="0" fontId="58" fillId="24" borderId="85" xfId="0" applyFont="1" applyFill="1" applyBorder="1" applyAlignment="1">
      <alignment horizontal="right"/>
    </xf>
    <xf numFmtId="0" fontId="76" fillId="24" borderId="85" xfId="0" applyFont="1" applyFill="1" applyBorder="1" applyAlignment="1">
      <alignment horizontal="right" vertical="center"/>
    </xf>
    <xf numFmtId="0" fontId="131" fillId="24" borderId="85" xfId="0" applyFont="1" applyFill="1" applyBorder="1" applyAlignment="1">
      <alignment horizontal="right" vertical="center"/>
    </xf>
    <xf numFmtId="2" fontId="72" fillId="30" borderId="63" xfId="0" applyNumberFormat="1" applyFont="1" applyFill="1" applyBorder="1" applyAlignment="1">
      <alignment horizontal="center" vertical="center"/>
    </xf>
    <xf numFmtId="0" fontId="58" fillId="24" borderId="61" xfId="0" applyFont="1" applyFill="1" applyBorder="1" applyAlignment="1">
      <alignment horizontal="center"/>
    </xf>
    <xf numFmtId="0" fontId="84" fillId="24" borderId="291" xfId="0" applyFont="1" applyFill="1" applyBorder="1" applyAlignment="1">
      <alignment horizontal="center" vertical="center"/>
    </xf>
    <xf numFmtId="2" fontId="72" fillId="35" borderId="44" xfId="37" applyNumberFormat="1" applyFont="1" applyFill="1" applyBorder="1" applyAlignment="1">
      <alignment horizontal="center" vertical="center"/>
    </xf>
    <xf numFmtId="2" fontId="73" fillId="35" borderId="44" xfId="37" applyNumberFormat="1" applyFont="1" applyFill="1" applyBorder="1" applyAlignment="1">
      <alignment horizontal="center" vertical="center"/>
    </xf>
    <xf numFmtId="2" fontId="96" fillId="35" borderId="44" xfId="37" applyNumberFormat="1" applyFont="1" applyFill="1" applyBorder="1" applyAlignment="1">
      <alignment horizontal="center" vertical="center"/>
    </xf>
    <xf numFmtId="2" fontId="138" fillId="35" borderId="44" xfId="37" applyNumberFormat="1" applyFont="1" applyFill="1" applyBorder="1" applyAlignment="1">
      <alignment horizontal="center" vertical="center"/>
    </xf>
    <xf numFmtId="2" fontId="55" fillId="35" borderId="44" xfId="37" applyNumberFormat="1" applyFont="1" applyFill="1" applyBorder="1" applyAlignment="1">
      <alignment horizontal="center" vertical="center"/>
    </xf>
    <xf numFmtId="2" fontId="127" fillId="35" borderId="44" xfId="37" applyNumberFormat="1" applyFont="1" applyFill="1" applyBorder="1" applyAlignment="1">
      <alignment horizontal="center" vertical="center"/>
    </xf>
    <xf numFmtId="2" fontId="112" fillId="35" borderId="44" xfId="37" applyNumberFormat="1" applyFont="1" applyFill="1" applyBorder="1" applyAlignment="1">
      <alignment horizontal="center" vertical="center"/>
    </xf>
    <xf numFmtId="2" fontId="129" fillId="35" borderId="44" xfId="37" applyNumberFormat="1" applyFont="1" applyFill="1" applyBorder="1" applyAlignment="1">
      <alignment horizontal="center" vertical="center"/>
    </xf>
    <xf numFmtId="2" fontId="55" fillId="35" borderId="71" xfId="37" applyNumberFormat="1" applyFont="1" applyFill="1" applyBorder="1" applyAlignment="1">
      <alignment horizontal="center" vertical="center"/>
    </xf>
    <xf numFmtId="2" fontId="127" fillId="35" borderId="71" xfId="37" applyNumberFormat="1" applyFont="1" applyFill="1" applyBorder="1" applyAlignment="1">
      <alignment horizontal="center" vertical="center"/>
    </xf>
    <xf numFmtId="2" fontId="112" fillId="35" borderId="71" xfId="37" applyNumberFormat="1" applyFont="1" applyFill="1" applyBorder="1" applyAlignment="1">
      <alignment horizontal="center" vertical="center"/>
    </xf>
    <xf numFmtId="2" fontId="129" fillId="35" borderId="71" xfId="37" applyNumberFormat="1" applyFont="1" applyFill="1" applyBorder="1" applyAlignment="1">
      <alignment horizontal="center" vertical="center"/>
    </xf>
    <xf numFmtId="2" fontId="54" fillId="35" borderId="253" xfId="37" applyNumberFormat="1" applyFont="1" applyFill="1" applyBorder="1" applyAlignment="1">
      <alignment horizontal="center" vertical="center"/>
    </xf>
    <xf numFmtId="2" fontId="95" fillId="35" borderId="253" xfId="37" applyNumberFormat="1" applyFont="1" applyFill="1" applyBorder="1" applyAlignment="1">
      <alignment horizontal="center" vertical="center"/>
    </xf>
    <xf numFmtId="2" fontId="97" fillId="35" borderId="253" xfId="37" applyNumberFormat="1" applyFont="1" applyFill="1" applyBorder="1" applyAlignment="1">
      <alignment horizontal="center" vertical="center"/>
    </xf>
    <xf numFmtId="2" fontId="130" fillId="35" borderId="253" xfId="37" applyNumberFormat="1" applyFont="1" applyFill="1" applyBorder="1" applyAlignment="1">
      <alignment horizontal="center" vertical="center"/>
    </xf>
    <xf numFmtId="2" fontId="72" fillId="35" borderId="63" xfId="0" applyNumberFormat="1" applyFont="1" applyFill="1" applyBorder="1" applyAlignment="1">
      <alignment horizontal="center" vertical="center"/>
    </xf>
    <xf numFmtId="2" fontId="77" fillId="33" borderId="43" xfId="37" applyNumberFormat="1" applyFont="1" applyFill="1" applyBorder="1" applyAlignment="1">
      <alignment horizontal="center"/>
    </xf>
    <xf numFmtId="2" fontId="77" fillId="33" borderId="48" xfId="37" applyNumberFormat="1" applyFont="1" applyFill="1" applyBorder="1" applyAlignment="1">
      <alignment horizontal="center"/>
    </xf>
    <xf numFmtId="2" fontId="77" fillId="33" borderId="285" xfId="0" applyNumberFormat="1" applyFont="1" applyFill="1" applyBorder="1" applyAlignment="1">
      <alignment horizontal="center" vertical="center"/>
    </xf>
    <xf numFmtId="0" fontId="59" fillId="33" borderId="0" xfId="0" applyFont="1" applyFill="1"/>
    <xf numFmtId="0" fontId="149" fillId="33" borderId="0" xfId="0" applyFont="1" applyFill="1"/>
    <xf numFmtId="0" fontId="150" fillId="33" borderId="41" xfId="37" applyFont="1" applyFill="1" applyBorder="1" applyAlignment="1">
      <alignment horizontal="center"/>
    </xf>
    <xf numFmtId="0" fontId="150" fillId="33" borderId="41" xfId="37" applyFont="1" applyFill="1" applyBorder="1" applyAlignment="1">
      <alignment horizontal="left"/>
    </xf>
    <xf numFmtId="0" fontId="150" fillId="33" borderId="41" xfId="37" applyFont="1" applyFill="1" applyBorder="1"/>
    <xf numFmtId="0" fontId="139" fillId="33" borderId="43" xfId="0" applyFont="1" applyFill="1" applyBorder="1" applyAlignment="1">
      <alignment horizontal="center"/>
    </xf>
    <xf numFmtId="2" fontId="77" fillId="33" borderId="43" xfId="0" applyNumberFormat="1" applyFont="1" applyFill="1" applyBorder="1" applyAlignment="1">
      <alignment horizontal="center" vertical="center"/>
    </xf>
    <xf numFmtId="165" fontId="77" fillId="33" borderId="43" xfId="0" applyNumberFormat="1" applyFont="1" applyFill="1" applyBorder="1" applyAlignment="1">
      <alignment horizontal="center" vertical="center"/>
    </xf>
    <xf numFmtId="0" fontId="120" fillId="33" borderId="0" xfId="0" applyFont="1" applyFill="1"/>
    <xf numFmtId="0" fontId="150" fillId="33" borderId="306" xfId="37" applyFont="1" applyFill="1" applyBorder="1" applyAlignment="1">
      <alignment horizontal="center"/>
    </xf>
    <xf numFmtId="0" fontId="139" fillId="33" borderId="305" xfId="0" applyFont="1" applyFill="1" applyBorder="1" applyAlignment="1">
      <alignment horizontal="center"/>
    </xf>
    <xf numFmtId="2" fontId="77" fillId="33" borderId="305" xfId="0" applyNumberFormat="1" applyFont="1" applyFill="1" applyBorder="1" applyAlignment="1">
      <alignment horizontal="center" vertical="center"/>
    </xf>
    <xf numFmtId="165" fontId="77" fillId="33" borderId="305" xfId="0" applyNumberFormat="1" applyFont="1" applyFill="1" applyBorder="1" applyAlignment="1">
      <alignment horizontal="center" vertical="center"/>
    </xf>
    <xf numFmtId="0" fontId="62" fillId="33" borderId="41" xfId="37" applyFont="1" applyFill="1" applyBorder="1" applyAlignment="1">
      <alignment vertical="center"/>
    </xf>
    <xf numFmtId="0" fontId="62" fillId="33" borderId="41" xfId="37" applyFont="1" applyFill="1" applyBorder="1" applyAlignment="1">
      <alignment horizontal="center"/>
    </xf>
    <xf numFmtId="166" fontId="67" fillId="33" borderId="201" xfId="0" applyNumberFormat="1" applyFont="1" applyFill="1" applyBorder="1" applyAlignment="1">
      <alignment horizontal="center" vertical="center"/>
    </xf>
    <xf numFmtId="165" fontId="59" fillId="33" borderId="202" xfId="0" applyNumberFormat="1" applyFont="1" applyFill="1" applyBorder="1" applyAlignment="1">
      <alignment horizontal="center" vertical="center"/>
    </xf>
    <xf numFmtId="0" fontId="62" fillId="33" borderId="41" xfId="37" applyFont="1" applyFill="1" applyBorder="1" applyAlignment="1">
      <alignment horizontal="left"/>
    </xf>
    <xf numFmtId="0" fontId="62" fillId="33" borderId="41" xfId="37" applyFont="1" applyFill="1" applyBorder="1"/>
    <xf numFmtId="0" fontId="37" fillId="33" borderId="0" xfId="0" applyFont="1" applyFill="1"/>
    <xf numFmtId="2" fontId="37" fillId="33" borderId="0" xfId="0" applyNumberFormat="1" applyFont="1" applyFill="1"/>
    <xf numFmtId="0" fontId="55" fillId="33" borderId="0" xfId="37" applyFont="1" applyFill="1" applyAlignment="1">
      <alignment horizontal="center"/>
    </xf>
    <xf numFmtId="0" fontId="126" fillId="33" borderId="0" xfId="0" applyFont="1" applyFill="1" applyAlignment="1">
      <alignment vertical="center"/>
    </xf>
    <xf numFmtId="0" fontId="66" fillId="33" borderId="0" xfId="0" applyFont="1" applyFill="1" applyAlignment="1">
      <alignment horizontal="center" vertical="center"/>
    </xf>
    <xf numFmtId="0" fontId="66" fillId="33" borderId="0" xfId="37" applyFont="1" applyFill="1" applyAlignment="1">
      <alignment horizontal="center"/>
    </xf>
    <xf numFmtId="10" fontId="77" fillId="35" borderId="100" xfId="0" applyNumberFormat="1" applyFont="1" applyFill="1" applyBorder="1" applyAlignment="1">
      <alignment horizontal="center" vertical="center"/>
    </xf>
    <xf numFmtId="2" fontId="77" fillId="35" borderId="100" xfId="0" applyNumberFormat="1" applyFont="1" applyFill="1" applyBorder="1" applyAlignment="1">
      <alignment horizontal="center" vertical="center"/>
    </xf>
    <xf numFmtId="2" fontId="77" fillId="33" borderId="156" xfId="0" applyNumberFormat="1" applyFont="1" applyFill="1" applyBorder="1" applyAlignment="1">
      <alignment horizontal="center" vertical="center"/>
    </xf>
    <xf numFmtId="2" fontId="142" fillId="34" borderId="148" xfId="0" applyNumberFormat="1" applyFont="1" applyFill="1" applyBorder="1" applyAlignment="1">
      <alignment horizontal="center" vertical="center"/>
    </xf>
    <xf numFmtId="2" fontId="77" fillId="35" borderId="109" xfId="0" applyNumberFormat="1" applyFont="1" applyFill="1" applyBorder="1" applyAlignment="1">
      <alignment horizontal="center" vertical="center"/>
    </xf>
    <xf numFmtId="10" fontId="77" fillId="35" borderId="109" xfId="0" applyNumberFormat="1" applyFont="1" applyFill="1" applyBorder="1" applyAlignment="1">
      <alignment horizontal="center" vertical="center"/>
    </xf>
    <xf numFmtId="0" fontId="77" fillId="33" borderId="104" xfId="0" applyFont="1" applyFill="1" applyBorder="1" applyAlignment="1">
      <alignment horizontal="center" vertical="center"/>
    </xf>
    <xf numFmtId="2" fontId="77" fillId="33" borderId="104" xfId="0" applyNumberFormat="1" applyFont="1" applyFill="1" applyBorder="1" applyAlignment="1">
      <alignment horizontal="center" vertical="center"/>
    </xf>
    <xf numFmtId="2" fontId="142" fillId="35" borderId="116" xfId="0" applyNumberFormat="1" applyFont="1" applyFill="1" applyBorder="1" applyAlignment="1">
      <alignment horizontal="center" vertical="center"/>
    </xf>
    <xf numFmtId="165" fontId="142" fillId="33" borderId="157" xfId="0" applyNumberFormat="1" applyFont="1" applyFill="1" applyBorder="1" applyAlignment="1">
      <alignment horizontal="center" vertical="center"/>
    </xf>
    <xf numFmtId="165" fontId="77" fillId="35" borderId="116" xfId="0" applyNumberFormat="1" applyFont="1" applyFill="1" applyBorder="1" applyAlignment="1">
      <alignment horizontal="left" vertical="center"/>
    </xf>
    <xf numFmtId="2" fontId="142" fillId="33" borderId="157" xfId="0" applyNumberFormat="1" applyFont="1" applyFill="1" applyBorder="1" applyAlignment="1">
      <alignment horizontal="center" vertical="center"/>
    </xf>
    <xf numFmtId="2" fontId="77" fillId="35" borderId="114" xfId="0" applyNumberFormat="1" applyFont="1" applyFill="1" applyBorder="1" applyAlignment="1">
      <alignment horizontal="left"/>
    </xf>
    <xf numFmtId="2" fontId="142" fillId="35" borderId="158" xfId="0" applyNumberFormat="1" applyFont="1" applyFill="1" applyBorder="1" applyAlignment="1">
      <alignment horizontal="left" vertical="center"/>
    </xf>
    <xf numFmtId="2" fontId="77" fillId="35" borderId="116" xfId="0" applyNumberFormat="1" applyFont="1" applyFill="1" applyBorder="1" applyAlignment="1">
      <alignment horizontal="left" vertical="center"/>
    </xf>
    <xf numFmtId="166" fontId="142" fillId="33" borderId="129" xfId="0" applyNumberFormat="1" applyFont="1" applyFill="1" applyBorder="1" applyAlignment="1">
      <alignment horizontal="center" vertical="center"/>
    </xf>
    <xf numFmtId="165" fontId="142" fillId="33" borderId="148" xfId="0" applyNumberFormat="1" applyFont="1" applyFill="1" applyBorder="1" applyAlignment="1">
      <alignment horizontal="center" vertical="center"/>
    </xf>
    <xf numFmtId="0" fontId="77" fillId="35" borderId="100" xfId="0" applyFont="1" applyFill="1" applyBorder="1" applyAlignment="1">
      <alignment horizontal="center" vertical="center"/>
    </xf>
    <xf numFmtId="2" fontId="142" fillId="33" borderId="158" xfId="0" applyNumberFormat="1" applyFont="1" applyFill="1" applyBorder="1" applyAlignment="1">
      <alignment horizontal="left" vertical="center"/>
    </xf>
    <xf numFmtId="165" fontId="142" fillId="33" borderId="116" xfId="0" applyNumberFormat="1" applyFont="1" applyFill="1" applyBorder="1" applyAlignment="1">
      <alignment horizontal="left"/>
    </xf>
    <xf numFmtId="2" fontId="142" fillId="33" borderId="134" xfId="0" applyNumberFormat="1" applyFont="1" applyFill="1" applyBorder="1" applyAlignment="1">
      <alignment horizontal="center" vertical="center"/>
    </xf>
    <xf numFmtId="2" fontId="142" fillId="33" borderId="137" xfId="0" applyNumberFormat="1" applyFont="1" applyFill="1" applyBorder="1" applyAlignment="1">
      <alignment horizontal="center" vertical="center"/>
    </xf>
    <xf numFmtId="2" fontId="139" fillId="35" borderId="100" xfId="37" applyNumberFormat="1" applyFont="1" applyFill="1" applyBorder="1" applyAlignment="1">
      <alignment horizontal="center" vertical="center"/>
    </xf>
    <xf numFmtId="2" fontId="139" fillId="35" borderId="204" xfId="37" applyNumberFormat="1" applyFont="1" applyFill="1" applyBorder="1" applyAlignment="1">
      <alignment horizontal="center" vertical="center"/>
    </xf>
    <xf numFmtId="2" fontId="77" fillId="35" borderId="100" xfId="37" applyNumberFormat="1" applyFont="1" applyFill="1" applyBorder="1" applyAlignment="1">
      <alignment horizontal="center" vertical="center"/>
    </xf>
    <xf numFmtId="2" fontId="77" fillId="35" borderId="204" xfId="37" applyNumberFormat="1" applyFont="1" applyFill="1" applyBorder="1" applyAlignment="1">
      <alignment horizontal="center" vertical="center"/>
    </xf>
    <xf numFmtId="2" fontId="77" fillId="35" borderId="212" xfId="37" applyNumberFormat="1" applyFont="1" applyFill="1" applyBorder="1" applyAlignment="1">
      <alignment horizontal="center" vertical="center"/>
    </xf>
    <xf numFmtId="2" fontId="77" fillId="35" borderId="155" xfId="37" applyNumberFormat="1" applyFont="1" applyFill="1" applyBorder="1" applyAlignment="1">
      <alignment horizontal="center" vertical="center"/>
    </xf>
    <xf numFmtId="2" fontId="77" fillId="35" borderId="44" xfId="37" applyNumberFormat="1" applyFont="1" applyFill="1" applyBorder="1" applyAlignment="1">
      <alignment horizontal="center" vertical="center"/>
    </xf>
    <xf numFmtId="2" fontId="82" fillId="35" borderId="213" xfId="0" applyNumberFormat="1" applyFont="1" applyFill="1" applyBorder="1" applyAlignment="1">
      <alignment horizontal="center" vertical="center"/>
    </xf>
    <xf numFmtId="2" fontId="82" fillId="35" borderId="208" xfId="0" applyNumberFormat="1" applyFont="1" applyFill="1" applyBorder="1" applyAlignment="1">
      <alignment horizontal="center" vertical="center"/>
    </xf>
    <xf numFmtId="2" fontId="82" fillId="35" borderId="44" xfId="0" applyNumberFormat="1" applyFont="1" applyFill="1" applyBorder="1" applyAlignment="1">
      <alignment horizontal="center" vertical="center"/>
    </xf>
    <xf numFmtId="2" fontId="82" fillId="35" borderId="240" xfId="37" applyNumberFormat="1" applyFont="1" applyFill="1" applyBorder="1" applyAlignment="1">
      <alignment horizontal="center" vertical="center"/>
    </xf>
    <xf numFmtId="164" fontId="82" fillId="35" borderId="100" xfId="37" applyNumberFormat="1" applyFont="1" applyFill="1" applyBorder="1" applyAlignment="1">
      <alignment horizontal="center" vertical="center"/>
    </xf>
    <xf numFmtId="2" fontId="154" fillId="35" borderId="214" xfId="0" applyNumberFormat="1" applyFont="1" applyFill="1" applyBorder="1" applyAlignment="1">
      <alignment horizontal="center" vertical="center"/>
    </xf>
    <xf numFmtId="2" fontId="154" fillId="35" borderId="205" xfId="0" applyNumberFormat="1" applyFont="1" applyFill="1" applyBorder="1" applyAlignment="1">
      <alignment horizontal="center" vertical="center"/>
    </xf>
    <xf numFmtId="2" fontId="154" fillId="35" borderId="52" xfId="0" applyNumberFormat="1" applyFont="1" applyFill="1" applyBorder="1" applyAlignment="1">
      <alignment horizontal="center" vertical="center"/>
    </xf>
    <xf numFmtId="2" fontId="154" fillId="35" borderId="50" xfId="0" applyNumberFormat="1" applyFont="1" applyFill="1" applyBorder="1" applyAlignment="1">
      <alignment horizontal="center" vertical="center"/>
    </xf>
    <xf numFmtId="2" fontId="154" fillId="35" borderId="215" xfId="0" applyNumberFormat="1" applyFont="1" applyFill="1" applyBorder="1" applyAlignment="1">
      <alignment horizontal="center" vertical="center"/>
    </xf>
    <xf numFmtId="2" fontId="154" fillId="35" borderId="206" xfId="0" applyNumberFormat="1" applyFont="1" applyFill="1" applyBorder="1" applyAlignment="1">
      <alignment horizontal="center" vertical="center"/>
    </xf>
    <xf numFmtId="2" fontId="139" fillId="35" borderId="44" xfId="0" applyNumberFormat="1" applyFont="1" applyFill="1" applyBorder="1" applyAlignment="1">
      <alignment horizontal="center" vertical="center"/>
    </xf>
    <xf numFmtId="10" fontId="139" fillId="35" borderId="44" xfId="0" applyNumberFormat="1" applyFont="1" applyFill="1" applyBorder="1" applyAlignment="1">
      <alignment horizontal="center" vertical="center"/>
    </xf>
    <xf numFmtId="2" fontId="77" fillId="33" borderId="112" xfId="37" applyNumberFormat="1" applyFont="1" applyFill="1" applyBorder="1" applyAlignment="1">
      <alignment horizontal="center" vertical="center"/>
    </xf>
    <xf numFmtId="2" fontId="77" fillId="33" borderId="129" xfId="37" applyNumberFormat="1" applyFont="1" applyFill="1" applyBorder="1" applyAlignment="1">
      <alignment horizontal="center" vertical="center"/>
    </xf>
    <xf numFmtId="2" fontId="77" fillId="33" borderId="133" xfId="37" applyNumberFormat="1" applyFont="1" applyFill="1" applyBorder="1" applyAlignment="1">
      <alignment horizontal="center" vertical="center"/>
    </xf>
    <xf numFmtId="2" fontId="142" fillId="33" borderId="133" xfId="37" applyNumberFormat="1" applyFont="1" applyFill="1" applyBorder="1" applyAlignment="1">
      <alignment horizontal="center" vertical="center"/>
    </xf>
    <xf numFmtId="2" fontId="82" fillId="33" borderId="133" xfId="37" applyNumberFormat="1" applyFont="1" applyFill="1" applyBorder="1" applyAlignment="1">
      <alignment horizontal="center" vertical="center"/>
    </xf>
    <xf numFmtId="2" fontId="155" fillId="33" borderId="133" xfId="37" applyNumberFormat="1" applyFont="1" applyFill="1" applyBorder="1" applyAlignment="1">
      <alignment horizontal="center" vertical="center"/>
    </xf>
    <xf numFmtId="2" fontId="155" fillId="33" borderId="134" xfId="37" applyNumberFormat="1" applyFont="1" applyFill="1" applyBorder="1" applyAlignment="1">
      <alignment horizontal="center" vertical="center"/>
    </xf>
    <xf numFmtId="2" fontId="77" fillId="33" borderId="136" xfId="37" applyNumberFormat="1" applyFont="1" applyFill="1" applyBorder="1" applyAlignment="1">
      <alignment horizontal="center" vertical="center"/>
    </xf>
    <xf numFmtId="2" fontId="77" fillId="33" borderId="142" xfId="37" applyNumberFormat="1" applyFont="1" applyFill="1" applyBorder="1" applyAlignment="1">
      <alignment horizontal="center" vertical="center"/>
    </xf>
    <xf numFmtId="2" fontId="142" fillId="33" borderId="136" xfId="37" applyNumberFormat="1" applyFont="1" applyFill="1" applyBorder="1" applyAlignment="1">
      <alignment horizontal="center" vertical="center"/>
    </xf>
    <xf numFmtId="2" fontId="82" fillId="33" borderId="142" xfId="37" applyNumberFormat="1" applyFont="1" applyFill="1" applyBorder="1" applyAlignment="1">
      <alignment horizontal="center" vertical="center"/>
    </xf>
    <xf numFmtId="2" fontId="155" fillId="33" borderId="142" xfId="37" applyNumberFormat="1" applyFont="1" applyFill="1" applyBorder="1" applyAlignment="1">
      <alignment horizontal="center" vertical="center"/>
    </xf>
    <xf numFmtId="2" fontId="155" fillId="33" borderId="148" xfId="37" applyNumberFormat="1" applyFont="1" applyFill="1" applyBorder="1" applyAlignment="1">
      <alignment horizontal="center" vertical="center"/>
    </xf>
    <xf numFmtId="0" fontId="82" fillId="33" borderId="124" xfId="37" applyFont="1" applyFill="1" applyBorder="1" applyAlignment="1">
      <alignment horizontal="center" vertical="center"/>
    </xf>
    <xf numFmtId="0" fontId="81" fillId="33" borderId="286" xfId="0" applyFont="1" applyFill="1" applyBorder="1" applyAlignment="1">
      <alignment horizontal="center" vertical="center"/>
    </xf>
    <xf numFmtId="0" fontId="82" fillId="33" borderId="287" xfId="0" applyFont="1" applyFill="1" applyBorder="1" applyAlignment="1">
      <alignment horizontal="center" vertical="center"/>
    </xf>
    <xf numFmtId="2" fontId="139" fillId="33" borderId="127" xfId="37" applyNumberFormat="1" applyFont="1" applyFill="1" applyBorder="1" applyAlignment="1">
      <alignment horizontal="center" vertical="center"/>
    </xf>
    <xf numFmtId="2" fontId="139" fillId="33" borderId="288" xfId="0" applyNumberFormat="1" applyFont="1" applyFill="1" applyBorder="1" applyAlignment="1">
      <alignment horizontal="center" vertical="center"/>
    </xf>
    <xf numFmtId="2" fontId="139" fillId="33" borderId="289" xfId="0" applyNumberFormat="1" applyFont="1" applyFill="1" applyBorder="1" applyAlignment="1">
      <alignment horizontal="center" vertical="center"/>
    </xf>
    <xf numFmtId="2" fontId="142" fillId="33" borderId="127" xfId="37" applyNumberFormat="1" applyFont="1" applyFill="1" applyBorder="1" applyAlignment="1">
      <alignment horizontal="center" vertical="center"/>
    </xf>
    <xf numFmtId="2" fontId="142" fillId="33" borderId="288" xfId="0" applyNumberFormat="1" applyFont="1" applyFill="1" applyBorder="1" applyAlignment="1">
      <alignment horizontal="center" vertical="center"/>
    </xf>
    <xf numFmtId="2" fontId="142" fillId="33" borderId="289" xfId="0" applyNumberFormat="1" applyFont="1" applyFill="1" applyBorder="1" applyAlignment="1">
      <alignment horizontal="center" vertical="center"/>
    </xf>
    <xf numFmtId="2" fontId="142" fillId="33" borderId="209" xfId="0" applyNumberFormat="1" applyFont="1" applyFill="1" applyBorder="1" applyAlignment="1">
      <alignment horizontal="center" vertical="center"/>
    </xf>
    <xf numFmtId="2" fontId="142" fillId="33" borderId="210" xfId="0" applyNumberFormat="1" applyFont="1" applyFill="1" applyBorder="1" applyAlignment="1">
      <alignment horizontal="center" vertical="center"/>
    </xf>
    <xf numFmtId="2" fontId="149" fillId="33" borderId="220" xfId="0" applyNumberFormat="1" applyFont="1" applyFill="1" applyBorder="1" applyAlignment="1">
      <alignment horizontal="center" vertical="center"/>
    </xf>
    <xf numFmtId="2" fontId="149" fillId="33" borderId="223" xfId="0" applyNumberFormat="1" applyFont="1" applyFill="1" applyBorder="1" applyAlignment="1">
      <alignment horizontal="center" vertical="center"/>
    </xf>
    <xf numFmtId="0" fontId="149" fillId="33" borderId="221" xfId="0" applyFont="1" applyFill="1" applyBorder="1" applyAlignment="1">
      <alignment horizontal="center" vertical="center"/>
    </xf>
    <xf numFmtId="0" fontId="149" fillId="33" borderId="224" xfId="0" applyFont="1" applyFill="1" applyBorder="1" applyAlignment="1">
      <alignment horizontal="center" vertical="center"/>
    </xf>
    <xf numFmtId="0" fontId="150" fillId="33" borderId="41" xfId="37" applyFont="1" applyFill="1" applyBorder="1" applyAlignment="1">
      <alignment vertical="center"/>
    </xf>
    <xf numFmtId="2" fontId="77" fillId="33" borderId="201" xfId="0" applyNumberFormat="1" applyFont="1" applyFill="1" applyBorder="1" applyAlignment="1">
      <alignment horizontal="center" vertical="center"/>
    </xf>
    <xf numFmtId="166" fontId="77" fillId="33" borderId="201" xfId="0" applyNumberFormat="1" applyFont="1" applyFill="1" applyBorder="1" applyAlignment="1">
      <alignment horizontal="center" vertical="center"/>
    </xf>
    <xf numFmtId="165" fontId="149" fillId="33" borderId="202" xfId="0" applyNumberFormat="1" applyFont="1" applyFill="1" applyBorder="1" applyAlignment="1">
      <alignment horizontal="center" vertical="center"/>
    </xf>
    <xf numFmtId="166" fontId="88" fillId="33" borderId="229" xfId="37" applyNumberFormat="1" applyFont="1" applyFill="1" applyBorder="1" applyAlignment="1">
      <alignment horizontal="center" vertical="center"/>
    </xf>
    <xf numFmtId="166" fontId="88" fillId="33" borderId="230" xfId="0" applyNumberFormat="1" applyFont="1" applyFill="1" applyBorder="1" applyAlignment="1">
      <alignment horizontal="center" vertical="center"/>
    </xf>
    <xf numFmtId="166" fontId="77" fillId="33" borderId="232" xfId="37" applyNumberFormat="1" applyFont="1" applyFill="1" applyBorder="1" applyAlignment="1">
      <alignment horizontal="center" vertical="center"/>
    </xf>
    <xf numFmtId="166" fontId="77" fillId="33" borderId="233" xfId="0" applyNumberFormat="1" applyFont="1" applyFill="1" applyBorder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32" fillId="24" borderId="0" xfId="0" applyFont="1" applyFill="1" applyAlignment="1">
      <alignment horizontal="center" vertical="center"/>
    </xf>
    <xf numFmtId="0" fontId="32" fillId="24" borderId="22" xfId="0" applyFont="1" applyFill="1" applyBorder="1" applyAlignment="1">
      <alignment horizontal="center" vertical="center"/>
    </xf>
    <xf numFmtId="0" fontId="24" fillId="24" borderId="10" xfId="0" applyFont="1" applyFill="1" applyBorder="1" applyAlignment="1">
      <alignment horizontal="center" vertical="center"/>
    </xf>
    <xf numFmtId="0" fontId="38" fillId="29" borderId="10" xfId="0" applyFont="1" applyFill="1" applyBorder="1" applyAlignment="1">
      <alignment horizontal="center"/>
    </xf>
    <xf numFmtId="0" fontId="31" fillId="26" borderId="10" xfId="43" applyFont="1" applyFill="1" applyBorder="1" applyAlignment="1">
      <alignment horizontal="center" vertical="center" wrapText="1"/>
    </xf>
    <xf numFmtId="2" fontId="29" fillId="33" borderId="10" xfId="0" applyNumberFormat="1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52" fillId="26" borderId="13" xfId="0" applyFont="1" applyFill="1" applyBorder="1" applyAlignment="1">
      <alignment horizontal="center" vertical="center"/>
    </xf>
    <xf numFmtId="0" fontId="40" fillId="26" borderId="10" xfId="0" applyFont="1" applyFill="1" applyBorder="1" applyAlignment="1">
      <alignment horizontal="center" vertical="center"/>
    </xf>
    <xf numFmtId="0" fontId="40" fillId="26" borderId="10" xfId="0" applyFont="1" applyFill="1" applyBorder="1" applyAlignment="1">
      <alignment horizontal="center"/>
    </xf>
    <xf numFmtId="0" fontId="40" fillId="26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0" fontId="26" fillId="24" borderId="10" xfId="0" applyFont="1" applyFill="1" applyBorder="1" applyAlignment="1">
      <alignment horizontal="center" vertical="center"/>
    </xf>
    <xf numFmtId="2" fontId="38" fillId="29" borderId="10" xfId="0" applyNumberFormat="1" applyFont="1" applyFill="1" applyBorder="1" applyAlignment="1">
      <alignment horizontal="center" vertical="center"/>
    </xf>
    <xf numFmtId="0" fontId="38" fillId="29" borderId="11" xfId="0" applyFont="1" applyFill="1" applyBorder="1" applyAlignment="1">
      <alignment horizontal="center" vertical="center"/>
    </xf>
    <xf numFmtId="0" fontId="38" fillId="29" borderId="12" xfId="0" applyFont="1" applyFill="1" applyBorder="1" applyAlignment="1">
      <alignment horizontal="center" vertical="center"/>
    </xf>
    <xf numFmtId="0" fontId="47" fillId="29" borderId="10" xfId="0" applyFont="1" applyFill="1" applyBorder="1" applyAlignment="1">
      <alignment horizontal="center"/>
    </xf>
    <xf numFmtId="0" fontId="24" fillId="24" borderId="14" xfId="0" applyFont="1" applyFill="1" applyBorder="1" applyAlignment="1">
      <alignment horizontal="center" vertical="center" wrapText="1"/>
    </xf>
    <xf numFmtId="0" fontId="31" fillId="28" borderId="14" xfId="43" applyFont="1" applyFill="1" applyBorder="1" applyAlignment="1">
      <alignment horizontal="center" vertical="center" wrapText="1"/>
    </xf>
    <xf numFmtId="0" fontId="40" fillId="28" borderId="14" xfId="43" applyFont="1" applyFill="1" applyBorder="1" applyAlignment="1">
      <alignment horizontal="center" vertical="center" wrapText="1"/>
    </xf>
    <xf numFmtId="0" fontId="41" fillId="28" borderId="14" xfId="43" applyFont="1" applyFill="1" applyBorder="1" applyAlignment="1">
      <alignment horizontal="center" vertical="center"/>
    </xf>
    <xf numFmtId="0" fontId="42" fillId="28" borderId="14" xfId="43" applyFont="1" applyFill="1" applyBorder="1" applyAlignment="1">
      <alignment horizontal="center" vertical="center"/>
    </xf>
    <xf numFmtId="0" fontId="31" fillId="28" borderId="14" xfId="43" applyFont="1" applyFill="1" applyBorder="1" applyAlignment="1">
      <alignment horizontal="center" vertical="center"/>
    </xf>
    <xf numFmtId="0" fontId="40" fillId="28" borderId="14" xfId="0" applyFont="1" applyFill="1" applyBorder="1" applyAlignment="1">
      <alignment horizontal="center" vertical="center"/>
    </xf>
    <xf numFmtId="0" fontId="39" fillId="28" borderId="14" xfId="0" applyFont="1" applyFill="1" applyBorder="1" applyAlignment="1">
      <alignment horizontal="center"/>
    </xf>
    <xf numFmtId="0" fontId="69" fillId="46" borderId="96" xfId="0" applyFont="1" applyFill="1" applyBorder="1" applyAlignment="1">
      <alignment horizontal="center" vertical="center"/>
    </xf>
    <xf numFmtId="2" fontId="63" fillId="45" borderId="79" xfId="0" applyNumberFormat="1" applyFont="1" applyFill="1" applyBorder="1" applyAlignment="1">
      <alignment horizontal="center" vertical="center"/>
    </xf>
    <xf numFmtId="2" fontId="63" fillId="45" borderId="80" xfId="0" applyNumberFormat="1" applyFont="1" applyFill="1" applyBorder="1" applyAlignment="1">
      <alignment horizontal="center" vertical="center"/>
    </xf>
    <xf numFmtId="2" fontId="63" fillId="45" borderId="55" xfId="0" applyNumberFormat="1" applyFont="1" applyFill="1" applyBorder="1" applyAlignment="1">
      <alignment horizontal="center" vertical="center"/>
    </xf>
    <xf numFmtId="2" fontId="63" fillId="45" borderId="56" xfId="0" applyNumberFormat="1" applyFont="1" applyFill="1" applyBorder="1" applyAlignment="1">
      <alignment horizontal="center" vertical="center"/>
    </xf>
    <xf numFmtId="0" fontId="63" fillId="27" borderId="82" xfId="0" applyFont="1" applyFill="1" applyBorder="1" applyAlignment="1">
      <alignment horizontal="center" vertical="center"/>
    </xf>
    <xf numFmtId="0" fontId="63" fillId="27" borderId="83" xfId="0" applyFont="1" applyFill="1" applyBorder="1" applyAlignment="1">
      <alignment horizontal="center" vertical="center"/>
    </xf>
    <xf numFmtId="0" fontId="63" fillId="27" borderId="84" xfId="0" applyFont="1" applyFill="1" applyBorder="1" applyAlignment="1">
      <alignment horizontal="center" vertical="center"/>
    </xf>
    <xf numFmtId="0" fontId="69" fillId="40" borderId="48" xfId="43" applyFont="1" applyFill="1" applyBorder="1" applyAlignment="1">
      <alignment horizontal="center" vertical="center" wrapText="1"/>
    </xf>
    <xf numFmtId="2" fontId="67" fillId="46" borderId="51" xfId="0" applyNumberFormat="1" applyFont="1" applyFill="1" applyBorder="1" applyAlignment="1">
      <alignment horizontal="center" vertical="center"/>
    </xf>
    <xf numFmtId="2" fontId="67" fillId="46" borderId="47" xfId="0" applyNumberFormat="1" applyFont="1" applyFill="1" applyBorder="1" applyAlignment="1">
      <alignment horizontal="center" vertical="center"/>
    </xf>
    <xf numFmtId="0" fontId="69" fillId="40" borderId="54" xfId="0" applyFont="1" applyFill="1" applyBorder="1" applyAlignment="1">
      <alignment horizontal="center" vertical="center"/>
    </xf>
    <xf numFmtId="0" fontId="69" fillId="40" borderId="57" xfId="0" applyFont="1" applyFill="1" applyBorder="1" applyAlignment="1">
      <alignment horizontal="center" vertical="center"/>
    </xf>
    <xf numFmtId="0" fontId="69" fillId="40" borderId="55" xfId="0" applyFont="1" applyFill="1" applyBorder="1" applyAlignment="1">
      <alignment horizontal="center" vertical="center"/>
    </xf>
    <xf numFmtId="0" fontId="69" fillId="40" borderId="47" xfId="0" applyFont="1" applyFill="1" applyBorder="1" applyAlignment="1">
      <alignment horizontal="center" vertical="center"/>
    </xf>
    <xf numFmtId="0" fontId="69" fillId="45" borderId="97" xfId="0" applyFont="1" applyFill="1" applyBorder="1" applyAlignment="1">
      <alignment horizontal="center" vertical="center"/>
    </xf>
    <xf numFmtId="0" fontId="69" fillId="45" borderId="98" xfId="0" applyFont="1" applyFill="1" applyBorder="1" applyAlignment="1">
      <alignment horizontal="center" vertical="center"/>
    </xf>
    <xf numFmtId="0" fontId="69" fillId="43" borderId="97" xfId="0" applyFont="1" applyFill="1" applyBorder="1" applyAlignment="1">
      <alignment horizontal="center" vertical="center"/>
    </xf>
    <xf numFmtId="0" fontId="69" fillId="43" borderId="98" xfId="0" applyFont="1" applyFill="1" applyBorder="1" applyAlignment="1">
      <alignment horizontal="center" vertical="center"/>
    </xf>
    <xf numFmtId="0" fontId="69" fillId="40" borderId="55" xfId="0" applyFont="1" applyFill="1" applyBorder="1" applyAlignment="1">
      <alignment horizontal="center"/>
    </xf>
    <xf numFmtId="0" fontId="69" fillId="40" borderId="55" xfId="0" applyFont="1" applyFill="1" applyBorder="1" applyAlignment="1">
      <alignment horizontal="center" vertical="center" wrapText="1"/>
    </xf>
    <xf numFmtId="0" fontId="69" fillId="40" borderId="67" xfId="0" applyFont="1" applyFill="1" applyBorder="1" applyAlignment="1">
      <alignment horizontal="center" vertical="center" wrapText="1"/>
    </xf>
    <xf numFmtId="0" fontId="69" fillId="40" borderId="56" xfId="0" applyFont="1" applyFill="1" applyBorder="1" applyAlignment="1">
      <alignment horizontal="center" vertical="center"/>
    </xf>
    <xf numFmtId="0" fontId="69" fillId="38" borderId="47" xfId="43" applyFont="1" applyFill="1" applyBorder="1" applyAlignment="1">
      <alignment horizontal="center" vertical="center"/>
    </xf>
    <xf numFmtId="0" fontId="69" fillId="38" borderId="174" xfId="43" applyFont="1" applyFill="1" applyBorder="1" applyAlignment="1">
      <alignment horizontal="center" vertical="center"/>
    </xf>
    <xf numFmtId="0" fontId="69" fillId="38" borderId="163" xfId="43" applyFont="1" applyFill="1" applyBorder="1" applyAlignment="1">
      <alignment horizontal="center" vertical="center"/>
    </xf>
    <xf numFmtId="0" fontId="69" fillId="38" borderId="175" xfId="43" applyFont="1" applyFill="1" applyBorder="1" applyAlignment="1">
      <alignment horizontal="center" vertical="center"/>
    </xf>
    <xf numFmtId="0" fontId="69" fillId="38" borderId="176" xfId="43" applyFont="1" applyFill="1" applyBorder="1" applyAlignment="1">
      <alignment horizontal="center" vertical="center"/>
    </xf>
    <xf numFmtId="0" fontId="69" fillId="38" borderId="168" xfId="43" applyFont="1" applyFill="1" applyBorder="1" applyAlignment="1">
      <alignment horizontal="center" vertical="center"/>
    </xf>
    <xf numFmtId="0" fontId="69" fillId="38" borderId="177" xfId="43" applyFont="1" applyFill="1" applyBorder="1" applyAlignment="1">
      <alignment horizontal="center" vertical="center"/>
    </xf>
    <xf numFmtId="0" fontId="69" fillId="38" borderId="88" xfId="43" applyFont="1" applyFill="1" applyBorder="1" applyAlignment="1">
      <alignment horizontal="center" vertical="center"/>
    </xf>
    <xf numFmtId="0" fontId="69" fillId="38" borderId="171" xfId="43" applyFont="1" applyFill="1" applyBorder="1" applyAlignment="1">
      <alignment horizontal="center" vertical="center"/>
    </xf>
    <xf numFmtId="0" fontId="69" fillId="38" borderId="178" xfId="43" applyFont="1" applyFill="1" applyBorder="1" applyAlignment="1">
      <alignment horizontal="center" vertical="center"/>
    </xf>
    <xf numFmtId="0" fontId="70" fillId="32" borderId="47" xfId="43" applyFont="1" applyFill="1" applyBorder="1" applyAlignment="1">
      <alignment horizontal="center" vertical="center" wrapText="1"/>
    </xf>
    <xf numFmtId="0" fontId="70" fillId="32" borderId="48" xfId="43" applyFont="1" applyFill="1" applyBorder="1" applyAlignment="1">
      <alignment horizontal="center" vertical="center" wrapText="1"/>
    </xf>
    <xf numFmtId="0" fontId="69" fillId="38" borderId="47" xfId="43" applyFont="1" applyFill="1" applyBorder="1" applyAlignment="1">
      <alignment horizontal="center" vertical="center" wrapText="1"/>
    </xf>
    <xf numFmtId="0" fontId="69" fillId="38" borderId="48" xfId="43" applyFont="1" applyFill="1" applyBorder="1" applyAlignment="1">
      <alignment horizontal="center" vertical="center" wrapText="1"/>
    </xf>
    <xf numFmtId="0" fontId="70" fillId="32" borderId="62" xfId="43" applyFont="1" applyFill="1" applyBorder="1" applyAlignment="1">
      <alignment horizontal="center" vertical="center" wrapText="1"/>
    </xf>
    <xf numFmtId="0" fontId="70" fillId="32" borderId="78" xfId="43" applyFont="1" applyFill="1" applyBorder="1" applyAlignment="1">
      <alignment horizontal="center" vertical="center" wrapText="1"/>
    </xf>
    <xf numFmtId="0" fontId="74" fillId="32" borderId="0" xfId="0" applyFont="1" applyFill="1" applyAlignment="1">
      <alignment horizontal="center" vertical="center"/>
    </xf>
    <xf numFmtId="0" fontId="74" fillId="32" borderId="186" xfId="0" applyFont="1" applyFill="1" applyBorder="1" applyAlignment="1">
      <alignment horizontal="center" vertical="center"/>
    </xf>
    <xf numFmtId="0" fontId="44" fillId="24" borderId="0" xfId="0" applyFont="1" applyFill="1" applyAlignment="1">
      <alignment horizontal="center" vertical="center"/>
    </xf>
    <xf numFmtId="0" fontId="29" fillId="24" borderId="0" xfId="0" applyFont="1" applyFill="1" applyAlignment="1">
      <alignment horizontal="center" vertical="center"/>
    </xf>
    <xf numFmtId="0" fontId="69" fillId="38" borderId="89" xfId="43" applyFont="1" applyFill="1" applyBorder="1" applyAlignment="1">
      <alignment horizontal="center" vertical="center" wrapText="1"/>
    </xf>
    <xf numFmtId="0" fontId="69" fillId="38" borderId="90" xfId="43" applyFont="1" applyFill="1" applyBorder="1" applyAlignment="1">
      <alignment horizontal="center" vertical="center" wrapText="1"/>
    </xf>
    <xf numFmtId="0" fontId="69" fillId="38" borderId="85" xfId="43" applyFont="1" applyFill="1" applyBorder="1" applyAlignment="1">
      <alignment horizontal="center" vertical="center" wrapText="1"/>
    </xf>
    <xf numFmtId="0" fontId="69" fillId="38" borderId="43" xfId="43" applyFont="1" applyFill="1" applyBorder="1" applyAlignment="1">
      <alignment horizontal="center" vertical="center" wrapText="1"/>
    </xf>
    <xf numFmtId="0" fontId="69" fillId="38" borderId="93" xfId="43" applyFont="1" applyFill="1" applyBorder="1" applyAlignment="1">
      <alignment horizontal="center" vertical="center" wrapText="1"/>
    </xf>
    <xf numFmtId="0" fontId="69" fillId="38" borderId="94" xfId="43" applyFont="1" applyFill="1" applyBorder="1" applyAlignment="1">
      <alignment horizontal="center" vertical="center" wrapText="1"/>
    </xf>
    <xf numFmtId="0" fontId="69" fillId="38" borderId="91" xfId="43" applyFont="1" applyFill="1" applyBorder="1" applyAlignment="1">
      <alignment horizontal="center" vertical="center"/>
    </xf>
    <xf numFmtId="0" fontId="69" fillId="38" borderId="92" xfId="43" applyFont="1" applyFill="1" applyBorder="1" applyAlignment="1">
      <alignment horizontal="center" vertical="center"/>
    </xf>
    <xf numFmtId="0" fontId="69" fillId="38" borderId="95" xfId="43" applyFont="1" applyFill="1" applyBorder="1" applyAlignment="1">
      <alignment horizontal="center" vertical="center"/>
    </xf>
    <xf numFmtId="0" fontId="69" fillId="38" borderId="87" xfId="43" applyFont="1" applyFill="1" applyBorder="1" applyAlignment="1">
      <alignment horizontal="center" vertical="center"/>
    </xf>
    <xf numFmtId="0" fontId="69" fillId="38" borderId="48" xfId="43" applyFont="1" applyFill="1" applyBorder="1" applyAlignment="1">
      <alignment horizontal="center" vertical="center"/>
    </xf>
    <xf numFmtId="0" fontId="69" fillId="38" borderId="51" xfId="43" applyFont="1" applyFill="1" applyBorder="1" applyAlignment="1">
      <alignment horizontal="center" vertical="center"/>
    </xf>
    <xf numFmtId="0" fontId="69" fillId="38" borderId="49" xfId="43" applyFont="1" applyFill="1" applyBorder="1" applyAlignment="1">
      <alignment horizontal="center" vertical="center"/>
    </xf>
    <xf numFmtId="0" fontId="69" fillId="38" borderId="87" xfId="43" applyFont="1" applyFill="1" applyBorder="1" applyAlignment="1">
      <alignment horizontal="center" vertical="center" wrapText="1"/>
    </xf>
    <xf numFmtId="0" fontId="69" fillId="38" borderId="46" xfId="43" applyFont="1" applyFill="1" applyBorder="1" applyAlignment="1">
      <alignment horizontal="center" vertical="center" wrapText="1"/>
    </xf>
    <xf numFmtId="0" fontId="69" fillId="25" borderId="52" xfId="43" applyFont="1" applyFill="1" applyBorder="1" applyAlignment="1">
      <alignment horizontal="center" vertical="center" wrapText="1"/>
    </xf>
    <xf numFmtId="0" fontId="70" fillId="37" borderId="44" xfId="43" applyFont="1" applyFill="1" applyBorder="1" applyAlignment="1">
      <alignment horizontal="center" vertical="center"/>
    </xf>
    <xf numFmtId="0" fontId="67" fillId="46" borderId="61" xfId="0" applyFont="1" applyFill="1" applyBorder="1" applyAlignment="1">
      <alignment horizontal="center" vertical="center" wrapText="1"/>
    </xf>
    <xf numFmtId="0" fontId="67" fillId="46" borderId="88" xfId="0" applyFont="1" applyFill="1" applyBorder="1" applyAlignment="1">
      <alignment horizontal="center" vertical="center" wrapText="1"/>
    </xf>
    <xf numFmtId="0" fontId="67" fillId="46" borderId="85" xfId="0" applyFont="1" applyFill="1" applyBorder="1" applyAlignment="1">
      <alignment horizontal="center" vertical="center" wrapText="1"/>
    </xf>
    <xf numFmtId="0" fontId="67" fillId="46" borderId="45" xfId="0" applyFont="1" applyFill="1" applyBorder="1" applyAlignment="1">
      <alignment horizontal="center" vertical="center" wrapText="1"/>
    </xf>
    <xf numFmtId="0" fontId="67" fillId="46" borderId="76" xfId="0" applyFont="1" applyFill="1" applyBorder="1" applyAlignment="1">
      <alignment horizontal="center" vertical="center" wrapText="1"/>
    </xf>
    <xf numFmtId="0" fontId="67" fillId="46" borderId="68" xfId="0" applyFont="1" applyFill="1" applyBorder="1" applyAlignment="1">
      <alignment horizontal="center" vertical="center" wrapText="1"/>
    </xf>
    <xf numFmtId="0" fontId="63" fillId="48" borderId="82" xfId="0" applyFont="1" applyFill="1" applyBorder="1" applyAlignment="1">
      <alignment horizontal="center" vertical="center"/>
    </xf>
    <xf numFmtId="0" fontId="63" fillId="48" borderId="83" xfId="0" applyFont="1" applyFill="1" applyBorder="1" applyAlignment="1">
      <alignment horizontal="center" vertical="center"/>
    </xf>
    <xf numFmtId="0" fontId="63" fillId="48" borderId="84" xfId="0" applyFont="1" applyFill="1" applyBorder="1" applyAlignment="1">
      <alignment horizontal="center" vertical="center"/>
    </xf>
    <xf numFmtId="0" fontId="63" fillId="39" borderId="96" xfId="0" applyFont="1" applyFill="1" applyBorder="1" applyAlignment="1">
      <alignment horizontal="center" vertical="center"/>
    </xf>
    <xf numFmtId="0" fontId="70" fillId="27" borderId="50" xfId="43" applyFont="1" applyFill="1" applyBorder="1" applyAlignment="1">
      <alignment horizontal="center" vertical="center"/>
    </xf>
    <xf numFmtId="0" fontId="63" fillId="38" borderId="167" xfId="43" applyFont="1" applyFill="1" applyBorder="1" applyAlignment="1">
      <alignment horizontal="center" vertical="center"/>
    </xf>
    <xf numFmtId="0" fontId="63" fillId="38" borderId="168" xfId="43" applyFont="1" applyFill="1" applyBorder="1" applyAlignment="1">
      <alignment horizontal="center" vertical="center"/>
    </xf>
    <xf numFmtId="0" fontId="63" fillId="38" borderId="169" xfId="43" applyFont="1" applyFill="1" applyBorder="1" applyAlignment="1">
      <alignment horizontal="center" vertical="center"/>
    </xf>
    <xf numFmtId="0" fontId="63" fillId="38" borderId="170" xfId="43" applyFont="1" applyFill="1" applyBorder="1" applyAlignment="1">
      <alignment horizontal="center" vertical="center"/>
    </xf>
    <xf numFmtId="0" fontId="63" fillId="38" borderId="171" xfId="43" applyFont="1" applyFill="1" applyBorder="1" applyAlignment="1">
      <alignment horizontal="center" vertical="center"/>
    </xf>
    <xf numFmtId="0" fontId="63" fillId="38" borderId="172" xfId="43" applyFont="1" applyFill="1" applyBorder="1" applyAlignment="1">
      <alignment horizontal="center" vertical="center"/>
    </xf>
    <xf numFmtId="0" fontId="69" fillId="38" borderId="162" xfId="43" applyFont="1" applyFill="1" applyBorder="1" applyAlignment="1">
      <alignment horizontal="center" vertical="center"/>
    </xf>
    <xf numFmtId="0" fontId="69" fillId="38" borderId="173" xfId="43" applyFont="1" applyFill="1" applyBorder="1" applyAlignment="1">
      <alignment horizontal="center" vertical="center"/>
    </xf>
    <xf numFmtId="166" fontId="63" fillId="33" borderId="45" xfId="0" applyNumberFormat="1" applyFont="1" applyFill="1" applyBorder="1" applyAlignment="1">
      <alignment horizontal="center" vertical="center"/>
    </xf>
    <xf numFmtId="166" fontId="63" fillId="33" borderId="184" xfId="0" applyNumberFormat="1" applyFont="1" applyFill="1" applyBorder="1" applyAlignment="1">
      <alignment horizontal="center" vertical="center"/>
    </xf>
    <xf numFmtId="166" fontId="63" fillId="30" borderId="204" xfId="0" applyNumberFormat="1" applyFont="1" applyFill="1" applyBorder="1" applyAlignment="1">
      <alignment horizontal="center" vertical="center"/>
    </xf>
    <xf numFmtId="166" fontId="63" fillId="30" borderId="274" xfId="0" applyNumberFormat="1" applyFont="1" applyFill="1" applyBorder="1" applyAlignment="1">
      <alignment horizontal="center" vertical="center"/>
    </xf>
    <xf numFmtId="166" fontId="67" fillId="33" borderId="68" xfId="0" applyNumberFormat="1" applyFont="1" applyFill="1" applyBorder="1" applyAlignment="1">
      <alignment horizontal="center" vertical="center"/>
    </xf>
    <xf numFmtId="166" fontId="67" fillId="33" borderId="66" xfId="0" applyNumberFormat="1" applyFont="1" applyFill="1" applyBorder="1" applyAlignment="1">
      <alignment horizontal="center" vertical="center"/>
    </xf>
    <xf numFmtId="166" fontId="67" fillId="33" borderId="75" xfId="0" applyNumberFormat="1" applyFont="1" applyFill="1" applyBorder="1" applyAlignment="1">
      <alignment horizontal="center" vertical="center"/>
    </xf>
    <xf numFmtId="166" fontId="67" fillId="33" borderId="73" xfId="0" applyNumberFormat="1" applyFont="1" applyFill="1" applyBorder="1" applyAlignment="1">
      <alignment horizontal="center" vertical="center"/>
    </xf>
    <xf numFmtId="0" fontId="37" fillId="46" borderId="0" xfId="0" applyFont="1" applyFill="1" applyAlignment="1">
      <alignment horizontal="center" vertical="center"/>
    </xf>
    <xf numFmtId="0" fontId="54" fillId="24" borderId="79" xfId="0" applyFont="1" applyFill="1" applyBorder="1" applyAlignment="1">
      <alignment horizontal="right" vertical="center"/>
    </xf>
    <xf numFmtId="0" fontId="54" fillId="24" borderId="80" xfId="0" applyFont="1" applyFill="1" applyBorder="1" applyAlignment="1">
      <alignment horizontal="right" vertical="center"/>
    </xf>
    <xf numFmtId="166" fontId="65" fillId="33" borderId="266" xfId="0" applyNumberFormat="1" applyFont="1" applyFill="1" applyBorder="1" applyAlignment="1">
      <alignment horizontal="center" vertical="center"/>
    </xf>
    <xf numFmtId="166" fontId="65" fillId="33" borderId="267" xfId="0" applyNumberFormat="1" applyFont="1" applyFill="1" applyBorder="1" applyAlignment="1">
      <alignment horizontal="center" vertical="center"/>
    </xf>
    <xf numFmtId="166" fontId="65" fillId="33" borderId="268" xfId="0" applyNumberFormat="1" applyFont="1" applyFill="1" applyBorder="1" applyAlignment="1">
      <alignment horizontal="center" vertical="center"/>
    </xf>
    <xf numFmtId="0" fontId="85" fillId="29" borderId="263" xfId="0" applyFont="1" applyFill="1" applyBorder="1" applyAlignment="1">
      <alignment horizontal="center" vertical="center"/>
    </xf>
    <xf numFmtId="0" fontId="85" fillId="29" borderId="264" xfId="0" applyFont="1" applyFill="1" applyBorder="1" applyAlignment="1">
      <alignment horizontal="center" vertical="center"/>
    </xf>
    <xf numFmtId="0" fontId="85" fillId="29" borderId="265" xfId="0" applyFont="1" applyFill="1" applyBorder="1" applyAlignment="1">
      <alignment horizontal="center" vertical="center"/>
    </xf>
    <xf numFmtId="0" fontId="111" fillId="24" borderId="88" xfId="0" applyFont="1" applyFill="1" applyBorder="1" applyAlignment="1">
      <alignment horizontal="center" vertical="center"/>
    </xf>
    <xf numFmtId="0" fontId="111" fillId="24" borderId="87" xfId="0" applyFont="1" applyFill="1" applyBorder="1" applyAlignment="1">
      <alignment horizontal="center" vertical="center"/>
    </xf>
    <xf numFmtId="0" fontId="105" fillId="24" borderId="254" xfId="0" applyFont="1" applyFill="1" applyBorder="1" applyAlignment="1">
      <alignment horizontal="center" vertical="center"/>
    </xf>
    <xf numFmtId="0" fontId="105" fillId="24" borderId="255" xfId="0" applyFont="1" applyFill="1" applyBorder="1" applyAlignment="1">
      <alignment horizontal="center" vertical="center"/>
    </xf>
    <xf numFmtId="2" fontId="67" fillId="33" borderId="43" xfId="37" applyNumberFormat="1" applyFont="1" applyFill="1" applyBorder="1" applyAlignment="1">
      <alignment horizontal="center"/>
    </xf>
    <xf numFmtId="2" fontId="67" fillId="33" borderId="58" xfId="37" applyNumberFormat="1" applyFont="1" applyFill="1" applyBorder="1" applyAlignment="1">
      <alignment horizontal="center"/>
    </xf>
    <xf numFmtId="0" fontId="67" fillId="33" borderId="42" xfId="37" applyFont="1" applyFill="1" applyBorder="1" applyAlignment="1">
      <alignment horizontal="left"/>
    </xf>
    <xf numFmtId="2" fontId="64" fillId="33" borderId="43" xfId="37" applyNumberFormat="1" applyFont="1" applyFill="1" applyBorder="1" applyAlignment="1">
      <alignment horizontal="center" vertical="center"/>
    </xf>
    <xf numFmtId="2" fontId="64" fillId="33" borderId="58" xfId="37" applyNumberFormat="1" applyFont="1" applyFill="1" applyBorder="1" applyAlignment="1">
      <alignment horizontal="center" vertical="center"/>
    </xf>
    <xf numFmtId="2" fontId="67" fillId="33" borderId="43" xfId="37" applyNumberFormat="1" applyFont="1" applyFill="1" applyBorder="1" applyAlignment="1">
      <alignment horizontal="center" vertical="center"/>
    </xf>
    <xf numFmtId="2" fontId="67" fillId="33" borderId="58" xfId="37" applyNumberFormat="1" applyFont="1" applyFill="1" applyBorder="1" applyAlignment="1">
      <alignment horizontal="center" vertical="center"/>
    </xf>
    <xf numFmtId="0" fontId="107" fillId="24" borderId="85" xfId="0" applyFont="1" applyFill="1" applyBorder="1" applyAlignment="1">
      <alignment horizontal="center"/>
    </xf>
    <xf numFmtId="0" fontId="107" fillId="24" borderId="43" xfId="0" applyFont="1" applyFill="1" applyBorder="1" applyAlignment="1">
      <alignment horizontal="center"/>
    </xf>
    <xf numFmtId="0" fontId="107" fillId="24" borderId="58" xfId="0" applyFont="1" applyFill="1" applyBorder="1" applyAlignment="1">
      <alignment horizontal="center"/>
    </xf>
    <xf numFmtId="0" fontId="82" fillId="25" borderId="85" xfId="37" applyFont="1" applyFill="1" applyBorder="1" applyAlignment="1">
      <alignment horizontal="right" vertical="center"/>
    </xf>
    <xf numFmtId="0" fontId="82" fillId="25" borderId="43" xfId="37" applyFont="1" applyFill="1" applyBorder="1" applyAlignment="1">
      <alignment horizontal="right" vertical="center"/>
    </xf>
    <xf numFmtId="166" fontId="63" fillId="33" borderId="45" xfId="37" applyNumberFormat="1" applyFont="1" applyFill="1" applyBorder="1" applyAlignment="1">
      <alignment horizontal="center" vertical="center"/>
    </xf>
    <xf numFmtId="166" fontId="63" fillId="33" borderId="184" xfId="37" applyNumberFormat="1" applyFont="1" applyFill="1" applyBorder="1" applyAlignment="1">
      <alignment horizontal="center" vertical="center"/>
    </xf>
    <xf numFmtId="166" fontId="63" fillId="33" borderId="270" xfId="37" applyNumberFormat="1" applyFont="1" applyFill="1" applyBorder="1" applyAlignment="1">
      <alignment horizontal="center" vertical="center"/>
    </xf>
    <xf numFmtId="2" fontId="67" fillId="33" borderId="46" xfId="37" applyNumberFormat="1" applyFont="1" applyFill="1" applyBorder="1" applyAlignment="1">
      <alignment horizontal="center"/>
    </xf>
    <xf numFmtId="2" fontId="66" fillId="33" borderId="46" xfId="37" applyNumberFormat="1" applyFont="1" applyFill="1" applyBorder="1" applyAlignment="1">
      <alignment horizontal="center"/>
    </xf>
    <xf numFmtId="2" fontId="66" fillId="33" borderId="58" xfId="37" applyNumberFormat="1" applyFont="1" applyFill="1" applyBorder="1" applyAlignment="1">
      <alignment horizontal="center"/>
    </xf>
    <xf numFmtId="2" fontId="64" fillId="33" borderId="255" xfId="37" applyNumberFormat="1" applyFont="1" applyFill="1" applyBorder="1" applyAlignment="1">
      <alignment horizontal="center"/>
    </xf>
    <xf numFmtId="2" fontId="64" fillId="33" borderId="291" xfId="37" applyNumberFormat="1" applyFont="1" applyFill="1" applyBorder="1" applyAlignment="1">
      <alignment horizontal="center"/>
    </xf>
    <xf numFmtId="2" fontId="67" fillId="33" borderId="87" xfId="37" applyNumberFormat="1" applyFont="1" applyFill="1" applyBorder="1" applyAlignment="1">
      <alignment horizontal="center"/>
    </xf>
    <xf numFmtId="2" fontId="67" fillId="33" borderId="78" xfId="37" applyNumberFormat="1" applyFont="1" applyFill="1" applyBorder="1" applyAlignment="1">
      <alignment horizontal="center"/>
    </xf>
    <xf numFmtId="0" fontId="85" fillId="33" borderId="0" xfId="0" applyFont="1" applyFill="1" applyAlignment="1">
      <alignment horizontal="center" vertical="center"/>
    </xf>
    <xf numFmtId="0" fontId="128" fillId="24" borderId="124" xfId="0" applyFont="1" applyFill="1" applyBorder="1" applyAlignment="1">
      <alignment horizontal="center" vertical="center"/>
    </xf>
    <xf numFmtId="0" fontId="128" fillId="24" borderId="125" xfId="0" applyFont="1" applyFill="1" applyBorder="1" applyAlignment="1">
      <alignment horizontal="center" vertical="center"/>
    </xf>
    <xf numFmtId="0" fontId="128" fillId="24" borderId="126" xfId="0" applyFont="1" applyFill="1" applyBorder="1" applyAlignment="1">
      <alignment horizontal="center" vertical="center"/>
    </xf>
    <xf numFmtId="0" fontId="128" fillId="24" borderId="127" xfId="0" applyFont="1" applyFill="1" applyBorder="1" applyAlignment="1">
      <alignment horizontal="center" vertical="center"/>
    </xf>
    <xf numFmtId="0" fontId="128" fillId="24" borderId="0" xfId="0" applyFont="1" applyFill="1" applyAlignment="1">
      <alignment horizontal="center" vertical="center"/>
    </xf>
    <xf numFmtId="0" fontId="128" fillId="24" borderId="86" xfId="0" applyFont="1" applyFill="1" applyBorder="1" applyAlignment="1">
      <alignment horizontal="center" vertical="center"/>
    </xf>
    <xf numFmtId="0" fontId="66" fillId="46" borderId="0" xfId="0" applyFont="1" applyFill="1" applyAlignment="1">
      <alignment horizontal="center" vertical="center"/>
    </xf>
    <xf numFmtId="0" fontId="83" fillId="24" borderId="257" xfId="0" applyFont="1" applyFill="1" applyBorder="1" applyAlignment="1">
      <alignment horizontal="center" vertical="center"/>
    </xf>
    <xf numFmtId="0" fontId="83" fillId="24" borderId="259" xfId="0" applyFont="1" applyFill="1" applyBorder="1" applyAlignment="1">
      <alignment horizontal="center" vertical="center"/>
    </xf>
    <xf numFmtId="0" fontId="90" fillId="24" borderId="252" xfId="0" applyFont="1" applyFill="1" applyBorder="1" applyAlignment="1">
      <alignment horizontal="center" vertical="center"/>
    </xf>
    <xf numFmtId="0" fontId="90" fillId="24" borderId="256" xfId="0" applyFont="1" applyFill="1" applyBorder="1" applyAlignment="1">
      <alignment horizontal="center" vertical="center"/>
    </xf>
    <xf numFmtId="2" fontId="72" fillId="30" borderId="258" xfId="37" applyNumberFormat="1" applyFont="1" applyFill="1" applyBorder="1" applyAlignment="1">
      <alignment horizontal="center"/>
    </xf>
    <xf numFmtId="2" fontId="72" fillId="30" borderId="292" xfId="37" applyNumberFormat="1" applyFont="1" applyFill="1" applyBorder="1" applyAlignment="1">
      <alignment horizontal="center"/>
    </xf>
    <xf numFmtId="0" fontId="105" fillId="24" borderId="252" xfId="0" applyFont="1" applyFill="1" applyBorder="1" applyAlignment="1">
      <alignment horizontal="center" vertical="center"/>
    </xf>
    <xf numFmtId="0" fontId="105" fillId="24" borderId="256" xfId="0" applyFont="1" applyFill="1" applyBorder="1" applyAlignment="1">
      <alignment horizontal="center" vertical="center"/>
    </xf>
    <xf numFmtId="164" fontId="72" fillId="30" borderId="260" xfId="37" applyNumberFormat="1" applyFont="1" applyFill="1" applyBorder="1" applyAlignment="1">
      <alignment horizontal="center"/>
    </xf>
    <xf numFmtId="164" fontId="72" fillId="30" borderId="293" xfId="37" applyNumberFormat="1" applyFont="1" applyFill="1" applyBorder="1" applyAlignment="1">
      <alignment horizontal="center"/>
    </xf>
    <xf numFmtId="0" fontId="72" fillId="24" borderId="61" xfId="37" applyFont="1" applyFill="1" applyBorder="1" applyAlignment="1">
      <alignment horizontal="center" vertical="center"/>
    </xf>
    <xf numFmtId="0" fontId="72" fillId="24" borderId="99" xfId="37" applyFont="1" applyFill="1" applyBorder="1" applyAlignment="1">
      <alignment horizontal="center" vertical="center"/>
    </xf>
    <xf numFmtId="0" fontId="140" fillId="24" borderId="48" xfId="37" applyFont="1" applyFill="1" applyBorder="1" applyAlignment="1">
      <alignment horizontal="center" vertical="center"/>
    </xf>
    <xf numFmtId="0" fontId="140" fillId="24" borderId="78" xfId="37" applyFont="1" applyFill="1" applyBorder="1" applyAlignment="1">
      <alignment horizontal="center" vertical="center"/>
    </xf>
    <xf numFmtId="0" fontId="66" fillId="33" borderId="42" xfId="37" applyFont="1" applyFill="1" applyBorder="1" applyAlignment="1">
      <alignment horizontal="center" vertical="center"/>
    </xf>
    <xf numFmtId="2" fontId="65" fillId="33" borderId="51" xfId="37" applyNumberFormat="1" applyFont="1" applyFill="1" applyBorder="1" applyAlignment="1">
      <alignment horizontal="center" vertical="center"/>
    </xf>
    <xf numFmtId="2" fontId="65" fillId="33" borderId="62" xfId="37" applyNumberFormat="1" applyFont="1" applyFill="1" applyBorder="1" applyAlignment="1">
      <alignment horizontal="center" vertical="center"/>
    </xf>
    <xf numFmtId="2" fontId="72" fillId="26" borderId="258" xfId="37" applyNumberFormat="1" applyFont="1" applyFill="1" applyBorder="1" applyAlignment="1">
      <alignment horizontal="center"/>
    </xf>
    <xf numFmtId="2" fontId="72" fillId="26" borderId="292" xfId="37" applyNumberFormat="1" applyFont="1" applyFill="1" applyBorder="1" applyAlignment="1">
      <alignment horizontal="center"/>
    </xf>
    <xf numFmtId="164" fontId="72" fillId="26" borderId="260" xfId="37" applyNumberFormat="1" applyFont="1" applyFill="1" applyBorder="1" applyAlignment="1">
      <alignment horizontal="center"/>
    </xf>
    <xf numFmtId="164" fontId="72" fillId="26" borderId="293" xfId="37" applyNumberFormat="1" applyFont="1" applyFill="1" applyBorder="1" applyAlignment="1">
      <alignment horizontal="center"/>
    </xf>
    <xf numFmtId="0" fontId="90" fillId="24" borderId="88" xfId="0" applyFont="1" applyFill="1" applyBorder="1" applyAlignment="1">
      <alignment horizontal="center" vertical="center"/>
    </xf>
    <xf numFmtId="0" fontId="90" fillId="24" borderId="87" xfId="0" applyFont="1" applyFill="1" applyBorder="1" applyAlignment="1">
      <alignment horizontal="center" vertical="center"/>
    </xf>
    <xf numFmtId="166" fontId="72" fillId="24" borderId="45" xfId="0" applyNumberFormat="1" applyFont="1" applyFill="1" applyBorder="1" applyAlignment="1">
      <alignment horizontal="center" vertical="center"/>
    </xf>
    <xf numFmtId="166" fontId="72" fillId="24" borderId="184" xfId="0" applyNumberFormat="1" applyFont="1" applyFill="1" applyBorder="1" applyAlignment="1">
      <alignment horizontal="center" vertical="center"/>
    </xf>
    <xf numFmtId="166" fontId="73" fillId="24" borderId="45" xfId="0" applyNumberFormat="1" applyFont="1" applyFill="1" applyBorder="1" applyAlignment="1">
      <alignment horizontal="center" vertical="center"/>
    </xf>
    <xf numFmtId="166" fontId="73" fillId="24" borderId="184" xfId="0" applyNumberFormat="1" applyFont="1" applyFill="1" applyBorder="1" applyAlignment="1">
      <alignment horizontal="center" vertical="center"/>
    </xf>
    <xf numFmtId="166" fontId="72" fillId="26" borderId="204" xfId="0" applyNumberFormat="1" applyFont="1" applyFill="1" applyBorder="1" applyAlignment="1">
      <alignment horizontal="center" vertical="center"/>
    </xf>
    <xf numFmtId="166" fontId="72" fillId="26" borderId="274" xfId="0" applyNumberFormat="1" applyFont="1" applyFill="1" applyBorder="1" applyAlignment="1">
      <alignment horizontal="center" vertical="center"/>
    </xf>
    <xf numFmtId="166" fontId="73" fillId="26" borderId="204" xfId="0" applyNumberFormat="1" applyFont="1" applyFill="1" applyBorder="1" applyAlignment="1">
      <alignment horizontal="center" vertical="center"/>
    </xf>
    <xf numFmtId="166" fontId="73" fillId="26" borderId="274" xfId="0" applyNumberFormat="1" applyFont="1" applyFill="1" applyBorder="1" applyAlignment="1">
      <alignment horizontal="center" vertical="center"/>
    </xf>
    <xf numFmtId="166" fontId="82" fillId="25" borderId="45" xfId="37" applyNumberFormat="1" applyFont="1" applyFill="1" applyBorder="1" applyAlignment="1">
      <alignment horizontal="center" vertical="center"/>
    </xf>
    <xf numFmtId="166" fontId="82" fillId="25" borderId="184" xfId="37" applyNumberFormat="1" applyFont="1" applyFill="1" applyBorder="1" applyAlignment="1">
      <alignment horizontal="center" vertical="center"/>
    </xf>
    <xf numFmtId="166" fontId="82" fillId="25" borderId="270" xfId="37" applyNumberFormat="1" applyFont="1" applyFill="1" applyBorder="1" applyAlignment="1">
      <alignment horizontal="center" vertical="center"/>
    </xf>
    <xf numFmtId="0" fontId="72" fillId="37" borderId="85" xfId="37" applyFont="1" applyFill="1" applyBorder="1" applyAlignment="1">
      <alignment horizontal="right" vertical="center"/>
    </xf>
    <xf numFmtId="0" fontId="72" fillId="37" borderId="43" xfId="37" applyFont="1" applyFill="1" applyBorder="1" applyAlignment="1">
      <alignment horizontal="right" vertical="center"/>
    </xf>
    <xf numFmtId="0" fontId="72" fillId="26" borderId="57" xfId="37" applyFont="1" applyFill="1" applyBorder="1" applyAlignment="1">
      <alignment horizontal="right" vertical="center"/>
    </xf>
    <xf numFmtId="0" fontId="72" fillId="26" borderId="47" xfId="37" applyFont="1" applyFill="1" applyBorder="1" applyAlignment="1">
      <alignment horizontal="right" vertical="center"/>
    </xf>
    <xf numFmtId="166" fontId="72" fillId="37" borderId="45" xfId="37" applyNumberFormat="1" applyFont="1" applyFill="1" applyBorder="1" applyAlignment="1">
      <alignment horizontal="center" vertical="center"/>
    </xf>
    <xf numFmtId="166" fontId="72" fillId="37" borderId="184" xfId="37" applyNumberFormat="1" applyFont="1" applyFill="1" applyBorder="1" applyAlignment="1">
      <alignment horizontal="center" vertical="center"/>
    </xf>
    <xf numFmtId="166" fontId="72" fillId="37" borderId="270" xfId="37" applyNumberFormat="1" applyFont="1" applyFill="1" applyBorder="1" applyAlignment="1">
      <alignment horizontal="center" vertical="center"/>
    </xf>
    <xf numFmtId="166" fontId="72" fillId="26" borderId="68" xfId="37" applyNumberFormat="1" applyFont="1" applyFill="1" applyBorder="1" applyAlignment="1">
      <alignment horizontal="center" vertical="center"/>
    </xf>
    <xf numFmtId="166" fontId="72" fillId="26" borderId="185" xfId="37" applyNumberFormat="1" applyFont="1" applyFill="1" applyBorder="1" applyAlignment="1">
      <alignment horizontal="center" vertical="center"/>
    </xf>
    <xf numFmtId="166" fontId="72" fillId="26" borderId="269" xfId="37" applyNumberFormat="1" applyFont="1" applyFill="1" applyBorder="1" applyAlignment="1">
      <alignment horizontal="center" vertical="center"/>
    </xf>
    <xf numFmtId="166" fontId="53" fillId="24" borderId="266" xfId="0" applyNumberFormat="1" applyFont="1" applyFill="1" applyBorder="1" applyAlignment="1">
      <alignment horizontal="center" vertical="center"/>
    </xf>
    <xf numFmtId="166" fontId="53" fillId="24" borderId="267" xfId="0" applyNumberFormat="1" applyFont="1" applyFill="1" applyBorder="1" applyAlignment="1">
      <alignment horizontal="center" vertical="center"/>
    </xf>
    <xf numFmtId="166" fontId="53" fillId="24" borderId="268" xfId="0" applyNumberFormat="1" applyFont="1" applyFill="1" applyBorder="1" applyAlignment="1">
      <alignment horizontal="center" vertical="center"/>
    </xf>
    <xf numFmtId="166" fontId="141" fillId="24" borderId="45" xfId="0" applyNumberFormat="1" applyFont="1" applyFill="1" applyBorder="1" applyAlignment="1">
      <alignment horizontal="center" vertical="center"/>
    </xf>
    <xf numFmtId="166" fontId="141" fillId="24" borderId="184" xfId="0" applyNumberFormat="1" applyFont="1" applyFill="1" applyBorder="1" applyAlignment="1">
      <alignment horizontal="center" vertical="center"/>
    </xf>
    <xf numFmtId="166" fontId="54" fillId="24" borderId="68" xfId="0" applyNumberFormat="1" applyFont="1" applyFill="1" applyBorder="1" applyAlignment="1">
      <alignment horizontal="center" vertical="center"/>
    </xf>
    <xf numFmtId="166" fontId="54" fillId="24" borderId="66" xfId="0" applyNumberFormat="1" applyFont="1" applyFill="1" applyBorder="1" applyAlignment="1">
      <alignment horizontal="center" vertical="center"/>
    </xf>
    <xf numFmtId="166" fontId="141" fillId="26" borderId="204" xfId="0" applyNumberFormat="1" applyFont="1" applyFill="1" applyBorder="1" applyAlignment="1">
      <alignment horizontal="center" vertical="center"/>
    </xf>
    <xf numFmtId="166" fontId="141" fillId="26" borderId="274" xfId="0" applyNumberFormat="1" applyFont="1" applyFill="1" applyBorder="1" applyAlignment="1">
      <alignment horizontal="center" vertical="center"/>
    </xf>
    <xf numFmtId="166" fontId="54" fillId="24" borderId="75" xfId="0" applyNumberFormat="1" applyFont="1" applyFill="1" applyBorder="1" applyAlignment="1">
      <alignment horizontal="center" vertical="center"/>
    </xf>
    <xf numFmtId="166" fontId="54" fillId="24" borderId="73" xfId="0" applyNumberFormat="1" applyFont="1" applyFill="1" applyBorder="1" applyAlignment="1">
      <alignment horizontal="center" vertical="center"/>
    </xf>
    <xf numFmtId="166" fontId="63" fillId="33" borderId="68" xfId="37" applyNumberFormat="1" applyFont="1" applyFill="1" applyBorder="1" applyAlignment="1">
      <alignment horizontal="center" vertical="center"/>
    </xf>
    <xf numFmtId="166" fontId="63" fillId="33" borderId="185" xfId="37" applyNumberFormat="1" applyFont="1" applyFill="1" applyBorder="1" applyAlignment="1">
      <alignment horizontal="center" vertical="center"/>
    </xf>
    <xf numFmtId="166" fontId="63" fillId="33" borderId="269" xfId="37" applyNumberFormat="1" applyFont="1" applyFill="1" applyBorder="1" applyAlignment="1">
      <alignment horizontal="center" vertical="center"/>
    </xf>
    <xf numFmtId="2" fontId="133" fillId="24" borderId="46" xfId="37" applyNumberFormat="1" applyFont="1" applyFill="1" applyBorder="1" applyAlignment="1">
      <alignment horizontal="center"/>
    </xf>
    <xf numFmtId="2" fontId="133" fillId="24" borderId="58" xfId="37" applyNumberFormat="1" applyFont="1" applyFill="1" applyBorder="1" applyAlignment="1">
      <alignment horizontal="center"/>
    </xf>
    <xf numFmtId="2" fontId="54" fillId="24" borderId="43" xfId="37" applyNumberFormat="1" applyFont="1" applyFill="1" applyBorder="1" applyAlignment="1">
      <alignment horizontal="center"/>
    </xf>
    <xf numFmtId="2" fontId="54" fillId="24" borderId="58" xfId="37" applyNumberFormat="1" applyFont="1" applyFill="1" applyBorder="1" applyAlignment="1">
      <alignment horizontal="center"/>
    </xf>
    <xf numFmtId="2" fontId="136" fillId="26" borderId="255" xfId="37" applyNumberFormat="1" applyFont="1" applyFill="1" applyBorder="1" applyAlignment="1">
      <alignment horizontal="center"/>
    </xf>
    <xf numFmtId="2" fontId="136" fillId="26" borderId="291" xfId="37" applyNumberFormat="1" applyFont="1" applyFill="1" applyBorder="1" applyAlignment="1">
      <alignment horizontal="center"/>
    </xf>
    <xf numFmtId="2" fontId="65" fillId="39" borderId="51" xfId="37" applyNumberFormat="1" applyFont="1" applyFill="1" applyBorder="1" applyAlignment="1">
      <alignment horizontal="center" vertical="center"/>
    </xf>
    <xf numFmtId="2" fontId="65" fillId="39" borderId="62" xfId="37" applyNumberFormat="1" applyFont="1" applyFill="1" applyBorder="1" applyAlignment="1">
      <alignment horizontal="center" vertical="center"/>
    </xf>
    <xf numFmtId="2" fontId="132" fillId="24" borderId="46" xfId="37" applyNumberFormat="1" applyFont="1" applyFill="1" applyBorder="1" applyAlignment="1">
      <alignment horizontal="center"/>
    </xf>
    <xf numFmtId="2" fontId="132" fillId="24" borderId="58" xfId="37" applyNumberFormat="1" applyFont="1" applyFill="1" applyBorder="1" applyAlignment="1">
      <alignment horizontal="center"/>
    </xf>
    <xf numFmtId="2" fontId="133" fillId="24" borderId="87" xfId="37" applyNumberFormat="1" applyFont="1" applyFill="1" applyBorder="1" applyAlignment="1">
      <alignment horizontal="center"/>
    </xf>
    <xf numFmtId="2" fontId="133" fillId="24" borderId="78" xfId="37" applyNumberFormat="1" applyFont="1" applyFill="1" applyBorder="1" applyAlignment="1">
      <alignment horizontal="center"/>
    </xf>
    <xf numFmtId="2" fontId="54" fillId="24" borderId="43" xfId="37" applyNumberFormat="1" applyFont="1" applyFill="1" applyBorder="1" applyAlignment="1">
      <alignment horizontal="center" vertical="center"/>
    </xf>
    <xf numFmtId="2" fontId="54" fillId="24" borderId="58" xfId="37" applyNumberFormat="1" applyFont="1" applyFill="1" applyBorder="1" applyAlignment="1">
      <alignment horizontal="center" vertical="center"/>
    </xf>
    <xf numFmtId="2" fontId="58" fillId="26" borderId="43" xfId="37" applyNumberFormat="1" applyFont="1" applyFill="1" applyBorder="1" applyAlignment="1">
      <alignment horizontal="center" vertical="center"/>
    </xf>
    <xf numFmtId="2" fontId="58" fillId="26" borderId="58" xfId="37" applyNumberFormat="1" applyFont="1" applyFill="1" applyBorder="1" applyAlignment="1">
      <alignment horizontal="center" vertical="center"/>
    </xf>
    <xf numFmtId="0" fontId="69" fillId="40" borderId="43" xfId="0" applyFont="1" applyFill="1" applyBorder="1" applyAlignment="1">
      <alignment horizontal="center"/>
    </xf>
    <xf numFmtId="0" fontId="69" fillId="40" borderId="58" xfId="0" applyFont="1" applyFill="1" applyBorder="1" applyAlignment="1">
      <alignment horizontal="center"/>
    </xf>
    <xf numFmtId="0" fontId="66" fillId="47" borderId="105" xfId="0" applyFont="1" applyFill="1" applyBorder="1" applyAlignment="1">
      <alignment horizontal="center" vertical="center"/>
    </xf>
    <xf numFmtId="0" fontId="66" fillId="47" borderId="101" xfId="0" applyFont="1" applyFill="1" applyBorder="1" applyAlignment="1">
      <alignment horizontal="center" vertical="center"/>
    </xf>
    <xf numFmtId="0" fontId="69" fillId="40" borderId="48" xfId="0" applyFont="1" applyFill="1" applyBorder="1" applyAlignment="1">
      <alignment horizontal="center" vertical="center"/>
    </xf>
    <xf numFmtId="0" fontId="69" fillId="40" borderId="48" xfId="0" applyFont="1" applyFill="1" applyBorder="1" applyAlignment="1">
      <alignment horizontal="center"/>
    </xf>
    <xf numFmtId="0" fontId="69" fillId="40" borderId="43" xfId="0" applyFont="1" applyFill="1" applyBorder="1" applyAlignment="1">
      <alignment horizontal="center" vertical="center" wrapText="1"/>
    </xf>
    <xf numFmtId="0" fontId="69" fillId="40" borderId="113" xfId="0" applyFont="1" applyFill="1" applyBorder="1" applyAlignment="1">
      <alignment horizontal="center" vertical="center"/>
    </xf>
    <xf numFmtId="0" fontId="69" fillId="40" borderId="53" xfId="0" applyFont="1" applyFill="1" applyBorder="1" applyAlignment="1">
      <alignment horizontal="center" vertical="center"/>
    </xf>
    <xf numFmtId="2" fontId="67" fillId="47" borderId="46" xfId="0" applyNumberFormat="1" applyFont="1" applyFill="1" applyBorder="1" applyAlignment="1">
      <alignment horizontal="center" vertical="center"/>
    </xf>
    <xf numFmtId="2" fontId="67" fillId="47" borderId="43" xfId="0" applyNumberFormat="1" applyFont="1" applyFill="1" applyBorder="1" applyAlignment="1">
      <alignment horizontal="center" vertical="center"/>
    </xf>
    <xf numFmtId="0" fontId="49" fillId="24" borderId="0" xfId="0" applyFont="1" applyFill="1" applyAlignment="1">
      <alignment horizontal="center" vertical="center"/>
    </xf>
    <xf numFmtId="0" fontId="48" fillId="24" borderId="0" xfId="0" applyFont="1" applyFill="1" applyAlignment="1">
      <alignment horizontal="center" vertical="center"/>
    </xf>
    <xf numFmtId="0" fontId="66" fillId="47" borderId="132" xfId="0" applyFont="1" applyFill="1" applyBorder="1" applyAlignment="1">
      <alignment horizontal="center" vertical="center" wrapText="1"/>
    </xf>
    <xf numFmtId="0" fontId="66" fillId="47" borderId="133" xfId="0" applyFont="1" applyFill="1" applyBorder="1" applyAlignment="1">
      <alignment horizontal="center" vertical="center" wrapText="1"/>
    </xf>
    <xf numFmtId="0" fontId="66" fillId="47" borderId="107" xfId="0" applyFont="1" applyFill="1" applyBorder="1" applyAlignment="1">
      <alignment horizontal="center" vertical="center" wrapText="1"/>
    </xf>
    <xf numFmtId="0" fontId="66" fillId="47" borderId="108" xfId="0" applyFont="1" applyFill="1" applyBorder="1" applyAlignment="1">
      <alignment horizontal="center" vertical="center" wrapText="1"/>
    </xf>
    <xf numFmtId="0" fontId="64" fillId="47" borderId="142" xfId="43" applyFont="1" applyFill="1" applyBorder="1" applyAlignment="1">
      <alignment horizontal="center" vertical="center"/>
    </xf>
    <xf numFmtId="0" fontId="64" fillId="47" borderId="182" xfId="43" applyFont="1" applyFill="1" applyBorder="1" applyAlignment="1">
      <alignment horizontal="center" vertical="center"/>
    </xf>
    <xf numFmtId="0" fontId="58" fillId="24" borderId="142" xfId="43" applyFont="1" applyFill="1" applyBorder="1" applyAlignment="1">
      <alignment horizontal="center" vertical="center" wrapText="1"/>
    </xf>
    <xf numFmtId="0" fontId="58" fillId="24" borderId="112" xfId="43" applyFont="1" applyFill="1" applyBorder="1" applyAlignment="1">
      <alignment horizontal="center" vertical="center" wrapText="1"/>
    </xf>
    <xf numFmtId="0" fontId="64" fillId="47" borderId="142" xfId="43" applyFont="1" applyFill="1" applyBorder="1" applyAlignment="1">
      <alignment horizontal="center" vertical="center" wrapText="1"/>
    </xf>
    <xf numFmtId="0" fontId="64" fillId="47" borderId="112" xfId="43" applyFont="1" applyFill="1" applyBorder="1" applyAlignment="1">
      <alignment horizontal="center" vertical="center" wrapText="1"/>
    </xf>
    <xf numFmtId="0" fontId="64" fillId="47" borderId="148" xfId="43" applyFont="1" applyFill="1" applyBorder="1" applyAlignment="1">
      <alignment horizontal="center" vertical="center" wrapText="1"/>
    </xf>
    <xf numFmtId="0" fontId="64" fillId="47" borderId="129" xfId="43" applyFont="1" applyFill="1" applyBorder="1" applyAlignment="1">
      <alignment horizontal="center" vertical="center" wrapText="1"/>
    </xf>
    <xf numFmtId="0" fontId="69" fillId="47" borderId="132" xfId="43" applyFont="1" applyFill="1" applyBorder="1" applyAlignment="1">
      <alignment horizontal="center" vertical="center" wrapText="1"/>
    </xf>
    <xf numFmtId="0" fontId="69" fillId="47" borderId="133" xfId="43" applyFont="1" applyFill="1" applyBorder="1" applyAlignment="1">
      <alignment horizontal="center" vertical="center" wrapText="1"/>
    </xf>
    <xf numFmtId="0" fontId="69" fillId="47" borderId="133" xfId="43" applyFont="1" applyFill="1" applyBorder="1" applyAlignment="1">
      <alignment horizontal="center" vertical="center"/>
    </xf>
    <xf numFmtId="0" fontId="64" fillId="47" borderId="133" xfId="43" applyFont="1" applyFill="1" applyBorder="1" applyAlignment="1">
      <alignment horizontal="center" vertical="center" wrapText="1"/>
    </xf>
    <xf numFmtId="0" fontId="69" fillId="25" borderId="133" xfId="43" applyFont="1" applyFill="1" applyBorder="1" applyAlignment="1">
      <alignment horizontal="center" vertical="center" wrapText="1"/>
    </xf>
    <xf numFmtId="0" fontId="69" fillId="25" borderId="142" xfId="43" applyFont="1" applyFill="1" applyBorder="1" applyAlignment="1">
      <alignment horizontal="center" vertical="center" wrapText="1"/>
    </xf>
    <xf numFmtId="0" fontId="70" fillId="37" borderId="133" xfId="43" applyFont="1" applyFill="1" applyBorder="1" applyAlignment="1">
      <alignment horizontal="center" vertical="center"/>
    </xf>
    <xf numFmtId="0" fontId="70" fillId="37" borderId="142" xfId="43" applyFont="1" applyFill="1" applyBorder="1" applyAlignment="1">
      <alignment horizontal="center" vertical="center"/>
    </xf>
    <xf numFmtId="0" fontId="70" fillId="27" borderId="133" xfId="43" applyFont="1" applyFill="1" applyBorder="1" applyAlignment="1">
      <alignment horizontal="center" vertical="center"/>
    </xf>
    <xf numFmtId="0" fontId="70" fillId="27" borderId="142" xfId="43" applyFont="1" applyFill="1" applyBorder="1" applyAlignment="1">
      <alignment horizontal="center" vertical="center"/>
    </xf>
    <xf numFmtId="0" fontId="74" fillId="24" borderId="117" xfId="0" applyFont="1" applyFill="1" applyBorder="1" applyAlignment="1">
      <alignment horizontal="center" vertical="center"/>
    </xf>
    <xf numFmtId="0" fontId="74" fillId="24" borderId="118" xfId="0" applyFont="1" applyFill="1" applyBorder="1" applyAlignment="1">
      <alignment horizontal="center" vertical="center"/>
    </xf>
    <xf numFmtId="0" fontId="74" fillId="24" borderId="119" xfId="0" applyFont="1" applyFill="1" applyBorder="1" applyAlignment="1">
      <alignment horizontal="center" vertical="center"/>
    </xf>
    <xf numFmtId="0" fontId="74" fillId="24" borderId="121" xfId="0" applyFont="1" applyFill="1" applyBorder="1" applyAlignment="1">
      <alignment horizontal="center" vertical="center"/>
    </xf>
    <xf numFmtId="0" fontId="74" fillId="24" borderId="122" xfId="0" applyFont="1" applyFill="1" applyBorder="1" applyAlignment="1">
      <alignment horizontal="center" vertical="center"/>
    </xf>
    <xf numFmtId="0" fontId="74" fillId="24" borderId="123" xfId="0" applyFont="1" applyFill="1" applyBorder="1" applyAlignment="1">
      <alignment horizontal="center" vertical="center"/>
    </xf>
    <xf numFmtId="0" fontId="64" fillId="47" borderId="154" xfId="43" applyFont="1" applyFill="1" applyBorder="1" applyAlignment="1">
      <alignment horizontal="center" vertical="center"/>
    </xf>
    <xf numFmtId="0" fontId="64" fillId="47" borderId="179" xfId="43" applyFont="1" applyFill="1" applyBorder="1" applyAlignment="1">
      <alignment horizontal="center" vertical="center"/>
    </xf>
    <xf numFmtId="0" fontId="64" fillId="47" borderId="180" xfId="43" applyFont="1" applyFill="1" applyBorder="1" applyAlignment="1">
      <alignment horizontal="center" vertical="center"/>
    </xf>
    <xf numFmtId="0" fontId="64" fillId="47" borderId="131" xfId="43" applyFont="1" applyFill="1" applyBorder="1" applyAlignment="1">
      <alignment horizontal="center" vertical="center"/>
    </xf>
    <xf numFmtId="0" fontId="64" fillId="47" borderId="122" xfId="43" applyFont="1" applyFill="1" applyBorder="1" applyAlignment="1">
      <alignment horizontal="center" vertical="center"/>
    </xf>
    <xf numFmtId="0" fontId="64" fillId="47" borderId="181" xfId="43" applyFont="1" applyFill="1" applyBorder="1" applyAlignment="1">
      <alignment horizontal="center" vertical="center"/>
    </xf>
    <xf numFmtId="0" fontId="64" fillId="47" borderId="183" xfId="43" applyFont="1" applyFill="1" applyBorder="1" applyAlignment="1">
      <alignment horizontal="center" vertical="center"/>
    </xf>
    <xf numFmtId="0" fontId="64" fillId="47" borderId="123" xfId="43" applyFont="1" applyFill="1" applyBorder="1" applyAlignment="1">
      <alignment horizontal="center" vertical="center"/>
    </xf>
    <xf numFmtId="0" fontId="43" fillId="28" borderId="14" xfId="0" applyFont="1" applyFill="1" applyBorder="1" applyAlignment="1">
      <alignment horizontal="center"/>
    </xf>
    <xf numFmtId="0" fontId="31" fillId="26" borderId="10" xfId="0" applyFont="1" applyFill="1" applyBorder="1" applyAlignment="1">
      <alignment horizontal="center" vertical="center" wrapText="1"/>
    </xf>
    <xf numFmtId="0" fontId="31" fillId="26" borderId="10" xfId="0" applyFont="1" applyFill="1" applyBorder="1" applyAlignment="1">
      <alignment horizontal="center"/>
    </xf>
    <xf numFmtId="0" fontId="31" fillId="28" borderId="14" xfId="0" applyFont="1" applyFill="1" applyBorder="1" applyAlignment="1">
      <alignment horizontal="center" vertical="center"/>
    </xf>
    <xf numFmtId="0" fontId="37" fillId="47" borderId="0" xfId="0" applyFont="1" applyFill="1" applyAlignment="1">
      <alignment horizontal="center"/>
    </xf>
    <xf numFmtId="0" fontId="40" fillId="26" borderId="40" xfId="0" applyFont="1" applyFill="1" applyBorder="1" applyAlignment="1">
      <alignment horizontal="center" vertical="center"/>
    </xf>
    <xf numFmtId="0" fontId="27" fillId="26" borderId="40" xfId="0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/>
    </xf>
    <xf numFmtId="0" fontId="36" fillId="29" borderId="10" xfId="0" applyFont="1" applyFill="1" applyBorder="1" applyAlignment="1">
      <alignment horizontal="center"/>
    </xf>
    <xf numFmtId="0" fontId="22" fillId="29" borderId="10" xfId="0" applyFont="1" applyFill="1" applyBorder="1" applyAlignment="1">
      <alignment horizontal="center" vertical="center"/>
    </xf>
    <xf numFmtId="166" fontId="63" fillId="30" borderId="50" xfId="0" applyNumberFormat="1" applyFont="1" applyFill="1" applyBorder="1" applyAlignment="1">
      <alignment horizontal="center" vertical="center"/>
    </xf>
    <xf numFmtId="166" fontId="63" fillId="30" borderId="52" xfId="0" applyNumberFormat="1" applyFont="1" applyFill="1" applyBorder="1" applyAlignment="1">
      <alignment horizontal="center" vertical="center"/>
    </xf>
    <xf numFmtId="0" fontId="54" fillId="24" borderId="85" xfId="0" applyFont="1" applyFill="1" applyBorder="1" applyAlignment="1">
      <alignment horizontal="right" vertical="center"/>
    </xf>
    <xf numFmtId="0" fontId="54" fillId="24" borderId="43" xfId="0" applyFont="1" applyFill="1" applyBorder="1" applyAlignment="1">
      <alignment horizontal="right" vertical="center"/>
    </xf>
    <xf numFmtId="166" fontId="67" fillId="33" borderId="43" xfId="0" applyNumberFormat="1" applyFont="1" applyFill="1" applyBorder="1" applyAlignment="1">
      <alignment horizontal="center" vertical="center"/>
    </xf>
    <xf numFmtId="166" fontId="67" fillId="33" borderId="58" xfId="0" applyNumberFormat="1" applyFont="1" applyFill="1" applyBorder="1" applyAlignment="1">
      <alignment horizontal="center" vertical="center"/>
    </xf>
    <xf numFmtId="0" fontId="71" fillId="24" borderId="263" xfId="0" applyFont="1" applyFill="1" applyBorder="1" applyAlignment="1">
      <alignment horizontal="center" vertical="center"/>
    </xf>
    <xf numFmtId="0" fontId="71" fillId="24" borderId="264" xfId="0" applyFont="1" applyFill="1" applyBorder="1" applyAlignment="1">
      <alignment horizontal="center" vertical="center"/>
    </xf>
    <xf numFmtId="0" fontId="71" fillId="24" borderId="265" xfId="0" applyFont="1" applyFill="1" applyBorder="1" applyAlignment="1">
      <alignment horizontal="center" vertical="center"/>
    </xf>
    <xf numFmtId="0" fontId="72" fillId="24" borderId="281" xfId="0" applyFont="1" applyFill="1" applyBorder="1" applyAlignment="1">
      <alignment horizontal="center" vertical="center"/>
    </xf>
    <xf numFmtId="0" fontId="72" fillId="24" borderId="282" xfId="0" applyFont="1" applyFill="1" applyBorder="1" applyAlignment="1">
      <alignment horizontal="center" vertical="center"/>
    </xf>
    <xf numFmtId="0" fontId="80" fillId="24" borderId="279" xfId="0" applyFont="1" applyFill="1" applyBorder="1" applyAlignment="1">
      <alignment horizontal="center" vertical="center"/>
    </xf>
    <xf numFmtId="0" fontId="80" fillId="24" borderId="280" xfId="0" applyFont="1" applyFill="1" applyBorder="1" applyAlignment="1">
      <alignment horizontal="center" vertical="center"/>
    </xf>
    <xf numFmtId="166" fontId="64" fillId="30" borderId="50" xfId="0" applyNumberFormat="1" applyFont="1" applyFill="1" applyBorder="1" applyAlignment="1">
      <alignment horizontal="center" vertical="center"/>
    </xf>
    <xf numFmtId="166" fontId="64" fillId="30" borderId="52" xfId="0" applyNumberFormat="1" applyFont="1" applyFill="1" applyBorder="1" applyAlignment="1">
      <alignment horizontal="center" vertical="center"/>
    </xf>
    <xf numFmtId="0" fontId="63" fillId="47" borderId="85" xfId="37" applyFont="1" applyFill="1" applyBorder="1" applyAlignment="1">
      <alignment horizontal="right" vertical="center"/>
    </xf>
    <xf numFmtId="0" fontId="63" fillId="47" borderId="43" xfId="37" applyFont="1" applyFill="1" applyBorder="1" applyAlignment="1">
      <alignment horizontal="right" vertical="center"/>
    </xf>
    <xf numFmtId="166" fontId="63" fillId="33" borderId="43" xfId="37" applyNumberFormat="1" applyFont="1" applyFill="1" applyBorder="1" applyAlignment="1">
      <alignment horizontal="center" vertical="center"/>
    </xf>
    <xf numFmtId="166" fontId="63" fillId="33" borderId="58" xfId="37" applyNumberFormat="1" applyFont="1" applyFill="1" applyBorder="1" applyAlignment="1">
      <alignment horizontal="center" vertical="center"/>
    </xf>
    <xf numFmtId="0" fontId="72" fillId="27" borderId="85" xfId="37" applyFont="1" applyFill="1" applyBorder="1" applyAlignment="1">
      <alignment horizontal="right" vertical="center"/>
    </xf>
    <xf numFmtId="0" fontId="72" fillId="27" borderId="43" xfId="37" applyFont="1" applyFill="1" applyBorder="1" applyAlignment="1">
      <alignment horizontal="right" vertical="center"/>
    </xf>
    <xf numFmtId="2" fontId="65" fillId="33" borderId="46" xfId="37" applyNumberFormat="1" applyFont="1" applyFill="1" applyBorder="1" applyAlignment="1">
      <alignment horizontal="center"/>
    </xf>
    <xf numFmtId="2" fontId="65" fillId="33" borderId="58" xfId="37" applyNumberFormat="1" applyFont="1" applyFill="1" applyBorder="1" applyAlignment="1">
      <alignment horizontal="center"/>
    </xf>
    <xf numFmtId="0" fontId="67" fillId="33" borderId="40" xfId="37" applyFont="1" applyFill="1" applyBorder="1" applyAlignment="1">
      <alignment horizontal="left"/>
    </xf>
    <xf numFmtId="2" fontId="64" fillId="33" borderId="290" xfId="37" applyNumberFormat="1" applyFont="1" applyFill="1" applyBorder="1" applyAlignment="1">
      <alignment horizontal="center"/>
    </xf>
    <xf numFmtId="2" fontId="65" fillId="33" borderId="87" xfId="37" applyNumberFormat="1" applyFont="1" applyFill="1" applyBorder="1" applyAlignment="1">
      <alignment horizontal="center"/>
    </xf>
    <xf numFmtId="2" fontId="65" fillId="33" borderId="78" xfId="37" applyNumberFormat="1" applyFont="1" applyFill="1" applyBorder="1" applyAlignment="1">
      <alignment horizontal="center"/>
    </xf>
    <xf numFmtId="0" fontId="90" fillId="24" borderId="281" xfId="0" applyFont="1" applyFill="1" applyBorder="1" applyAlignment="1">
      <alignment horizontal="center" vertical="center"/>
    </xf>
    <xf numFmtId="0" fontId="90" fillId="24" borderId="282" xfId="0" applyFont="1" applyFill="1" applyBorder="1" applyAlignment="1">
      <alignment horizontal="center" vertical="center"/>
    </xf>
    <xf numFmtId="166" fontId="138" fillId="24" borderId="45" xfId="0" applyNumberFormat="1" applyFont="1" applyFill="1" applyBorder="1" applyAlignment="1">
      <alignment horizontal="center" vertical="center"/>
    </xf>
    <xf numFmtId="166" fontId="138" fillId="24" borderId="184" xfId="0" applyNumberFormat="1" applyFont="1" applyFill="1" applyBorder="1" applyAlignment="1">
      <alignment horizontal="center" vertical="center"/>
    </xf>
    <xf numFmtId="0" fontId="152" fillId="33" borderId="0" xfId="0" applyFont="1" applyFill="1" applyAlignment="1">
      <alignment horizontal="center" vertical="center"/>
    </xf>
    <xf numFmtId="0" fontId="128" fillId="24" borderId="85" xfId="0" applyFont="1" applyFill="1" applyBorder="1" applyAlignment="1">
      <alignment horizontal="center" vertical="center"/>
    </xf>
    <xf numFmtId="0" fontId="128" fillId="24" borderId="43" xfId="0" applyFont="1" applyFill="1" applyBorder="1" applyAlignment="1">
      <alignment horizontal="center" vertical="center"/>
    </xf>
    <xf numFmtId="0" fontId="128" fillId="24" borderId="58" xfId="0" applyFont="1" applyFill="1" applyBorder="1" applyAlignment="1">
      <alignment horizontal="center" vertical="center"/>
    </xf>
    <xf numFmtId="0" fontId="128" fillId="24" borderId="47" xfId="0" applyFont="1" applyFill="1" applyBorder="1" applyAlignment="1">
      <alignment horizontal="center" vertical="center"/>
    </xf>
    <xf numFmtId="0" fontId="37" fillId="25" borderId="0" xfId="0" applyFont="1" applyFill="1" applyAlignment="1">
      <alignment horizontal="center" vertical="center"/>
    </xf>
    <xf numFmtId="0" fontId="83" fillId="24" borderId="85" xfId="0" applyFont="1" applyFill="1" applyBorder="1" applyAlignment="1">
      <alignment horizontal="center" vertical="center"/>
    </xf>
    <xf numFmtId="0" fontId="90" fillId="24" borderId="276" xfId="0" applyFont="1" applyFill="1" applyBorder="1" applyAlignment="1">
      <alignment horizontal="center" vertical="center"/>
    </xf>
    <xf numFmtId="0" fontId="90" fillId="24" borderId="277" xfId="0" applyFont="1" applyFill="1" applyBorder="1" applyAlignment="1">
      <alignment horizontal="center" vertical="center"/>
    </xf>
    <xf numFmtId="2" fontId="72" fillId="30" borderId="275" xfId="37" applyNumberFormat="1" applyFont="1" applyFill="1" applyBorder="1" applyAlignment="1">
      <alignment horizontal="center" vertical="center"/>
    </xf>
    <xf numFmtId="2" fontId="72" fillId="30" borderId="278" xfId="37" applyNumberFormat="1" applyFont="1" applyFill="1" applyBorder="1" applyAlignment="1">
      <alignment horizontal="center" vertical="center"/>
    </xf>
    <xf numFmtId="0" fontId="105" fillId="24" borderId="276" xfId="0" applyFont="1" applyFill="1" applyBorder="1" applyAlignment="1">
      <alignment horizontal="center" vertical="center"/>
    </xf>
    <xf numFmtId="0" fontId="105" fillId="24" borderId="277" xfId="0" applyFont="1" applyFill="1" applyBorder="1" applyAlignment="1">
      <alignment horizontal="center" vertical="center"/>
    </xf>
    <xf numFmtId="164" fontId="72" fillId="30" borderId="275" xfId="37" applyNumberFormat="1" applyFont="1" applyFill="1" applyBorder="1" applyAlignment="1">
      <alignment horizontal="center" vertical="center"/>
    </xf>
    <xf numFmtId="164" fontId="72" fillId="30" borderId="278" xfId="37" applyNumberFormat="1" applyFont="1" applyFill="1" applyBorder="1" applyAlignment="1">
      <alignment horizontal="center" vertical="center"/>
    </xf>
    <xf numFmtId="0" fontId="72" fillId="24" borderId="85" xfId="37" applyFont="1" applyFill="1" applyBorder="1" applyAlignment="1">
      <alignment horizontal="center" vertical="center"/>
    </xf>
    <xf numFmtId="0" fontId="68" fillId="33" borderId="40" xfId="37" applyFont="1" applyFill="1" applyBorder="1" applyAlignment="1">
      <alignment horizontal="center" vertical="center"/>
    </xf>
    <xf numFmtId="166" fontId="67" fillId="33" borderId="51" xfId="37" applyNumberFormat="1" applyFont="1" applyFill="1" applyBorder="1" applyAlignment="1">
      <alignment horizontal="center"/>
    </xf>
    <xf numFmtId="166" fontId="67" fillId="33" borderId="62" xfId="37" applyNumberFormat="1" applyFont="1" applyFill="1" applyBorder="1" applyAlignment="1">
      <alignment horizontal="center"/>
    </xf>
    <xf numFmtId="2" fontId="72" fillId="26" borderId="275" xfId="37" applyNumberFormat="1" applyFont="1" applyFill="1" applyBorder="1" applyAlignment="1">
      <alignment horizontal="center" vertical="center"/>
    </xf>
    <xf numFmtId="2" fontId="72" fillId="26" borderId="278" xfId="37" applyNumberFormat="1" applyFont="1" applyFill="1" applyBorder="1" applyAlignment="1">
      <alignment horizontal="center" vertical="center"/>
    </xf>
    <xf numFmtId="164" fontId="72" fillId="26" borderId="275" xfId="37" applyNumberFormat="1" applyFont="1" applyFill="1" applyBorder="1" applyAlignment="1">
      <alignment horizontal="center" vertical="center"/>
    </xf>
    <xf numFmtId="164" fontId="72" fillId="26" borderId="278" xfId="37" applyNumberFormat="1" applyFont="1" applyFill="1" applyBorder="1" applyAlignment="1">
      <alignment horizontal="center" vertical="center"/>
    </xf>
    <xf numFmtId="166" fontId="58" fillId="26" borderId="50" xfId="0" applyNumberFormat="1" applyFont="1" applyFill="1" applyBorder="1" applyAlignment="1">
      <alignment horizontal="center" vertical="center"/>
    </xf>
    <xf numFmtId="166" fontId="58" fillId="26" borderId="52" xfId="0" applyNumberFormat="1" applyFont="1" applyFill="1" applyBorder="1" applyAlignment="1">
      <alignment horizontal="center" vertical="center"/>
    </xf>
    <xf numFmtId="166" fontId="73" fillId="26" borderId="50" xfId="0" applyNumberFormat="1" applyFont="1" applyFill="1" applyBorder="1" applyAlignment="1">
      <alignment horizontal="center" vertical="center"/>
    </xf>
    <xf numFmtId="166" fontId="73" fillId="26" borderId="52" xfId="0" applyNumberFormat="1" applyFont="1" applyFill="1" applyBorder="1" applyAlignment="1">
      <alignment horizontal="center" vertical="center"/>
    </xf>
    <xf numFmtId="166" fontId="138" fillId="26" borderId="50" xfId="0" applyNumberFormat="1" applyFont="1" applyFill="1" applyBorder="1" applyAlignment="1">
      <alignment horizontal="center" vertical="center"/>
    </xf>
    <xf numFmtId="166" fontId="138" fillId="26" borderId="52" xfId="0" applyNumberFormat="1" applyFont="1" applyFill="1" applyBorder="1" applyAlignment="1">
      <alignment horizontal="center" vertical="center"/>
    </xf>
    <xf numFmtId="2" fontId="135" fillId="24" borderId="46" xfId="37" applyNumberFormat="1" applyFont="1" applyFill="1" applyBorder="1" applyAlignment="1">
      <alignment horizontal="center"/>
    </xf>
    <xf numFmtId="2" fontId="135" fillId="24" borderId="58" xfId="37" applyNumberFormat="1" applyFont="1" applyFill="1" applyBorder="1" applyAlignment="1">
      <alignment horizontal="center"/>
    </xf>
    <xf numFmtId="166" fontId="72" fillId="27" borderId="43" xfId="37" applyNumberFormat="1" applyFont="1" applyFill="1" applyBorder="1" applyAlignment="1">
      <alignment horizontal="center" vertical="center"/>
    </xf>
    <xf numFmtId="166" fontId="72" fillId="27" borderId="58" xfId="37" applyNumberFormat="1" applyFont="1" applyFill="1" applyBorder="1" applyAlignment="1">
      <alignment horizontal="center" vertical="center"/>
    </xf>
    <xf numFmtId="166" fontId="54" fillId="24" borderId="43" xfId="0" applyNumberFormat="1" applyFont="1" applyFill="1" applyBorder="1" applyAlignment="1">
      <alignment horizontal="center" vertical="center"/>
    </xf>
    <xf numFmtId="166" fontId="54" fillId="24" borderId="58" xfId="0" applyNumberFormat="1" applyFont="1" applyFill="1" applyBorder="1" applyAlignment="1">
      <alignment horizontal="center" vertical="center"/>
    </xf>
    <xf numFmtId="2" fontId="136" fillId="26" borderId="290" xfId="37" applyNumberFormat="1" applyFont="1" applyFill="1" applyBorder="1" applyAlignment="1">
      <alignment horizontal="center"/>
    </xf>
    <xf numFmtId="166" fontId="77" fillId="27" borderId="51" xfId="37" applyNumberFormat="1" applyFont="1" applyFill="1" applyBorder="1" applyAlignment="1">
      <alignment horizontal="center"/>
    </xf>
    <xf numFmtId="166" fontId="77" fillId="27" borderId="62" xfId="37" applyNumberFormat="1" applyFont="1" applyFill="1" applyBorder="1" applyAlignment="1">
      <alignment horizontal="center"/>
    </xf>
    <xf numFmtId="2" fontId="135" fillId="24" borderId="87" xfId="37" applyNumberFormat="1" applyFont="1" applyFill="1" applyBorder="1" applyAlignment="1">
      <alignment horizontal="center"/>
    </xf>
    <xf numFmtId="2" fontId="135" fillId="24" borderId="78" xfId="37" applyNumberFormat="1" applyFont="1" applyFill="1" applyBorder="1" applyAlignment="1">
      <alignment horizontal="center"/>
    </xf>
    <xf numFmtId="166" fontId="72" fillId="37" borderId="43" xfId="37" applyNumberFormat="1" applyFont="1" applyFill="1" applyBorder="1" applyAlignment="1">
      <alignment horizontal="center" vertical="center"/>
    </xf>
    <xf numFmtId="166" fontId="72" fillId="37" borderId="58" xfId="37" applyNumberFormat="1" applyFont="1" applyFill="1" applyBorder="1" applyAlignment="1">
      <alignment horizontal="center" vertical="center"/>
    </xf>
    <xf numFmtId="2" fontId="53" fillId="24" borderId="46" xfId="37" applyNumberFormat="1" applyFont="1" applyFill="1" applyBorder="1" applyAlignment="1">
      <alignment horizontal="center"/>
    </xf>
    <xf numFmtId="2" fontId="53" fillId="24" borderId="58" xfId="37" applyNumberFormat="1" applyFont="1" applyFill="1" applyBorder="1" applyAlignment="1">
      <alignment horizontal="center"/>
    </xf>
    <xf numFmtId="166" fontId="63" fillId="47" borderId="43" xfId="37" applyNumberFormat="1" applyFont="1" applyFill="1" applyBorder="1" applyAlignment="1">
      <alignment horizontal="center" vertical="center"/>
    </xf>
    <xf numFmtId="166" fontId="63" fillId="47" borderId="58" xfId="37" applyNumberFormat="1" applyFont="1" applyFill="1" applyBorder="1" applyAlignment="1">
      <alignment horizontal="center" vertical="center"/>
    </xf>
    <xf numFmtId="0" fontId="24" fillId="24" borderId="14" xfId="0" applyFont="1" applyFill="1" applyBorder="1" applyAlignment="1">
      <alignment horizontal="center" vertical="center"/>
    </xf>
    <xf numFmtId="2" fontId="24" fillId="34" borderId="16" xfId="0" applyNumberFormat="1" applyFont="1" applyFill="1" applyBorder="1" applyAlignment="1">
      <alignment horizontal="center" vertical="center"/>
    </xf>
    <xf numFmtId="2" fontId="24" fillId="34" borderId="17" xfId="0" applyNumberFormat="1" applyFont="1" applyFill="1" applyBorder="1" applyAlignment="1">
      <alignment horizontal="center" vertical="center"/>
    </xf>
    <xf numFmtId="0" fontId="26" fillId="24" borderId="14" xfId="0" applyFont="1" applyFill="1" applyBorder="1" applyAlignment="1">
      <alignment horizontal="center" vertical="center"/>
    </xf>
    <xf numFmtId="2" fontId="32" fillId="33" borderId="16" xfId="0" applyNumberFormat="1" applyFont="1" applyFill="1" applyBorder="1" applyAlignment="1">
      <alignment horizontal="center" vertical="center"/>
    </xf>
    <xf numFmtId="2" fontId="32" fillId="33" borderId="17" xfId="0" applyNumberFormat="1" applyFont="1" applyFill="1" applyBorder="1" applyAlignment="1">
      <alignment horizontal="center" vertical="center"/>
    </xf>
    <xf numFmtId="0" fontId="38" fillId="29" borderId="16" xfId="0" applyFont="1" applyFill="1" applyBorder="1" applyAlignment="1">
      <alignment horizontal="center" vertical="center"/>
    </xf>
    <xf numFmtId="0" fontId="38" fillId="29" borderId="17" xfId="0" applyFont="1" applyFill="1" applyBorder="1" applyAlignment="1">
      <alignment horizontal="center" vertical="center"/>
    </xf>
    <xf numFmtId="167" fontId="37" fillId="35" borderId="16" xfId="0" applyNumberFormat="1" applyFont="1" applyFill="1" applyBorder="1" applyAlignment="1">
      <alignment horizontal="center" vertical="center"/>
    </xf>
    <xf numFmtId="167" fontId="37" fillId="35" borderId="17" xfId="0" applyNumberFormat="1" applyFont="1" applyFill="1" applyBorder="1" applyAlignment="1">
      <alignment horizontal="center" vertical="center"/>
    </xf>
    <xf numFmtId="0" fontId="38" fillId="29" borderId="14" xfId="0" applyFont="1" applyFill="1" applyBorder="1" applyAlignment="1">
      <alignment horizontal="center" vertical="center"/>
    </xf>
    <xf numFmtId="0" fontId="50" fillId="28" borderId="14" xfId="0" applyFont="1" applyFill="1" applyBorder="1" applyAlignment="1">
      <alignment horizontal="center"/>
    </xf>
    <xf numFmtId="0" fontId="51" fillId="28" borderId="14" xfId="43" applyFont="1" applyFill="1" applyBorder="1" applyAlignment="1">
      <alignment horizontal="center" vertical="center"/>
    </xf>
    <xf numFmtId="10" fontId="66" fillId="42" borderId="196" xfId="0" applyNumberFormat="1" applyFont="1" applyFill="1" applyBorder="1" applyAlignment="1">
      <alignment horizontal="center" vertical="center"/>
    </xf>
    <xf numFmtId="10" fontId="66" fillId="42" borderId="197" xfId="0" applyNumberFormat="1" applyFont="1" applyFill="1" applyBorder="1" applyAlignment="1">
      <alignment horizontal="center" vertical="center"/>
    </xf>
    <xf numFmtId="2" fontId="66" fillId="46" borderId="149" xfId="0" applyNumberFormat="1" applyFont="1" applyFill="1" applyBorder="1" applyAlignment="1">
      <alignment horizontal="center" vertical="center"/>
    </xf>
    <xf numFmtId="2" fontId="66" fillId="46" borderId="150" xfId="0" applyNumberFormat="1" applyFont="1" applyFill="1" applyBorder="1" applyAlignment="1">
      <alignment horizontal="center" vertical="center"/>
    </xf>
    <xf numFmtId="0" fontId="66" fillId="46" borderId="132" xfId="0" applyFont="1" applyFill="1" applyBorder="1" applyAlignment="1">
      <alignment horizontal="center" vertical="center"/>
    </xf>
    <xf numFmtId="0" fontId="66" fillId="46" borderId="133" xfId="0" applyFont="1" applyFill="1" applyBorder="1" applyAlignment="1">
      <alignment horizontal="center" vertical="center"/>
    </xf>
    <xf numFmtId="2" fontId="67" fillId="46" borderId="133" xfId="0" applyNumberFormat="1" applyFont="1" applyFill="1" applyBorder="1" applyAlignment="1">
      <alignment horizontal="center" vertical="center"/>
    </xf>
    <xf numFmtId="2" fontId="67" fillId="46" borderId="134" xfId="0" applyNumberFormat="1" applyFont="1" applyFill="1" applyBorder="1" applyAlignment="1">
      <alignment horizontal="center" vertical="center"/>
    </xf>
    <xf numFmtId="2" fontId="67" fillId="46" borderId="142" xfId="0" applyNumberFormat="1" applyFont="1" applyFill="1" applyBorder="1" applyAlignment="1">
      <alignment horizontal="center" vertical="center"/>
    </xf>
    <xf numFmtId="2" fontId="67" fillId="46" borderId="148" xfId="0" applyNumberFormat="1" applyFont="1" applyFill="1" applyBorder="1" applyAlignment="1">
      <alignment horizontal="center" vertical="center"/>
    </xf>
    <xf numFmtId="0" fontId="65" fillId="46" borderId="133" xfId="0" applyFont="1" applyFill="1" applyBorder="1" applyAlignment="1">
      <alignment horizontal="center" vertical="center" wrapText="1"/>
    </xf>
    <xf numFmtId="0" fontId="65" fillId="46" borderId="133" xfId="0" applyFont="1" applyFill="1" applyBorder="1" applyAlignment="1">
      <alignment horizontal="center"/>
    </xf>
    <xf numFmtId="0" fontId="65" fillId="46" borderId="134" xfId="0" applyFont="1" applyFill="1" applyBorder="1" applyAlignment="1">
      <alignment horizontal="center"/>
    </xf>
    <xf numFmtId="2" fontId="67" fillId="46" borderId="141" xfId="0" applyNumberFormat="1" applyFont="1" applyFill="1" applyBorder="1" applyAlignment="1">
      <alignment horizontal="center" vertical="center"/>
    </xf>
    <xf numFmtId="0" fontId="65" fillId="46" borderId="130" xfId="0" applyFont="1" applyFill="1" applyBorder="1" applyAlignment="1">
      <alignment horizontal="center" vertical="center"/>
    </xf>
    <xf numFmtId="0" fontId="65" fillId="46" borderId="144" xfId="0" applyFont="1" applyFill="1" applyBorder="1" applyAlignment="1">
      <alignment horizontal="center" vertical="center"/>
    </xf>
    <xf numFmtId="0" fontId="65" fillId="46" borderId="112" xfId="0" applyFont="1" applyFill="1" applyBorder="1" applyAlignment="1">
      <alignment horizontal="center" vertical="center"/>
    </xf>
    <xf numFmtId="0" fontId="65" fillId="46" borderId="142" xfId="0" applyFont="1" applyFill="1" applyBorder="1" applyAlignment="1">
      <alignment horizontal="center" vertical="center"/>
    </xf>
    <xf numFmtId="0" fontId="65" fillId="46" borderId="112" xfId="0" applyFont="1" applyFill="1" applyBorder="1" applyAlignment="1">
      <alignment horizontal="center"/>
    </xf>
    <xf numFmtId="0" fontId="64" fillId="40" borderId="133" xfId="43" applyFont="1" applyFill="1" applyBorder="1" applyAlignment="1">
      <alignment horizontal="center" vertical="center" wrapText="1"/>
    </xf>
    <xf numFmtId="0" fontId="70" fillId="39" borderId="133" xfId="43" applyFont="1" applyFill="1" applyBorder="1" applyAlignment="1">
      <alignment horizontal="center" vertical="center"/>
    </xf>
    <xf numFmtId="0" fontId="70" fillId="39" borderId="142" xfId="43" applyFont="1" applyFill="1" applyBorder="1" applyAlignment="1">
      <alignment horizontal="center" vertical="center"/>
    </xf>
    <xf numFmtId="0" fontId="66" fillId="46" borderId="132" xfId="0" applyFont="1" applyFill="1" applyBorder="1" applyAlignment="1">
      <alignment horizontal="center" vertical="center" wrapText="1"/>
    </xf>
    <xf numFmtId="0" fontId="66" fillId="46" borderId="133" xfId="0" applyFont="1" applyFill="1" applyBorder="1" applyAlignment="1">
      <alignment horizontal="center" vertical="center" wrapText="1"/>
    </xf>
    <xf numFmtId="0" fontId="66" fillId="46" borderId="151" xfId="0" applyFont="1" applyFill="1" applyBorder="1" applyAlignment="1">
      <alignment horizontal="center" vertical="center" wrapText="1"/>
    </xf>
    <xf numFmtId="0" fontId="66" fillId="46" borderId="136" xfId="0" applyFont="1" applyFill="1" applyBorder="1" applyAlignment="1">
      <alignment horizontal="center" vertical="center" wrapText="1"/>
    </xf>
    <xf numFmtId="0" fontId="63" fillId="39" borderId="193" xfId="0" applyFont="1" applyFill="1" applyBorder="1" applyAlignment="1">
      <alignment horizontal="center" vertical="center"/>
    </xf>
    <xf numFmtId="0" fontId="63" fillId="39" borderId="194" xfId="0" applyFont="1" applyFill="1" applyBorder="1" applyAlignment="1">
      <alignment horizontal="center" vertical="center"/>
    </xf>
    <xf numFmtId="0" fontId="63" fillId="39" borderId="195" xfId="0" applyFont="1" applyFill="1" applyBorder="1" applyAlignment="1">
      <alignment horizontal="center" vertical="center"/>
    </xf>
    <xf numFmtId="0" fontId="74" fillId="24" borderId="187" xfId="0" applyFont="1" applyFill="1" applyBorder="1" applyAlignment="1">
      <alignment horizontal="center" vertical="center"/>
    </xf>
    <xf numFmtId="0" fontId="74" fillId="24" borderId="188" xfId="0" applyFont="1" applyFill="1" applyBorder="1" applyAlignment="1">
      <alignment horizontal="center" vertical="center"/>
    </xf>
    <xf numFmtId="0" fontId="74" fillId="24" borderId="189" xfId="0" applyFont="1" applyFill="1" applyBorder="1" applyAlignment="1">
      <alignment horizontal="center" vertical="center"/>
    </xf>
    <xf numFmtId="0" fontId="69" fillId="47" borderId="190" xfId="43" applyFont="1" applyFill="1" applyBorder="1" applyAlignment="1">
      <alignment horizontal="center" vertical="center"/>
    </xf>
    <xf numFmtId="0" fontId="69" fillId="47" borderId="118" xfId="43" applyFont="1" applyFill="1" applyBorder="1" applyAlignment="1">
      <alignment horizontal="center" vertical="center"/>
    </xf>
    <xf numFmtId="0" fontId="69" fillId="47" borderId="191" xfId="43" applyFont="1" applyFill="1" applyBorder="1" applyAlignment="1">
      <alignment horizontal="center" vertical="center"/>
    </xf>
    <xf numFmtId="0" fontId="69" fillId="47" borderId="131" xfId="43" applyFont="1" applyFill="1" applyBorder="1" applyAlignment="1">
      <alignment horizontal="center" vertical="center"/>
    </xf>
    <xf numFmtId="0" fontId="69" fillId="47" borderId="122" xfId="43" applyFont="1" applyFill="1" applyBorder="1" applyAlignment="1">
      <alignment horizontal="center" vertical="center"/>
    </xf>
    <xf numFmtId="0" fontId="69" fillId="47" borderId="181" xfId="43" applyFont="1" applyFill="1" applyBorder="1" applyAlignment="1">
      <alignment horizontal="center" vertical="center"/>
    </xf>
    <xf numFmtId="0" fontId="69" fillId="46" borderId="142" xfId="43" applyFont="1" applyFill="1" applyBorder="1" applyAlignment="1">
      <alignment horizontal="center" vertical="center"/>
    </xf>
    <xf numFmtId="0" fontId="69" fillId="46" borderId="182" xfId="43" applyFont="1" applyFill="1" applyBorder="1" applyAlignment="1">
      <alignment horizontal="center" vertical="center"/>
    </xf>
    <xf numFmtId="0" fontId="69" fillId="46" borderId="190" xfId="43" applyFont="1" applyFill="1" applyBorder="1" applyAlignment="1">
      <alignment horizontal="center" vertical="center"/>
    </xf>
    <xf numFmtId="0" fontId="69" fillId="46" borderId="118" xfId="43" applyFont="1" applyFill="1" applyBorder="1" applyAlignment="1">
      <alignment horizontal="center" vertical="center"/>
    </xf>
    <xf numFmtId="0" fontId="69" fillId="46" borderId="119" xfId="43" applyFont="1" applyFill="1" applyBorder="1" applyAlignment="1">
      <alignment horizontal="center" vertical="center"/>
    </xf>
    <xf numFmtId="0" fontId="69" fillId="46" borderId="131" xfId="43" applyFont="1" applyFill="1" applyBorder="1" applyAlignment="1">
      <alignment horizontal="center" vertical="center"/>
    </xf>
    <xf numFmtId="0" fontId="69" fillId="46" borderId="122" xfId="43" applyFont="1" applyFill="1" applyBorder="1" applyAlignment="1">
      <alignment horizontal="center" vertical="center"/>
    </xf>
    <xf numFmtId="0" fontId="69" fillId="46" borderId="123" xfId="43" applyFont="1" applyFill="1" applyBorder="1" applyAlignment="1">
      <alignment horizontal="center" vertical="center"/>
    </xf>
    <xf numFmtId="0" fontId="70" fillId="24" borderId="142" xfId="43" applyFont="1" applyFill="1" applyBorder="1" applyAlignment="1">
      <alignment horizontal="center" vertical="center" wrapText="1"/>
    </xf>
    <xf numFmtId="0" fontId="70" fillId="24" borderId="112" xfId="43" applyFont="1" applyFill="1" applyBorder="1" applyAlignment="1">
      <alignment horizontal="center" vertical="center" wrapText="1"/>
    </xf>
    <xf numFmtId="0" fontId="69" fillId="46" borderId="142" xfId="43" applyFont="1" applyFill="1" applyBorder="1" applyAlignment="1">
      <alignment horizontal="center" vertical="center" wrapText="1"/>
    </xf>
    <xf numFmtId="0" fontId="69" fillId="46" borderId="112" xfId="43" applyFont="1" applyFill="1" applyBorder="1" applyAlignment="1">
      <alignment horizontal="center" vertical="center" wrapText="1"/>
    </xf>
    <xf numFmtId="0" fontId="70" fillId="24" borderId="148" xfId="43" applyFont="1" applyFill="1" applyBorder="1" applyAlignment="1">
      <alignment horizontal="center" vertical="center" wrapText="1"/>
    </xf>
    <xf numFmtId="0" fontId="70" fillId="24" borderId="129" xfId="43" applyFont="1" applyFill="1" applyBorder="1" applyAlignment="1">
      <alignment horizontal="center" vertical="center" wrapText="1"/>
    </xf>
    <xf numFmtId="0" fontId="69" fillId="46" borderId="112" xfId="43" applyFont="1" applyFill="1" applyBorder="1" applyAlignment="1">
      <alignment horizontal="center" vertical="center"/>
    </xf>
    <xf numFmtId="0" fontId="69" fillId="46" borderId="133" xfId="43" applyFont="1" applyFill="1" applyBorder="1" applyAlignment="1">
      <alignment horizontal="center" vertical="center"/>
    </xf>
    <xf numFmtId="0" fontId="69" fillId="46" borderId="133" xfId="43" applyFont="1" applyFill="1" applyBorder="1" applyAlignment="1">
      <alignment horizontal="center" vertical="center" wrapText="1"/>
    </xf>
    <xf numFmtId="0" fontId="69" fillId="46" borderId="130" xfId="43" applyFont="1" applyFill="1" applyBorder="1" applyAlignment="1">
      <alignment horizontal="center" vertical="center" wrapText="1"/>
    </xf>
    <xf numFmtId="0" fontId="69" fillId="46" borderId="132" xfId="43" applyFont="1" applyFill="1" applyBorder="1" applyAlignment="1">
      <alignment horizontal="center" vertical="center" wrapText="1"/>
    </xf>
    <xf numFmtId="0" fontId="70" fillId="31" borderId="133" xfId="43" applyFont="1" applyFill="1" applyBorder="1" applyAlignment="1">
      <alignment horizontal="center" vertical="center"/>
    </xf>
    <xf numFmtId="0" fontId="70" fillId="31" borderId="142" xfId="43" applyFont="1" applyFill="1" applyBorder="1" applyAlignment="1">
      <alignment horizontal="center" vertical="center"/>
    </xf>
    <xf numFmtId="0" fontId="153" fillId="33" borderId="0" xfId="0" applyFont="1" applyFill="1" applyAlignment="1">
      <alignment horizontal="center"/>
    </xf>
    <xf numFmtId="2" fontId="139" fillId="33" borderId="43" xfId="0" applyNumberFormat="1" applyFont="1" applyFill="1" applyBorder="1" applyAlignment="1">
      <alignment horizontal="center" vertical="center"/>
    </xf>
    <xf numFmtId="2" fontId="139" fillId="33" borderId="45" xfId="0" applyNumberFormat="1" applyFont="1" applyFill="1" applyBorder="1" applyAlignment="1">
      <alignment horizontal="center" vertical="center"/>
    </xf>
    <xf numFmtId="2" fontId="73" fillId="35" borderId="50" xfId="0" applyNumberFormat="1" applyFont="1" applyFill="1" applyBorder="1" applyAlignment="1">
      <alignment horizontal="center" vertical="center"/>
    </xf>
    <xf numFmtId="2" fontId="73" fillId="35" borderId="52" xfId="0" applyNumberFormat="1" applyFont="1" applyFill="1" applyBorder="1" applyAlignment="1">
      <alignment horizontal="center" vertical="center"/>
    </xf>
    <xf numFmtId="2" fontId="96" fillId="35" borderId="50" xfId="0" applyNumberFormat="1" applyFont="1" applyFill="1" applyBorder="1" applyAlignment="1">
      <alignment horizontal="center" vertical="center"/>
    </xf>
    <xf numFmtId="2" fontId="96" fillId="35" borderId="52" xfId="0" applyNumberFormat="1" applyFont="1" applyFill="1" applyBorder="1" applyAlignment="1">
      <alignment horizontal="center" vertical="center"/>
    </xf>
    <xf numFmtId="2" fontId="138" fillId="35" borderId="50" xfId="0" applyNumberFormat="1" applyFont="1" applyFill="1" applyBorder="1" applyAlignment="1">
      <alignment horizontal="center" vertical="center"/>
    </xf>
    <xf numFmtId="2" fontId="138" fillId="35" borderId="52" xfId="0" applyNumberFormat="1" applyFont="1" applyFill="1" applyBorder="1" applyAlignment="1">
      <alignment horizontal="center" vertical="center"/>
    </xf>
    <xf numFmtId="2" fontId="77" fillId="33" borderId="75" xfId="0" applyNumberFormat="1" applyFont="1" applyFill="1" applyBorder="1" applyAlignment="1">
      <alignment horizontal="center" vertical="center"/>
    </xf>
    <xf numFmtId="2" fontId="77" fillId="33" borderId="73" xfId="0" applyNumberFormat="1" applyFont="1" applyFill="1" applyBorder="1" applyAlignment="1">
      <alignment horizontal="center" vertical="center"/>
    </xf>
    <xf numFmtId="0" fontId="63" fillId="25" borderId="85" xfId="37" applyFont="1" applyFill="1" applyBorder="1" applyAlignment="1">
      <alignment horizontal="right"/>
    </xf>
    <xf numFmtId="0" fontId="63" fillId="25" borderId="43" xfId="37" applyFont="1" applyFill="1" applyBorder="1" applyAlignment="1">
      <alignment horizontal="right"/>
    </xf>
    <xf numFmtId="2" fontId="63" fillId="33" borderId="43" xfId="37" applyNumberFormat="1" applyFont="1" applyFill="1" applyBorder="1" applyAlignment="1">
      <alignment horizontal="center"/>
    </xf>
    <xf numFmtId="2" fontId="63" fillId="33" borderId="58" xfId="37" applyNumberFormat="1" applyFont="1" applyFill="1" applyBorder="1" applyAlignment="1">
      <alignment horizontal="center"/>
    </xf>
    <xf numFmtId="0" fontId="63" fillId="37" borderId="85" xfId="37" applyFont="1" applyFill="1" applyBorder="1" applyAlignment="1">
      <alignment horizontal="right"/>
    </xf>
    <xf numFmtId="0" fontId="63" fillId="37" borderId="43" xfId="37" applyFont="1" applyFill="1" applyBorder="1" applyAlignment="1">
      <alignment horizontal="right"/>
    </xf>
    <xf numFmtId="0" fontId="63" fillId="31" borderId="85" xfId="37" applyFont="1" applyFill="1" applyBorder="1" applyAlignment="1">
      <alignment horizontal="right"/>
    </xf>
    <xf numFmtId="0" fontId="63" fillId="31" borderId="43" xfId="37" applyFont="1" applyFill="1" applyBorder="1" applyAlignment="1">
      <alignment horizontal="right"/>
    </xf>
    <xf numFmtId="0" fontId="150" fillId="33" borderId="41" xfId="37" applyFont="1" applyFill="1" applyBorder="1" applyAlignment="1">
      <alignment horizontal="center" vertical="center"/>
    </xf>
    <xf numFmtId="2" fontId="142" fillId="33" borderId="51" xfId="37" applyNumberFormat="1" applyFont="1" applyFill="1" applyBorder="1" applyAlignment="1">
      <alignment horizontal="center"/>
    </xf>
    <xf numFmtId="2" fontId="142" fillId="33" borderId="62" xfId="37" applyNumberFormat="1" applyFont="1" applyFill="1" applyBorder="1" applyAlignment="1">
      <alignment horizontal="center"/>
    </xf>
    <xf numFmtId="2" fontId="81" fillId="33" borderId="290" xfId="37" applyNumberFormat="1" applyFont="1" applyFill="1" applyBorder="1" applyAlignment="1">
      <alignment horizontal="center"/>
    </xf>
    <xf numFmtId="2" fontId="81" fillId="33" borderId="291" xfId="37" applyNumberFormat="1" applyFont="1" applyFill="1" applyBorder="1" applyAlignment="1">
      <alignment horizontal="center"/>
    </xf>
    <xf numFmtId="0" fontId="148" fillId="24" borderId="85" xfId="0" applyFont="1" applyFill="1" applyBorder="1" applyAlignment="1">
      <alignment horizontal="center"/>
    </xf>
    <xf numFmtId="0" fontId="148" fillId="24" borderId="43" xfId="0" applyFont="1" applyFill="1" applyBorder="1" applyAlignment="1">
      <alignment horizontal="center"/>
    </xf>
    <xf numFmtId="0" fontId="148" fillId="24" borderId="58" xfId="0" applyFont="1" applyFill="1" applyBorder="1" applyAlignment="1">
      <alignment horizontal="center"/>
    </xf>
    <xf numFmtId="2" fontId="138" fillId="26" borderId="50" xfId="0" applyNumberFormat="1" applyFont="1" applyFill="1" applyBorder="1" applyAlignment="1">
      <alignment horizontal="center" vertical="center"/>
    </xf>
    <xf numFmtId="2" fontId="138" fillId="26" borderId="52" xfId="0" applyNumberFormat="1" applyFont="1" applyFill="1" applyBorder="1" applyAlignment="1">
      <alignment horizontal="center" vertical="center"/>
    </xf>
    <xf numFmtId="2" fontId="54" fillId="24" borderId="75" xfId="0" applyNumberFormat="1" applyFont="1" applyFill="1" applyBorder="1" applyAlignment="1">
      <alignment horizontal="center" vertical="center"/>
    </xf>
    <xf numFmtId="2" fontId="54" fillId="24" borderId="73" xfId="0" applyNumberFormat="1" applyFont="1" applyFill="1" applyBorder="1" applyAlignment="1">
      <alignment horizontal="center" vertical="center"/>
    </xf>
    <xf numFmtId="0" fontId="146" fillId="24" borderId="124" xfId="0" applyFont="1" applyFill="1" applyBorder="1" applyAlignment="1">
      <alignment horizontal="center" vertical="center"/>
    </xf>
    <xf numFmtId="0" fontId="146" fillId="24" borderId="125" xfId="0" applyFont="1" applyFill="1" applyBorder="1" applyAlignment="1">
      <alignment horizontal="center" vertical="center"/>
    </xf>
    <xf numFmtId="0" fontId="146" fillId="24" borderId="126" xfId="0" applyFont="1" applyFill="1" applyBorder="1" applyAlignment="1">
      <alignment horizontal="center" vertical="center"/>
    </xf>
    <xf numFmtId="0" fontId="146" fillId="24" borderId="127" xfId="0" applyFont="1" applyFill="1" applyBorder="1" applyAlignment="1">
      <alignment horizontal="center" vertical="center"/>
    </xf>
    <xf numFmtId="0" fontId="146" fillId="24" borderId="0" xfId="0" applyFont="1" applyFill="1" applyAlignment="1">
      <alignment horizontal="center" vertical="center"/>
    </xf>
    <xf numFmtId="0" fontId="146" fillId="24" borderId="86" xfId="0" applyFont="1" applyFill="1" applyBorder="1" applyAlignment="1">
      <alignment horizontal="center" vertical="center"/>
    </xf>
    <xf numFmtId="0" fontId="83" fillId="24" borderId="294" xfId="0" applyFont="1" applyFill="1" applyBorder="1" applyAlignment="1">
      <alignment horizontal="center" vertical="center"/>
    </xf>
    <xf numFmtId="0" fontId="83" fillId="24" borderId="295" xfId="0" applyFont="1" applyFill="1" applyBorder="1" applyAlignment="1">
      <alignment horizontal="center" vertical="center"/>
    </xf>
    <xf numFmtId="0" fontId="83" fillId="24" borderId="127" xfId="0" applyFont="1" applyFill="1" applyBorder="1" applyAlignment="1">
      <alignment horizontal="center" vertical="center"/>
    </xf>
    <xf numFmtId="0" fontId="83" fillId="24" borderId="0" xfId="0" applyFont="1" applyFill="1" applyAlignment="1">
      <alignment horizontal="center" vertical="center"/>
    </xf>
    <xf numFmtId="0" fontId="83" fillId="24" borderId="296" xfId="0" applyFont="1" applyFill="1" applyBorder="1" applyAlignment="1">
      <alignment horizontal="center" vertical="center"/>
    </xf>
    <xf numFmtId="0" fontId="83" fillId="24" borderId="171" xfId="0" applyFont="1" applyFill="1" applyBorder="1" applyAlignment="1">
      <alignment horizontal="center" vertical="center"/>
    </xf>
    <xf numFmtId="0" fontId="134" fillId="24" borderId="298" xfId="0" applyFont="1" applyFill="1" applyBorder="1" applyAlignment="1">
      <alignment horizontal="right" vertical="center"/>
    </xf>
    <xf numFmtId="0" fontId="134" fillId="24" borderId="299" xfId="0" applyFont="1" applyFill="1" applyBorder="1" applyAlignment="1">
      <alignment horizontal="right" vertical="center"/>
    </xf>
    <xf numFmtId="0" fontId="134" fillId="24" borderId="297" xfId="0" applyFont="1" applyFill="1" applyBorder="1" applyAlignment="1">
      <alignment horizontal="right" vertical="center"/>
    </xf>
    <xf numFmtId="2" fontId="72" fillId="35" borderId="50" xfId="37" applyNumberFormat="1" applyFont="1" applyFill="1" applyBorder="1" applyAlignment="1">
      <alignment horizontal="center" vertical="center"/>
    </xf>
    <xf numFmtId="2" fontId="72" fillId="35" borderId="272" xfId="37" applyNumberFormat="1" applyFont="1" applyFill="1" applyBorder="1" applyAlignment="1">
      <alignment horizontal="center" vertical="center"/>
    </xf>
    <xf numFmtId="0" fontId="83" fillId="24" borderId="300" xfId="0" applyFont="1" applyFill="1" applyBorder="1" applyAlignment="1">
      <alignment horizontal="right" vertical="center"/>
    </xf>
    <xf numFmtId="0" fontId="83" fillId="24" borderId="301" xfId="0" applyFont="1" applyFill="1" applyBorder="1" applyAlignment="1">
      <alignment horizontal="right" vertical="center"/>
    </xf>
    <xf numFmtId="0" fontId="83" fillId="24" borderId="302" xfId="0" applyFont="1" applyFill="1" applyBorder="1" applyAlignment="1">
      <alignment horizontal="right" vertical="center"/>
    </xf>
    <xf numFmtId="164" fontId="72" fillId="35" borderId="50" xfId="37" applyNumberFormat="1" applyFont="1" applyFill="1" applyBorder="1" applyAlignment="1">
      <alignment horizontal="center" vertical="center"/>
    </xf>
    <xf numFmtId="164" fontId="72" fillId="35" borderId="272" xfId="37" applyNumberFormat="1" applyFont="1" applyFill="1" applyBorder="1" applyAlignment="1">
      <alignment horizontal="center" vertical="center"/>
    </xf>
    <xf numFmtId="0" fontId="105" fillId="24" borderId="300" xfId="0" applyFont="1" applyFill="1" applyBorder="1" applyAlignment="1">
      <alignment horizontal="right" vertical="center"/>
    </xf>
    <xf numFmtId="0" fontId="105" fillId="24" borderId="301" xfId="0" applyFont="1" applyFill="1" applyBorder="1" applyAlignment="1">
      <alignment horizontal="right" vertical="center"/>
    </xf>
    <xf numFmtId="0" fontId="105" fillId="24" borderId="302" xfId="0" applyFont="1" applyFill="1" applyBorder="1" applyAlignment="1">
      <alignment horizontal="right" vertical="center"/>
    </xf>
    <xf numFmtId="2" fontId="72" fillId="26" borderId="50" xfId="37" applyNumberFormat="1" applyFont="1" applyFill="1" applyBorder="1" applyAlignment="1">
      <alignment horizontal="center" vertical="center"/>
    </xf>
    <xf numFmtId="2" fontId="72" fillId="26" borderId="272" xfId="37" applyNumberFormat="1" applyFont="1" applyFill="1" applyBorder="1" applyAlignment="1">
      <alignment horizontal="center" vertical="center"/>
    </xf>
    <xf numFmtId="164" fontId="72" fillId="26" borderId="50" xfId="37" applyNumberFormat="1" applyFont="1" applyFill="1" applyBorder="1" applyAlignment="1">
      <alignment horizontal="center" vertical="center"/>
    </xf>
    <xf numFmtId="164" fontId="72" fillId="26" borderId="272" xfId="37" applyNumberFormat="1" applyFont="1" applyFill="1" applyBorder="1" applyAlignment="1">
      <alignment horizontal="center" vertical="center"/>
    </xf>
    <xf numFmtId="2" fontId="77" fillId="33" borderId="67" xfId="0" applyNumberFormat="1" applyFont="1" applyFill="1" applyBorder="1" applyAlignment="1">
      <alignment horizontal="center" vertical="center"/>
    </xf>
    <xf numFmtId="0" fontId="84" fillId="24" borderId="48" xfId="0" applyFont="1" applyFill="1" applyBorder="1" applyAlignment="1">
      <alignment horizontal="center"/>
    </xf>
    <xf numFmtId="0" fontId="80" fillId="24" borderId="254" xfId="0" applyFont="1" applyFill="1" applyBorder="1" applyAlignment="1">
      <alignment horizontal="center"/>
    </xf>
    <xf numFmtId="0" fontId="80" fillId="24" borderId="255" xfId="0" applyFont="1" applyFill="1" applyBorder="1" applyAlignment="1">
      <alignment horizontal="center"/>
    </xf>
    <xf numFmtId="2" fontId="72" fillId="35" borderId="50" xfId="0" applyNumberFormat="1" applyFont="1" applyFill="1" applyBorder="1" applyAlignment="1">
      <alignment horizontal="center" vertical="center"/>
    </xf>
    <xf numFmtId="2" fontId="72" fillId="35" borderId="52" xfId="0" applyNumberFormat="1" applyFont="1" applyFill="1" applyBorder="1" applyAlignment="1">
      <alignment horizontal="center" vertical="center"/>
    </xf>
    <xf numFmtId="0" fontId="54" fillId="24" borderId="57" xfId="37" applyFont="1" applyFill="1" applyBorder="1" applyAlignment="1">
      <alignment horizontal="right"/>
    </xf>
    <xf numFmtId="0" fontId="54" fillId="24" borderId="47" xfId="37" applyFont="1" applyFill="1" applyBorder="1" applyAlignment="1">
      <alignment horizontal="right"/>
    </xf>
    <xf numFmtId="2" fontId="54" fillId="24" borderId="47" xfId="37" applyNumberFormat="1" applyFont="1" applyFill="1" applyBorder="1" applyAlignment="1">
      <alignment horizontal="center"/>
    </xf>
    <xf numFmtId="2" fontId="54" fillId="24" borderId="62" xfId="37" applyNumberFormat="1" applyFont="1" applyFill="1" applyBorder="1" applyAlignment="1">
      <alignment horizontal="center"/>
    </xf>
    <xf numFmtId="0" fontId="139" fillId="27" borderId="85" xfId="37" applyFont="1" applyFill="1" applyBorder="1" applyAlignment="1">
      <alignment horizontal="right"/>
    </xf>
    <xf numFmtId="0" fontId="139" fillId="27" borderId="43" xfId="37" applyFont="1" applyFill="1" applyBorder="1" applyAlignment="1">
      <alignment horizontal="right"/>
    </xf>
    <xf numFmtId="2" fontId="139" fillId="33" borderId="43" xfId="37" applyNumberFormat="1" applyFont="1" applyFill="1" applyBorder="1" applyAlignment="1">
      <alignment horizontal="center"/>
    </xf>
    <xf numFmtId="2" fontId="139" fillId="33" borderId="58" xfId="37" applyNumberFormat="1" applyFont="1" applyFill="1" applyBorder="1" applyAlignment="1">
      <alignment horizontal="center"/>
    </xf>
    <xf numFmtId="0" fontId="121" fillId="24" borderId="303" xfId="0" applyFont="1" applyFill="1" applyBorder="1" applyAlignment="1">
      <alignment horizontal="center" vertical="center"/>
    </xf>
    <xf numFmtId="0" fontId="121" fillId="24" borderId="276" xfId="0" applyFont="1" applyFill="1" applyBorder="1" applyAlignment="1">
      <alignment horizontal="center" vertical="center"/>
    </xf>
    <xf numFmtId="0" fontId="121" fillId="24" borderId="304" xfId="0" applyFont="1" applyFill="1" applyBorder="1" applyAlignment="1">
      <alignment horizontal="center" vertical="center"/>
    </xf>
    <xf numFmtId="2" fontId="82" fillId="33" borderId="43" xfId="37" applyNumberFormat="1" applyFont="1" applyFill="1" applyBorder="1" applyAlignment="1">
      <alignment horizontal="center"/>
    </xf>
    <xf numFmtId="2" fontId="82" fillId="33" borderId="58" xfId="37" applyNumberFormat="1" applyFont="1" applyFill="1" applyBorder="1" applyAlignment="1">
      <alignment horizontal="center"/>
    </xf>
    <xf numFmtId="2" fontId="77" fillId="33" borderId="46" xfId="37" applyNumberFormat="1" applyFont="1" applyFill="1" applyBorder="1" applyAlignment="1">
      <alignment horizontal="center"/>
    </xf>
    <xf numFmtId="2" fontId="77" fillId="33" borderId="58" xfId="37" applyNumberFormat="1" applyFont="1" applyFill="1" applyBorder="1" applyAlignment="1">
      <alignment horizontal="center"/>
    </xf>
    <xf numFmtId="2" fontId="77" fillId="33" borderId="43" xfId="37" applyNumberFormat="1" applyFont="1" applyFill="1" applyBorder="1" applyAlignment="1">
      <alignment horizontal="center"/>
    </xf>
    <xf numFmtId="2" fontId="77" fillId="33" borderId="87" xfId="37" applyNumberFormat="1" applyFont="1" applyFill="1" applyBorder="1" applyAlignment="1">
      <alignment horizontal="center"/>
    </xf>
    <xf numFmtId="2" fontId="77" fillId="33" borderId="78" xfId="37" applyNumberFormat="1" applyFont="1" applyFill="1" applyBorder="1" applyAlignment="1">
      <alignment horizontal="center"/>
    </xf>
    <xf numFmtId="0" fontId="92" fillId="24" borderId="48" xfId="37" applyFont="1" applyFill="1" applyBorder="1" applyAlignment="1">
      <alignment horizontal="center" vertical="center"/>
    </xf>
    <xf numFmtId="0" fontId="92" fillId="24" borderId="78" xfId="37" applyFont="1" applyFill="1" applyBorder="1" applyAlignment="1">
      <alignment horizontal="center" vertical="center"/>
    </xf>
    <xf numFmtId="2" fontId="54" fillId="24" borderId="67" xfId="0" applyNumberFormat="1" applyFont="1" applyFill="1" applyBorder="1" applyAlignment="1">
      <alignment horizontal="center" vertical="center"/>
    </xf>
    <xf numFmtId="2" fontId="58" fillId="24" borderId="43" xfId="0" applyNumberFormat="1" applyFont="1" applyFill="1" applyBorder="1" applyAlignment="1">
      <alignment horizontal="center" vertical="center"/>
    </xf>
    <xf numFmtId="2" fontId="58" fillId="24" borderId="45" xfId="0" applyNumberFormat="1" applyFont="1" applyFill="1" applyBorder="1" applyAlignment="1">
      <alignment horizontal="center" vertical="center"/>
    </xf>
    <xf numFmtId="2" fontId="114" fillId="24" borderId="43" xfId="0" applyNumberFormat="1" applyFont="1" applyFill="1" applyBorder="1" applyAlignment="1">
      <alignment horizontal="center" vertical="center"/>
    </xf>
    <xf numFmtId="2" fontId="114" fillId="24" borderId="45" xfId="0" applyNumberFormat="1" applyFont="1" applyFill="1" applyBorder="1" applyAlignment="1">
      <alignment horizontal="center" vertical="center"/>
    </xf>
    <xf numFmtId="2" fontId="76" fillId="24" borderId="43" xfId="0" applyNumberFormat="1" applyFont="1" applyFill="1" applyBorder="1" applyAlignment="1">
      <alignment horizontal="center" vertical="center"/>
    </xf>
    <xf numFmtId="2" fontId="76" fillId="24" borderId="45" xfId="0" applyNumberFormat="1" applyFont="1" applyFill="1" applyBorder="1" applyAlignment="1">
      <alignment horizontal="center" vertical="center"/>
    </xf>
    <xf numFmtId="2" fontId="131" fillId="24" borderId="43" xfId="0" applyNumberFormat="1" applyFont="1" applyFill="1" applyBorder="1" applyAlignment="1">
      <alignment horizontal="center" vertical="center"/>
    </xf>
    <xf numFmtId="2" fontId="131" fillId="24" borderId="45" xfId="0" applyNumberFormat="1" applyFont="1" applyFill="1" applyBorder="1" applyAlignment="1">
      <alignment horizontal="center" vertical="center"/>
    </xf>
    <xf numFmtId="2" fontId="72" fillId="26" borderId="50" xfId="0" applyNumberFormat="1" applyFont="1" applyFill="1" applyBorder="1" applyAlignment="1">
      <alignment horizontal="center" vertical="center"/>
    </xf>
    <xf numFmtId="2" fontId="72" fillId="26" borderId="52" xfId="0" applyNumberFormat="1" applyFont="1" applyFill="1" applyBorder="1" applyAlignment="1">
      <alignment horizontal="center" vertical="center"/>
    </xf>
    <xf numFmtId="2" fontId="73" fillId="26" borderId="50" xfId="0" applyNumberFormat="1" applyFont="1" applyFill="1" applyBorder="1" applyAlignment="1">
      <alignment horizontal="center" vertical="center"/>
    </xf>
    <xf numFmtId="2" fontId="73" fillId="26" borderId="52" xfId="0" applyNumberFormat="1" applyFont="1" applyFill="1" applyBorder="1" applyAlignment="1">
      <alignment horizontal="center" vertical="center"/>
    </xf>
    <xf numFmtId="2" fontId="96" fillId="26" borderId="50" xfId="0" applyNumberFormat="1" applyFont="1" applyFill="1" applyBorder="1" applyAlignment="1">
      <alignment horizontal="center" vertical="center"/>
    </xf>
    <xf numFmtId="2" fontId="96" fillId="26" borderId="52" xfId="0" applyNumberFormat="1" applyFont="1" applyFill="1" applyBorder="1" applyAlignment="1">
      <alignment horizontal="center" vertical="center"/>
    </xf>
    <xf numFmtId="2" fontId="63" fillId="31" borderId="43" xfId="37" applyNumberFormat="1" applyFont="1" applyFill="1" applyBorder="1" applyAlignment="1">
      <alignment horizontal="center"/>
    </xf>
    <xf numFmtId="2" fontId="63" fillId="31" borderId="58" xfId="37" applyNumberFormat="1" applyFont="1" applyFill="1" applyBorder="1" applyAlignment="1">
      <alignment horizontal="center"/>
    </xf>
    <xf numFmtId="2" fontId="139" fillId="27" borderId="43" xfId="37" applyNumberFormat="1" applyFont="1" applyFill="1" applyBorder="1" applyAlignment="1">
      <alignment horizontal="center"/>
    </xf>
    <xf numFmtId="2" fontId="139" fillId="27" borderId="58" xfId="37" applyNumberFormat="1" applyFont="1" applyFill="1" applyBorder="1" applyAlignment="1">
      <alignment horizontal="center"/>
    </xf>
    <xf numFmtId="2" fontId="72" fillId="26" borderId="43" xfId="37" applyNumberFormat="1" applyFont="1" applyFill="1" applyBorder="1" applyAlignment="1">
      <alignment horizontal="center"/>
    </xf>
    <xf numFmtId="2" fontId="72" fillId="26" borderId="58" xfId="37" applyNumberFormat="1" applyFont="1" applyFill="1" applyBorder="1" applyAlignment="1">
      <alignment horizontal="center"/>
    </xf>
    <xf numFmtId="2" fontId="63" fillId="25" borderId="43" xfId="37" applyNumberFormat="1" applyFont="1" applyFill="1" applyBorder="1" applyAlignment="1">
      <alignment horizontal="center"/>
    </xf>
    <xf numFmtId="2" fontId="63" fillId="25" borderId="58" xfId="37" applyNumberFormat="1" applyFont="1" applyFill="1" applyBorder="1" applyAlignment="1">
      <alignment horizontal="center"/>
    </xf>
    <xf numFmtId="2" fontId="63" fillId="37" borderId="43" xfId="37" applyNumberFormat="1" applyFont="1" applyFill="1" applyBorder="1" applyAlignment="1">
      <alignment horizontal="center"/>
    </xf>
    <xf numFmtId="2" fontId="63" fillId="37" borderId="58" xfId="37" applyNumberFormat="1" applyFont="1" applyFill="1" applyBorder="1" applyAlignment="1">
      <alignment horizontal="center"/>
    </xf>
    <xf numFmtId="2" fontId="94" fillId="24" borderId="46" xfId="37" applyNumberFormat="1" applyFont="1" applyFill="1" applyBorder="1" applyAlignment="1">
      <alignment horizontal="center"/>
    </xf>
    <xf numFmtId="2" fontId="94" fillId="24" borderId="58" xfId="37" applyNumberFormat="1" applyFont="1" applyFill="1" applyBorder="1" applyAlignment="1">
      <alignment horizontal="center"/>
    </xf>
    <xf numFmtId="2" fontId="147" fillId="26" borderId="290" xfId="37" applyNumberFormat="1" applyFont="1" applyFill="1" applyBorder="1" applyAlignment="1">
      <alignment horizontal="center"/>
    </xf>
    <xf numFmtId="2" fontId="147" fillId="26" borderId="291" xfId="37" applyNumberFormat="1" applyFont="1" applyFill="1" applyBorder="1" applyAlignment="1">
      <alignment horizontal="center"/>
    </xf>
    <xf numFmtId="2" fontId="94" fillId="24" borderId="87" xfId="37" applyNumberFormat="1" applyFont="1" applyFill="1" applyBorder="1" applyAlignment="1">
      <alignment horizontal="center"/>
    </xf>
    <xf numFmtId="2" fontId="94" fillId="24" borderId="78" xfId="37" applyNumberFormat="1" applyFont="1" applyFill="1" applyBorder="1" applyAlignment="1">
      <alignment horizontal="center"/>
    </xf>
    <xf numFmtId="2" fontId="65" fillId="50" borderId="51" xfId="37" applyNumberFormat="1" applyFont="1" applyFill="1" applyBorder="1" applyAlignment="1">
      <alignment horizontal="center"/>
    </xf>
    <xf numFmtId="2" fontId="65" fillId="50" borderId="62" xfId="37" applyNumberFormat="1" applyFont="1" applyFill="1" applyBorder="1" applyAlignment="1">
      <alignment horizontal="center"/>
    </xf>
    <xf numFmtId="0" fontId="54" fillId="24" borderId="132" xfId="0" applyFont="1" applyFill="1" applyBorder="1" applyAlignment="1">
      <alignment horizontal="right" vertical="center"/>
    </xf>
    <xf numFmtId="0" fontId="54" fillId="24" borderId="133" xfId="0" applyFont="1" applyFill="1" applyBorder="1" applyAlignment="1">
      <alignment horizontal="right" vertical="center"/>
    </xf>
    <xf numFmtId="0" fontId="54" fillId="24" borderId="135" xfId="0" applyFont="1" applyFill="1" applyBorder="1" applyAlignment="1">
      <alignment horizontal="right" vertical="center"/>
    </xf>
    <xf numFmtId="0" fontId="54" fillId="24" borderId="136" xfId="0" applyFont="1" applyFill="1" applyBorder="1" applyAlignment="1">
      <alignment horizontal="right" vertical="center"/>
    </xf>
    <xf numFmtId="0" fontId="54" fillId="24" borderId="130" xfId="0" applyFont="1" applyFill="1" applyBorder="1" applyAlignment="1">
      <alignment horizontal="right"/>
    </xf>
    <xf numFmtId="0" fontId="54" fillId="24" borderId="112" xfId="0" applyFont="1" applyFill="1" applyBorder="1" applyAlignment="1">
      <alignment horizontal="right"/>
    </xf>
    <xf numFmtId="0" fontId="54" fillId="24" borderId="131" xfId="0" applyFont="1" applyFill="1" applyBorder="1" applyAlignment="1">
      <alignment horizontal="right"/>
    </xf>
    <xf numFmtId="0" fontId="54" fillId="24" borderId="139" xfId="0" applyFont="1" applyFill="1" applyBorder="1" applyAlignment="1">
      <alignment horizontal="right" vertical="center"/>
    </xf>
    <xf numFmtId="0" fontId="54" fillId="24" borderId="112" xfId="0" applyFont="1" applyFill="1" applyBorder="1" applyAlignment="1">
      <alignment horizontal="right" vertical="center"/>
    </xf>
    <xf numFmtId="0" fontId="54" fillId="24" borderId="132" xfId="0" applyFont="1" applyFill="1" applyBorder="1" applyAlignment="1">
      <alignment horizontal="right"/>
    </xf>
    <xf numFmtId="0" fontId="54" fillId="24" borderId="133" xfId="0" applyFont="1" applyFill="1" applyBorder="1" applyAlignment="1">
      <alignment horizontal="right"/>
    </xf>
    <xf numFmtId="0" fontId="54" fillId="24" borderId="142" xfId="0" applyFont="1" applyFill="1" applyBorder="1" applyAlignment="1">
      <alignment horizontal="right"/>
    </xf>
    <xf numFmtId="0" fontId="54" fillId="24" borderId="139" xfId="0" applyFont="1" applyFill="1" applyBorder="1" applyAlignment="1">
      <alignment horizontal="right"/>
    </xf>
    <xf numFmtId="0" fontId="99" fillId="26" borderId="130" xfId="0" applyFont="1" applyFill="1" applyBorder="1" applyAlignment="1">
      <alignment horizontal="right"/>
    </xf>
    <xf numFmtId="0" fontId="99" fillId="26" borderId="112" xfId="0" applyFont="1" applyFill="1" applyBorder="1" applyAlignment="1">
      <alignment horizontal="right"/>
    </xf>
    <xf numFmtId="0" fontId="54" fillId="24" borderId="135" xfId="0" applyFont="1" applyFill="1" applyBorder="1" applyAlignment="1">
      <alignment horizontal="right"/>
    </xf>
    <xf numFmtId="0" fontId="54" fillId="24" borderId="136" xfId="0" applyFont="1" applyFill="1" applyBorder="1" applyAlignment="1">
      <alignment horizontal="right"/>
    </xf>
    <xf numFmtId="0" fontId="54" fillId="24" borderId="140" xfId="0" applyFont="1" applyFill="1" applyBorder="1" applyAlignment="1">
      <alignment horizontal="right"/>
    </xf>
    <xf numFmtId="2" fontId="77" fillId="33" borderId="141" xfId="0" applyNumberFormat="1" applyFont="1" applyFill="1" applyBorder="1" applyAlignment="1">
      <alignment horizontal="center"/>
    </xf>
    <xf numFmtId="2" fontId="77" fillId="33" borderId="134" xfId="0" applyNumberFormat="1" applyFont="1" applyFill="1" applyBorder="1" applyAlignment="1">
      <alignment horizontal="center"/>
    </xf>
    <xf numFmtId="2" fontId="77" fillId="33" borderId="138" xfId="0" applyNumberFormat="1" applyFont="1" applyFill="1" applyBorder="1" applyAlignment="1">
      <alignment horizontal="center"/>
    </xf>
    <xf numFmtId="2" fontId="77" fillId="33" borderId="137" xfId="0" applyNumberFormat="1" applyFont="1" applyFill="1" applyBorder="1" applyAlignment="1">
      <alignment horizontal="center"/>
    </xf>
    <xf numFmtId="0" fontId="54" fillId="24" borderId="102" xfId="0" applyFont="1" applyFill="1" applyBorder="1" applyAlignment="1">
      <alignment horizontal="center" vertical="center"/>
    </xf>
    <xf numFmtId="0" fontId="54" fillId="24" borderId="198" xfId="0" applyFont="1" applyFill="1" applyBorder="1" applyAlignment="1">
      <alignment horizontal="center" vertical="center"/>
    </xf>
    <xf numFmtId="2" fontId="77" fillId="33" borderId="148" xfId="0" applyNumberFormat="1" applyFont="1" applyFill="1" applyBorder="1" applyAlignment="1">
      <alignment horizontal="center"/>
    </xf>
    <xf numFmtId="0" fontId="54" fillId="49" borderId="132" xfId="0" applyFont="1" applyFill="1" applyBorder="1" applyAlignment="1">
      <alignment horizontal="right"/>
    </xf>
    <xf numFmtId="0" fontId="54" fillId="49" borderId="133" xfId="0" applyFont="1" applyFill="1" applyBorder="1" applyAlignment="1">
      <alignment horizontal="right"/>
    </xf>
    <xf numFmtId="0" fontId="54" fillId="26" borderId="144" xfId="0" applyFont="1" applyFill="1" applyBorder="1" applyAlignment="1">
      <alignment horizontal="right" vertical="center"/>
    </xf>
    <xf numFmtId="0" fontId="54" fillId="26" borderId="142" xfId="0" applyFont="1" applyFill="1" applyBorder="1" applyAlignment="1">
      <alignment horizontal="right" vertical="center"/>
    </xf>
    <xf numFmtId="0" fontId="54" fillId="51" borderId="248" xfId="0" applyFont="1" applyFill="1" applyBorder="1" applyAlignment="1">
      <alignment horizontal="center"/>
    </xf>
    <xf numFmtId="0" fontId="54" fillId="51" borderId="249" xfId="0" applyFont="1" applyFill="1" applyBorder="1" applyAlignment="1">
      <alignment horizontal="center"/>
    </xf>
    <xf numFmtId="0" fontId="54" fillId="51" borderId="250" xfId="0" applyFont="1" applyFill="1" applyBorder="1" applyAlignment="1">
      <alignment horizontal="center"/>
    </xf>
    <xf numFmtId="0" fontId="54" fillId="50" borderId="130" xfId="0" applyFont="1" applyFill="1" applyBorder="1" applyAlignment="1">
      <alignment horizontal="right" vertical="center"/>
    </xf>
    <xf numFmtId="0" fontId="54" fillId="50" borderId="112" xfId="0" applyFont="1" applyFill="1" applyBorder="1" applyAlignment="1">
      <alignment horizontal="right" vertical="center"/>
    </xf>
    <xf numFmtId="0" fontId="54" fillId="50" borderId="131" xfId="0" applyFont="1" applyFill="1" applyBorder="1" applyAlignment="1">
      <alignment horizontal="right" vertical="center"/>
    </xf>
    <xf numFmtId="0" fontId="54" fillId="26" borderId="132" xfId="0" applyFont="1" applyFill="1" applyBorder="1" applyAlignment="1">
      <alignment horizontal="right" vertical="center"/>
    </xf>
    <xf numFmtId="0" fontId="54" fillId="26" borderId="133" xfId="0" applyFont="1" applyFill="1" applyBorder="1" applyAlignment="1">
      <alignment horizontal="right" vertical="center"/>
    </xf>
    <xf numFmtId="0" fontId="54" fillId="26" borderId="139" xfId="0" applyFont="1" applyFill="1" applyBorder="1" applyAlignment="1">
      <alignment horizontal="right" vertical="center"/>
    </xf>
    <xf numFmtId="0" fontId="54" fillId="24" borderId="111" xfId="0" applyFont="1" applyFill="1" applyBorder="1" applyAlignment="1">
      <alignment horizontal="center"/>
    </xf>
    <xf numFmtId="0" fontId="54" fillId="24" borderId="129" xfId="0" applyFont="1" applyFill="1" applyBorder="1" applyAlignment="1">
      <alignment horizontal="center"/>
    </xf>
    <xf numFmtId="0" fontId="54" fillId="24" borderId="132" xfId="0" applyFont="1" applyFill="1" applyBorder="1" applyAlignment="1">
      <alignment horizontal="center" vertical="center"/>
    </xf>
    <xf numFmtId="0" fontId="54" fillId="24" borderId="139" xfId="0" applyFont="1" applyFill="1" applyBorder="1" applyAlignment="1">
      <alignment horizontal="center" vertical="center"/>
    </xf>
    <xf numFmtId="0" fontId="54" fillId="24" borderId="132" xfId="0" applyFont="1" applyFill="1" applyBorder="1" applyAlignment="1">
      <alignment horizontal="center"/>
    </xf>
    <xf numFmtId="0" fontId="54" fillId="24" borderId="139" xfId="0" applyFont="1" applyFill="1" applyBorder="1" applyAlignment="1">
      <alignment horizontal="center"/>
    </xf>
    <xf numFmtId="0" fontId="54" fillId="24" borderId="144" xfId="0" applyFont="1" applyFill="1" applyBorder="1" applyAlignment="1">
      <alignment horizontal="right"/>
    </xf>
    <xf numFmtId="0" fontId="54" fillId="24" borderId="111" xfId="0" applyFont="1" applyFill="1" applyBorder="1" applyAlignment="1">
      <alignment horizontal="right"/>
    </xf>
    <xf numFmtId="0" fontId="54" fillId="24" borderId="102" xfId="0" applyFont="1" applyFill="1" applyBorder="1" applyAlignment="1">
      <alignment horizontal="center"/>
    </xf>
    <xf numFmtId="0" fontId="54" fillId="24" borderId="198" xfId="0" applyFont="1" applyFill="1" applyBorder="1" applyAlignment="1">
      <alignment horizontal="center"/>
    </xf>
    <xf numFmtId="2" fontId="54" fillId="24" borderId="138" xfId="0" applyNumberFormat="1" applyFont="1" applyFill="1" applyBorder="1" applyAlignment="1">
      <alignment horizontal="center"/>
    </xf>
    <xf numFmtId="2" fontId="54" fillId="24" borderId="137" xfId="0" applyNumberFormat="1" applyFont="1" applyFill="1" applyBorder="1" applyAlignment="1">
      <alignment horizontal="center"/>
    </xf>
    <xf numFmtId="2" fontId="54" fillId="24" borderId="141" xfId="0" applyNumberFormat="1" applyFont="1" applyFill="1" applyBorder="1" applyAlignment="1">
      <alignment horizontal="center"/>
    </xf>
    <xf numFmtId="2" fontId="54" fillId="24" borderId="134" xfId="0" applyNumberFormat="1" applyFont="1" applyFill="1" applyBorder="1" applyAlignment="1">
      <alignment horizontal="center"/>
    </xf>
    <xf numFmtId="2" fontId="54" fillId="24" borderId="148" xfId="0" applyNumberFormat="1" applyFont="1" applyFill="1" applyBorder="1" applyAlignment="1">
      <alignment horizontal="center"/>
    </xf>
    <xf numFmtId="0" fontId="125" fillId="33" borderId="0" xfId="0" applyFont="1" applyFill="1" applyAlignment="1">
      <alignment horizontal="center"/>
    </xf>
    <xf numFmtId="0" fontId="112" fillId="24" borderId="234" xfId="0" applyFont="1" applyFill="1" applyBorder="1" applyAlignment="1">
      <alignment horizontal="center" vertical="center"/>
    </xf>
    <xf numFmtId="0" fontId="112" fillId="24" borderId="235" xfId="0" applyFont="1" applyFill="1" applyBorder="1" applyAlignment="1">
      <alignment horizontal="center" vertical="center"/>
    </xf>
    <xf numFmtId="10" fontId="113" fillId="24" borderId="234" xfId="0" applyNumberFormat="1" applyFont="1" applyFill="1" applyBorder="1" applyAlignment="1">
      <alignment horizontal="center" vertical="center"/>
    </xf>
    <xf numFmtId="10" fontId="113" fillId="24" borderId="235" xfId="0" applyNumberFormat="1" applyFont="1" applyFill="1" applyBorder="1" applyAlignment="1">
      <alignment horizontal="center" vertical="center"/>
    </xf>
    <xf numFmtId="0" fontId="78" fillId="24" borderId="236" xfId="0" applyFont="1" applyFill="1" applyBorder="1" applyAlignment="1">
      <alignment horizontal="center" vertical="center"/>
    </xf>
    <xf numFmtId="0" fontId="78" fillId="24" borderId="237" xfId="0" applyFont="1" applyFill="1" applyBorder="1" applyAlignment="1">
      <alignment horizontal="center" vertical="center"/>
    </xf>
    <xf numFmtId="0" fontId="71" fillId="32" borderId="238" xfId="0" applyFont="1" applyFill="1" applyBorder="1" applyAlignment="1">
      <alignment horizontal="center" vertical="center"/>
    </xf>
    <xf numFmtId="0" fontId="71" fillId="32" borderId="239" xfId="0" applyFont="1" applyFill="1" applyBorder="1" applyAlignment="1">
      <alignment horizontal="center" vertical="center"/>
    </xf>
    <xf numFmtId="0" fontId="71" fillId="32" borderId="241" xfId="0" applyFont="1" applyFill="1" applyBorder="1" applyAlignment="1">
      <alignment horizontal="center" vertical="center"/>
    </xf>
    <xf numFmtId="0" fontId="71" fillId="32" borderId="242" xfId="0" applyFont="1" applyFill="1" applyBorder="1" applyAlignment="1">
      <alignment horizontal="center" vertical="center"/>
    </xf>
    <xf numFmtId="0" fontId="74" fillId="24" borderId="0" xfId="0" applyFont="1" applyFill="1" applyAlignment="1">
      <alignment horizontal="center" vertical="center"/>
    </xf>
    <xf numFmtId="0" fontId="74" fillId="24" borderId="120" xfId="0" applyFont="1" applyFill="1" applyBorder="1" applyAlignment="1">
      <alignment horizontal="center" vertical="center"/>
    </xf>
    <xf numFmtId="0" fontId="91" fillId="24" borderId="0" xfId="0" applyFont="1" applyFill="1" applyAlignment="1">
      <alignment horizontal="center" vertical="center"/>
    </xf>
    <xf numFmtId="0" fontId="91" fillId="24" borderId="86" xfId="0" applyFont="1" applyFill="1" applyBorder="1" applyAlignment="1">
      <alignment horizontal="center" vertical="center"/>
    </xf>
    <xf numFmtId="0" fontId="91" fillId="24" borderId="72" xfId="0" applyFont="1" applyFill="1" applyBorder="1" applyAlignment="1">
      <alignment horizontal="center" vertical="center"/>
    </xf>
    <xf numFmtId="0" fontId="91" fillId="24" borderId="128" xfId="0" applyFont="1" applyFill="1" applyBorder="1" applyAlignment="1">
      <alignment horizontal="center" vertical="center"/>
    </xf>
    <xf numFmtId="0" fontId="103" fillId="49" borderId="225" xfId="0" applyFont="1" applyFill="1" applyBorder="1" applyAlignment="1">
      <alignment horizontal="center" vertical="center"/>
    </xf>
    <xf numFmtId="0" fontId="103" fillId="49" borderId="226" xfId="0" applyFont="1" applyFill="1" applyBorder="1" applyAlignment="1">
      <alignment horizontal="center" vertical="center"/>
    </xf>
    <xf numFmtId="0" fontId="103" fillId="49" borderId="227" xfId="0" applyFont="1" applyFill="1" applyBorder="1" applyAlignment="1">
      <alignment horizontal="center" vertical="center"/>
    </xf>
    <xf numFmtId="0" fontId="61" fillId="32" borderId="207" xfId="0" applyFont="1" applyFill="1" applyBorder="1" applyAlignment="1">
      <alignment horizontal="center" vertical="center"/>
    </xf>
    <xf numFmtId="0" fontId="61" fillId="32" borderId="138" xfId="0" applyFont="1" applyFill="1" applyBorder="1" applyAlignment="1">
      <alignment horizontal="center" vertical="center"/>
    </xf>
    <xf numFmtId="0" fontId="61" fillId="32" borderId="103" xfId="0" applyFont="1" applyFill="1" applyBorder="1" applyAlignment="1">
      <alignment horizontal="center" vertical="center"/>
    </xf>
    <xf numFmtId="0" fontId="61" fillId="32" borderId="203" xfId="0" applyFont="1" applyFill="1" applyBorder="1" applyAlignment="1">
      <alignment horizontal="center" vertical="center"/>
    </xf>
    <xf numFmtId="0" fontId="78" fillId="24" borderId="219" xfId="0" applyFont="1" applyFill="1" applyBorder="1" applyAlignment="1">
      <alignment horizontal="center" vertical="center" wrapText="1"/>
    </xf>
    <xf numFmtId="0" fontId="78" fillId="24" borderId="220" xfId="0" applyFont="1" applyFill="1" applyBorder="1" applyAlignment="1">
      <alignment horizontal="center" vertical="center" wrapText="1"/>
    </xf>
    <xf numFmtId="0" fontId="151" fillId="46" borderId="0" xfId="0" applyFont="1" applyFill="1" applyAlignment="1">
      <alignment horizontal="center" vertical="center"/>
    </xf>
    <xf numFmtId="2" fontId="156" fillId="49" borderId="44" xfId="0" applyNumberFormat="1" applyFont="1" applyFill="1" applyBorder="1" applyAlignment="1">
      <alignment horizontal="center" vertical="center"/>
    </xf>
    <xf numFmtId="0" fontId="157" fillId="24" borderId="117" xfId="0" applyFont="1" applyFill="1" applyBorder="1" applyAlignment="1">
      <alignment horizontal="center" vertical="center"/>
    </xf>
    <xf numFmtId="0" fontId="157" fillId="24" borderId="118" xfId="0" applyFont="1" applyFill="1" applyBorder="1" applyAlignment="1">
      <alignment horizontal="center" vertical="center"/>
    </xf>
    <xf numFmtId="0" fontId="157" fillId="24" borderId="119" xfId="0" applyFont="1" applyFill="1" applyBorder="1" applyAlignment="1">
      <alignment horizontal="center" vertical="center"/>
    </xf>
    <xf numFmtId="0" fontId="157" fillId="24" borderId="245" xfId="0" applyFont="1" applyFill="1" applyBorder="1" applyAlignment="1">
      <alignment horizontal="center" vertical="center"/>
    </xf>
    <xf numFmtId="0" fontId="157" fillId="24" borderId="246" xfId="0" applyFont="1" applyFill="1" applyBorder="1" applyAlignment="1">
      <alignment horizontal="center" vertical="center"/>
    </xf>
    <xf numFmtId="0" fontId="157" fillId="24" borderId="247" xfId="0" applyFont="1" applyFill="1" applyBorder="1" applyAlignment="1">
      <alignment horizontal="center" vertical="center"/>
    </xf>
    <xf numFmtId="0" fontId="158" fillId="24" borderId="130" xfId="0" applyFont="1" applyFill="1" applyBorder="1" applyAlignment="1">
      <alignment horizontal="center" vertical="center"/>
    </xf>
    <xf numFmtId="0" fontId="158" fillId="24" borderId="112" xfId="0" applyFont="1" applyFill="1" applyBorder="1" applyAlignment="1">
      <alignment horizontal="center" vertical="center"/>
    </xf>
    <xf numFmtId="166" fontId="159" fillId="39" borderId="44" xfId="37" applyNumberFormat="1" applyFont="1" applyFill="1" applyBorder="1" applyAlignment="1">
      <alignment horizontal="center" vertical="center"/>
    </xf>
    <xf numFmtId="2" fontId="160" fillId="39" borderId="44" xfId="37" applyNumberFormat="1" applyFont="1" applyFill="1" applyBorder="1" applyAlignment="1">
      <alignment horizontal="center" vertical="center"/>
    </xf>
    <xf numFmtId="2" fontId="161" fillId="50" borderId="44" xfId="37" applyNumberFormat="1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4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 xr:uid="{00000000-0005-0000-0000-000026000000}"/>
    <cellStyle name="Normal_Sheet1" xfId="37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007033"/>
      <color rgb="FFFF6600"/>
      <color rgb="FF4C37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14</xdr:row>
      <xdr:rowOff>38100</xdr:rowOff>
    </xdr:from>
    <xdr:ext cx="61171" cy="180036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 txBox="1">
          <a:spLocks noChangeArrowheads="1"/>
        </xdr:cNvSpPr>
      </xdr:nvSpPr>
      <xdr:spPr bwMode="auto">
        <a:xfrm>
          <a:off x="200025" y="1238250"/>
          <a:ext cx="61171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35</xdr:row>
      <xdr:rowOff>0</xdr:rowOff>
    </xdr:from>
    <xdr:ext cx="61171" cy="180036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649311" y="3344636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35</xdr:row>
      <xdr:rowOff>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F21EAEC5-881C-484D-9856-D14ACEC4D736}"/>
            </a:ext>
          </a:extLst>
        </xdr:cNvPr>
        <xdr:cNvSpPr txBox="1">
          <a:spLocks noChangeArrowheads="1"/>
        </xdr:cNvSpPr>
      </xdr:nvSpPr>
      <xdr:spPr bwMode="auto">
        <a:xfrm>
          <a:off x="2649311" y="3344636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39</xdr:row>
      <xdr:rowOff>0</xdr:rowOff>
    </xdr:from>
    <xdr:ext cx="61171" cy="180036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5597585-E137-4068-AA9B-B28A7FC18382}"/>
            </a:ext>
          </a:extLst>
        </xdr:cNvPr>
        <xdr:cNvSpPr txBox="1">
          <a:spLocks noChangeArrowheads="1"/>
        </xdr:cNvSpPr>
      </xdr:nvSpPr>
      <xdr:spPr bwMode="auto">
        <a:xfrm>
          <a:off x="2660650" y="389572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39</xdr:row>
      <xdr:rowOff>0</xdr:rowOff>
    </xdr:from>
    <xdr:ext cx="61171" cy="180036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BC5D66F1-5FC2-469E-8E53-AC01A24F2021}"/>
            </a:ext>
          </a:extLst>
        </xdr:cNvPr>
        <xdr:cNvSpPr txBox="1">
          <a:spLocks noChangeArrowheads="1"/>
        </xdr:cNvSpPr>
      </xdr:nvSpPr>
      <xdr:spPr bwMode="auto">
        <a:xfrm>
          <a:off x="2660650" y="10191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39</xdr:row>
      <xdr:rowOff>0</xdr:rowOff>
    </xdr:from>
    <xdr:ext cx="61171" cy="180036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1702286A-9278-4517-BCC9-578C4DD50E2B}"/>
            </a:ext>
          </a:extLst>
        </xdr:cNvPr>
        <xdr:cNvSpPr txBox="1">
          <a:spLocks noChangeArrowheads="1"/>
        </xdr:cNvSpPr>
      </xdr:nvSpPr>
      <xdr:spPr bwMode="auto">
        <a:xfrm>
          <a:off x="2660650" y="10191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19</xdr:col>
      <xdr:colOff>200025</xdr:colOff>
      <xdr:row>14</xdr:row>
      <xdr:rowOff>38100</xdr:rowOff>
    </xdr:from>
    <xdr:ext cx="61171" cy="180036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5229196A-97E7-4384-BD0F-C8627D817620}"/>
            </a:ext>
          </a:extLst>
        </xdr:cNvPr>
        <xdr:cNvSpPr txBox="1">
          <a:spLocks noChangeArrowheads="1"/>
        </xdr:cNvSpPr>
      </xdr:nvSpPr>
      <xdr:spPr bwMode="auto">
        <a:xfrm>
          <a:off x="2700338" y="315753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19</xdr:col>
      <xdr:colOff>200025</xdr:colOff>
      <xdr:row>35</xdr:row>
      <xdr:rowOff>0</xdr:rowOff>
    </xdr:from>
    <xdr:ext cx="61171" cy="180036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C55DA49A-8CF9-4ADD-A7D0-B3C550A4D552}"/>
            </a:ext>
          </a:extLst>
        </xdr:cNvPr>
        <xdr:cNvSpPr txBox="1">
          <a:spLocks noChangeArrowheads="1"/>
        </xdr:cNvSpPr>
      </xdr:nvSpPr>
      <xdr:spPr bwMode="auto">
        <a:xfrm>
          <a:off x="2700338" y="826293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19</xdr:col>
      <xdr:colOff>200025</xdr:colOff>
      <xdr:row>35</xdr:row>
      <xdr:rowOff>0</xdr:rowOff>
    </xdr:from>
    <xdr:ext cx="61171" cy="180036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D6EE82CA-061D-46C0-81BA-D5D256E5B68E}"/>
            </a:ext>
          </a:extLst>
        </xdr:cNvPr>
        <xdr:cNvSpPr txBox="1">
          <a:spLocks noChangeArrowheads="1"/>
        </xdr:cNvSpPr>
      </xdr:nvSpPr>
      <xdr:spPr bwMode="auto">
        <a:xfrm>
          <a:off x="2700338" y="826293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13</xdr:row>
      <xdr:rowOff>38100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200025" y="12382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13</xdr:row>
      <xdr:rowOff>38100</xdr:rowOff>
    </xdr:from>
    <xdr:ext cx="61171" cy="180036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200025" y="12382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0</xdr:colOff>
      <xdr:row>40</xdr:row>
      <xdr:rowOff>0</xdr:rowOff>
    </xdr:from>
    <xdr:ext cx="61171" cy="180036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2420471" y="3108512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40</xdr:row>
      <xdr:rowOff>0</xdr:rowOff>
    </xdr:from>
    <xdr:ext cx="61171" cy="180036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2620496" y="3108512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0</xdr:colOff>
      <xdr:row>40</xdr:row>
      <xdr:rowOff>0</xdr:rowOff>
    </xdr:from>
    <xdr:ext cx="61171" cy="180036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A132C503-09DA-42F7-ADA1-68B91D4DBB92}"/>
            </a:ext>
          </a:extLst>
        </xdr:cNvPr>
        <xdr:cNvSpPr txBox="1">
          <a:spLocks noChangeArrowheads="1"/>
        </xdr:cNvSpPr>
      </xdr:nvSpPr>
      <xdr:spPr bwMode="auto">
        <a:xfrm>
          <a:off x="2420471" y="3108512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40</xdr:row>
      <xdr:rowOff>0</xdr:rowOff>
    </xdr:from>
    <xdr:ext cx="61171" cy="180036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B467D6C4-EF8F-472A-A6A0-3E35E631995B}"/>
            </a:ext>
          </a:extLst>
        </xdr:cNvPr>
        <xdr:cNvSpPr txBox="1">
          <a:spLocks noChangeArrowheads="1"/>
        </xdr:cNvSpPr>
      </xdr:nvSpPr>
      <xdr:spPr bwMode="auto">
        <a:xfrm>
          <a:off x="2620496" y="3108512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34</xdr:row>
      <xdr:rowOff>0</xdr:rowOff>
    </xdr:from>
    <xdr:ext cx="61171" cy="180036"/>
    <xdr:sp macro="" textlink="">
      <xdr:nvSpPr>
        <xdr:cNvPr id="24" name="Text Box 3">
          <a:extLst>
            <a:ext uri="{FF2B5EF4-FFF2-40B4-BE49-F238E27FC236}">
              <a16:creationId xmlns:a16="http://schemas.microsoft.com/office/drawing/2014/main" id="{979E3D30-8BBF-4595-9943-2C0F5CC466EB}"/>
            </a:ext>
          </a:extLst>
        </xdr:cNvPr>
        <xdr:cNvSpPr txBox="1">
          <a:spLocks noChangeArrowheads="1"/>
        </xdr:cNvSpPr>
      </xdr:nvSpPr>
      <xdr:spPr bwMode="auto">
        <a:xfrm>
          <a:off x="2676525" y="102298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34</xdr:row>
      <xdr:rowOff>0</xdr:rowOff>
    </xdr:from>
    <xdr:ext cx="61171" cy="180036"/>
    <xdr:sp macro="" textlink="">
      <xdr:nvSpPr>
        <xdr:cNvPr id="25" name="Text Box 3">
          <a:extLst>
            <a:ext uri="{FF2B5EF4-FFF2-40B4-BE49-F238E27FC236}">
              <a16:creationId xmlns:a16="http://schemas.microsoft.com/office/drawing/2014/main" id="{5854C294-FF63-4519-9D17-9CBB1E7F5C28}"/>
            </a:ext>
          </a:extLst>
        </xdr:cNvPr>
        <xdr:cNvSpPr txBox="1">
          <a:spLocks noChangeArrowheads="1"/>
        </xdr:cNvSpPr>
      </xdr:nvSpPr>
      <xdr:spPr bwMode="auto">
        <a:xfrm>
          <a:off x="2676525" y="102298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0</xdr:colOff>
      <xdr:row>40</xdr:row>
      <xdr:rowOff>0</xdr:rowOff>
    </xdr:from>
    <xdr:ext cx="61171" cy="180036"/>
    <xdr:sp macro="" textlink="">
      <xdr:nvSpPr>
        <xdr:cNvPr id="30" name="Text Box 3">
          <a:extLst>
            <a:ext uri="{FF2B5EF4-FFF2-40B4-BE49-F238E27FC236}">
              <a16:creationId xmlns:a16="http://schemas.microsoft.com/office/drawing/2014/main" id="{93080BAD-C48A-49CB-A971-18C75386B246}"/>
            </a:ext>
          </a:extLst>
        </xdr:cNvPr>
        <xdr:cNvSpPr txBox="1">
          <a:spLocks noChangeArrowheads="1"/>
        </xdr:cNvSpPr>
      </xdr:nvSpPr>
      <xdr:spPr bwMode="auto">
        <a:xfrm>
          <a:off x="2317750" y="36099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40</xdr:row>
      <xdr:rowOff>0</xdr:rowOff>
    </xdr:from>
    <xdr:ext cx="61171" cy="180036"/>
    <xdr:sp macro="" textlink="">
      <xdr:nvSpPr>
        <xdr:cNvPr id="31" name="Text Box 3">
          <a:extLst>
            <a:ext uri="{FF2B5EF4-FFF2-40B4-BE49-F238E27FC236}">
              <a16:creationId xmlns:a16="http://schemas.microsoft.com/office/drawing/2014/main" id="{0427A6B1-CF90-47A4-AC95-02A8F2B112D6}"/>
            </a:ext>
          </a:extLst>
        </xdr:cNvPr>
        <xdr:cNvSpPr txBox="1">
          <a:spLocks noChangeArrowheads="1"/>
        </xdr:cNvSpPr>
      </xdr:nvSpPr>
      <xdr:spPr bwMode="auto">
        <a:xfrm>
          <a:off x="2517775" y="36099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40</xdr:row>
      <xdr:rowOff>0</xdr:rowOff>
    </xdr:from>
    <xdr:ext cx="61171" cy="180036"/>
    <xdr:sp macro="" textlink="">
      <xdr:nvSpPr>
        <xdr:cNvPr id="32" name="Text Box 3">
          <a:extLst>
            <a:ext uri="{FF2B5EF4-FFF2-40B4-BE49-F238E27FC236}">
              <a16:creationId xmlns:a16="http://schemas.microsoft.com/office/drawing/2014/main" id="{395A6E7C-5175-42CD-BF02-965EEA545F02}"/>
            </a:ext>
          </a:extLst>
        </xdr:cNvPr>
        <xdr:cNvSpPr txBox="1">
          <a:spLocks noChangeArrowheads="1"/>
        </xdr:cNvSpPr>
      </xdr:nvSpPr>
      <xdr:spPr bwMode="auto">
        <a:xfrm>
          <a:off x="2517775" y="9810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40</xdr:row>
      <xdr:rowOff>0</xdr:rowOff>
    </xdr:from>
    <xdr:ext cx="61171" cy="180036"/>
    <xdr:sp macro="" textlink="">
      <xdr:nvSpPr>
        <xdr:cNvPr id="33" name="Text Box 3">
          <a:extLst>
            <a:ext uri="{FF2B5EF4-FFF2-40B4-BE49-F238E27FC236}">
              <a16:creationId xmlns:a16="http://schemas.microsoft.com/office/drawing/2014/main" id="{4AE22FDB-3343-49BA-9402-3AFB5E7578C0}"/>
            </a:ext>
          </a:extLst>
        </xdr:cNvPr>
        <xdr:cNvSpPr txBox="1">
          <a:spLocks noChangeArrowheads="1"/>
        </xdr:cNvSpPr>
      </xdr:nvSpPr>
      <xdr:spPr bwMode="auto">
        <a:xfrm>
          <a:off x="2517775" y="9810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28</xdr:col>
      <xdr:colOff>0</xdr:colOff>
      <xdr:row>14</xdr:row>
      <xdr:rowOff>38100</xdr:rowOff>
    </xdr:from>
    <xdr:ext cx="61171" cy="180036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F8054ED-CABC-420F-8605-1270462D3F2F}"/>
            </a:ext>
          </a:extLst>
        </xdr:cNvPr>
        <xdr:cNvSpPr txBox="1">
          <a:spLocks noChangeArrowheads="1"/>
        </xdr:cNvSpPr>
      </xdr:nvSpPr>
      <xdr:spPr bwMode="auto">
        <a:xfrm>
          <a:off x="2357438" y="3205163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28</xdr:col>
      <xdr:colOff>200025</xdr:colOff>
      <xdr:row>14</xdr:row>
      <xdr:rowOff>38100</xdr:rowOff>
    </xdr:from>
    <xdr:ext cx="61171" cy="180036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584B6085-0A4D-4135-8CE8-6EFA12019E94}"/>
            </a:ext>
          </a:extLst>
        </xdr:cNvPr>
        <xdr:cNvSpPr txBox="1">
          <a:spLocks noChangeArrowheads="1"/>
        </xdr:cNvSpPr>
      </xdr:nvSpPr>
      <xdr:spPr bwMode="auto">
        <a:xfrm>
          <a:off x="2557463" y="3205163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28</xdr:col>
      <xdr:colOff>200025</xdr:colOff>
      <xdr:row>35</xdr:row>
      <xdr:rowOff>0</xdr:rowOff>
    </xdr:from>
    <xdr:ext cx="61171" cy="180036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0CA4F9A1-DF9D-4828-8484-C8313BA67F2B}"/>
            </a:ext>
          </a:extLst>
        </xdr:cNvPr>
        <xdr:cNvSpPr txBox="1">
          <a:spLocks noChangeArrowheads="1"/>
        </xdr:cNvSpPr>
      </xdr:nvSpPr>
      <xdr:spPr bwMode="auto">
        <a:xfrm>
          <a:off x="2557463" y="9072563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28</xdr:col>
      <xdr:colOff>200025</xdr:colOff>
      <xdr:row>35</xdr:row>
      <xdr:rowOff>0</xdr:rowOff>
    </xdr:from>
    <xdr:ext cx="61171" cy="180036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645BAA46-58F0-429A-A9C9-13E0C4CED92B}"/>
            </a:ext>
          </a:extLst>
        </xdr:cNvPr>
        <xdr:cNvSpPr txBox="1">
          <a:spLocks noChangeArrowheads="1"/>
        </xdr:cNvSpPr>
      </xdr:nvSpPr>
      <xdr:spPr bwMode="auto">
        <a:xfrm>
          <a:off x="2557463" y="9072563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14</xdr:row>
      <xdr:rowOff>38100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D170AC33-1520-40EA-ACAA-B5DDB2150CB3}"/>
            </a:ext>
          </a:extLst>
        </xdr:cNvPr>
        <xdr:cNvSpPr txBox="1">
          <a:spLocks noChangeArrowheads="1"/>
        </xdr:cNvSpPr>
      </xdr:nvSpPr>
      <xdr:spPr bwMode="auto">
        <a:xfrm>
          <a:off x="2066925" y="4857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43</xdr:row>
      <xdr:rowOff>0</xdr:rowOff>
    </xdr:from>
    <xdr:ext cx="61171" cy="180036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728EBE06-DA26-45FE-8B6D-A60738BE7EA5}"/>
            </a:ext>
          </a:extLst>
        </xdr:cNvPr>
        <xdr:cNvSpPr txBox="1">
          <a:spLocks noChangeArrowheads="1"/>
        </xdr:cNvSpPr>
      </xdr:nvSpPr>
      <xdr:spPr bwMode="auto">
        <a:xfrm>
          <a:off x="2066925" y="231838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43</xdr:row>
      <xdr:rowOff>0</xdr:rowOff>
    </xdr:from>
    <xdr:ext cx="61171" cy="180036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A3BDDAE-0820-4633-B03D-641BD58069FB}"/>
            </a:ext>
          </a:extLst>
        </xdr:cNvPr>
        <xdr:cNvSpPr txBox="1">
          <a:spLocks noChangeArrowheads="1"/>
        </xdr:cNvSpPr>
      </xdr:nvSpPr>
      <xdr:spPr bwMode="auto">
        <a:xfrm>
          <a:off x="2066925" y="231838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37</xdr:row>
      <xdr:rowOff>0</xdr:rowOff>
    </xdr:from>
    <xdr:ext cx="61171" cy="180036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BBAB7276-FE1B-41CE-A608-254183F38B3B}"/>
            </a:ext>
          </a:extLst>
        </xdr:cNvPr>
        <xdr:cNvSpPr txBox="1">
          <a:spLocks noChangeArrowheads="1"/>
        </xdr:cNvSpPr>
      </xdr:nvSpPr>
      <xdr:spPr bwMode="auto">
        <a:xfrm>
          <a:off x="2066925" y="1185862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37</xdr:row>
      <xdr:rowOff>0</xdr:rowOff>
    </xdr:from>
    <xdr:ext cx="61171" cy="180036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F1F1BF51-85E8-4134-BA02-7FA069A312E2}"/>
            </a:ext>
          </a:extLst>
        </xdr:cNvPr>
        <xdr:cNvSpPr txBox="1">
          <a:spLocks noChangeArrowheads="1"/>
        </xdr:cNvSpPr>
      </xdr:nvSpPr>
      <xdr:spPr bwMode="auto">
        <a:xfrm>
          <a:off x="2066925" y="1185862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43</xdr:row>
      <xdr:rowOff>0</xdr:rowOff>
    </xdr:from>
    <xdr:ext cx="61171" cy="180036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1003EEA8-AAF9-4F1C-B291-0D894FCCB485}"/>
            </a:ext>
          </a:extLst>
        </xdr:cNvPr>
        <xdr:cNvSpPr txBox="1">
          <a:spLocks noChangeArrowheads="1"/>
        </xdr:cNvSpPr>
      </xdr:nvSpPr>
      <xdr:spPr bwMode="auto">
        <a:xfrm>
          <a:off x="2066925" y="177069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43</xdr:row>
      <xdr:rowOff>0</xdr:rowOff>
    </xdr:from>
    <xdr:ext cx="61171" cy="180036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5958992A-EC55-4BAF-BD71-351AAE850220}"/>
            </a:ext>
          </a:extLst>
        </xdr:cNvPr>
        <xdr:cNvSpPr txBox="1">
          <a:spLocks noChangeArrowheads="1"/>
        </xdr:cNvSpPr>
      </xdr:nvSpPr>
      <xdr:spPr bwMode="auto">
        <a:xfrm>
          <a:off x="2066925" y="247078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43</xdr:row>
      <xdr:rowOff>0</xdr:rowOff>
    </xdr:from>
    <xdr:ext cx="61171" cy="180036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25EE4EDE-FFC5-4BB7-AEC6-D304ADDDAE2E}"/>
            </a:ext>
          </a:extLst>
        </xdr:cNvPr>
        <xdr:cNvSpPr txBox="1">
          <a:spLocks noChangeArrowheads="1"/>
        </xdr:cNvSpPr>
      </xdr:nvSpPr>
      <xdr:spPr bwMode="auto">
        <a:xfrm>
          <a:off x="2066925" y="247078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54</xdr:row>
      <xdr:rowOff>38100</xdr:rowOff>
    </xdr:from>
    <xdr:ext cx="61171" cy="180036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521A460B-74CC-4C47-9DE4-FA84447F174E}"/>
            </a:ext>
          </a:extLst>
        </xdr:cNvPr>
        <xdr:cNvSpPr txBox="1">
          <a:spLocks noChangeArrowheads="1"/>
        </xdr:cNvSpPr>
      </xdr:nvSpPr>
      <xdr:spPr bwMode="auto">
        <a:xfrm>
          <a:off x="2053070" y="424641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77</xdr:row>
      <xdr:rowOff>0</xdr:rowOff>
    </xdr:from>
    <xdr:ext cx="61171" cy="180036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B4D3A3A8-FE6C-4D32-9E12-F9D701F3C178}"/>
            </a:ext>
          </a:extLst>
        </xdr:cNvPr>
        <xdr:cNvSpPr txBox="1">
          <a:spLocks noChangeArrowheads="1"/>
        </xdr:cNvSpPr>
      </xdr:nvSpPr>
      <xdr:spPr bwMode="auto">
        <a:xfrm>
          <a:off x="2053070" y="1030431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77</xdr:row>
      <xdr:rowOff>0</xdr:rowOff>
    </xdr:from>
    <xdr:ext cx="61171" cy="180036"/>
    <xdr:sp macro="" textlink="">
      <xdr:nvSpPr>
        <xdr:cNvPr id="12" name="Text Box 3">
          <a:extLst>
            <a:ext uri="{FF2B5EF4-FFF2-40B4-BE49-F238E27FC236}">
              <a16:creationId xmlns:a16="http://schemas.microsoft.com/office/drawing/2014/main" id="{B36E96D5-96A5-419E-9AF2-2603F49AADCA}"/>
            </a:ext>
          </a:extLst>
        </xdr:cNvPr>
        <xdr:cNvSpPr txBox="1">
          <a:spLocks noChangeArrowheads="1"/>
        </xdr:cNvSpPr>
      </xdr:nvSpPr>
      <xdr:spPr bwMode="auto">
        <a:xfrm>
          <a:off x="2053070" y="1030431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13</xdr:row>
      <xdr:rowOff>38100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5F0F95E0-8275-449B-A30A-BC6DA61ACE06}"/>
            </a:ext>
          </a:extLst>
        </xdr:cNvPr>
        <xdr:cNvSpPr txBox="1">
          <a:spLocks noChangeArrowheads="1"/>
        </xdr:cNvSpPr>
      </xdr:nvSpPr>
      <xdr:spPr bwMode="auto">
        <a:xfrm>
          <a:off x="2066925" y="370522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52</xdr:row>
      <xdr:rowOff>0</xdr:rowOff>
    </xdr:from>
    <xdr:ext cx="61171" cy="180036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3395B8DB-553B-4CA8-AC66-57A165672D49}"/>
            </a:ext>
          </a:extLst>
        </xdr:cNvPr>
        <xdr:cNvSpPr txBox="1">
          <a:spLocks noChangeArrowheads="1"/>
        </xdr:cNvSpPr>
      </xdr:nvSpPr>
      <xdr:spPr bwMode="auto">
        <a:xfrm>
          <a:off x="5276850" y="135921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52</xdr:row>
      <xdr:rowOff>0</xdr:rowOff>
    </xdr:from>
    <xdr:ext cx="61171" cy="180036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2748113-D029-4230-8150-0D1B4E778AB0}"/>
            </a:ext>
          </a:extLst>
        </xdr:cNvPr>
        <xdr:cNvSpPr txBox="1">
          <a:spLocks noChangeArrowheads="1"/>
        </xdr:cNvSpPr>
      </xdr:nvSpPr>
      <xdr:spPr bwMode="auto">
        <a:xfrm>
          <a:off x="5276850" y="135921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45</xdr:row>
      <xdr:rowOff>0</xdr:rowOff>
    </xdr:from>
    <xdr:ext cx="61171" cy="180036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E8623EB-13F5-4998-9F53-D7D8E859BEAD}"/>
            </a:ext>
          </a:extLst>
        </xdr:cNvPr>
        <xdr:cNvSpPr txBox="1">
          <a:spLocks noChangeArrowheads="1"/>
        </xdr:cNvSpPr>
      </xdr:nvSpPr>
      <xdr:spPr bwMode="auto">
        <a:xfrm>
          <a:off x="5276850" y="12096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45</xdr:row>
      <xdr:rowOff>0</xdr:rowOff>
    </xdr:from>
    <xdr:ext cx="61171" cy="180036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FD7B9C24-F3F5-4320-8D99-3A64251B0CC0}"/>
            </a:ext>
          </a:extLst>
        </xdr:cNvPr>
        <xdr:cNvSpPr txBox="1">
          <a:spLocks noChangeArrowheads="1"/>
        </xdr:cNvSpPr>
      </xdr:nvSpPr>
      <xdr:spPr bwMode="auto">
        <a:xfrm>
          <a:off x="5276850" y="12096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52</xdr:row>
      <xdr:rowOff>0</xdr:rowOff>
    </xdr:from>
    <xdr:ext cx="61171" cy="180036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9E3863F5-5E6F-428D-9FA1-26F77450C1B4}"/>
            </a:ext>
          </a:extLst>
        </xdr:cNvPr>
        <xdr:cNvSpPr txBox="1">
          <a:spLocks noChangeArrowheads="1"/>
        </xdr:cNvSpPr>
      </xdr:nvSpPr>
      <xdr:spPr bwMode="auto">
        <a:xfrm>
          <a:off x="5276850" y="135921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52</xdr:row>
      <xdr:rowOff>0</xdr:rowOff>
    </xdr:from>
    <xdr:ext cx="61171" cy="180036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4CA25AC1-CF76-4FD4-A3D5-E425145AAA12}"/>
            </a:ext>
          </a:extLst>
        </xdr:cNvPr>
        <xdr:cNvSpPr txBox="1">
          <a:spLocks noChangeArrowheads="1"/>
        </xdr:cNvSpPr>
      </xdr:nvSpPr>
      <xdr:spPr bwMode="auto">
        <a:xfrm>
          <a:off x="5276850" y="135921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52</xdr:row>
      <xdr:rowOff>0</xdr:rowOff>
    </xdr:from>
    <xdr:ext cx="61171" cy="180036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6DD68ED0-753F-4A25-9918-0E02EC13B336}"/>
            </a:ext>
          </a:extLst>
        </xdr:cNvPr>
        <xdr:cNvSpPr txBox="1">
          <a:spLocks noChangeArrowheads="1"/>
        </xdr:cNvSpPr>
      </xdr:nvSpPr>
      <xdr:spPr bwMode="auto">
        <a:xfrm>
          <a:off x="5276850" y="135921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7</xdr:col>
      <xdr:colOff>0</xdr:colOff>
      <xdr:row>30</xdr:row>
      <xdr:rowOff>38100</xdr:rowOff>
    </xdr:from>
    <xdr:ext cx="61171" cy="180036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E6490F59-7563-44EC-9D39-E0CCEFFAC417}"/>
            </a:ext>
          </a:extLst>
        </xdr:cNvPr>
        <xdr:cNvSpPr txBox="1">
          <a:spLocks noChangeArrowheads="1"/>
        </xdr:cNvSpPr>
      </xdr:nvSpPr>
      <xdr:spPr bwMode="auto">
        <a:xfrm>
          <a:off x="7477125" y="81057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7</xdr:col>
      <xdr:colOff>200025</xdr:colOff>
      <xdr:row>30</xdr:row>
      <xdr:rowOff>38100</xdr:rowOff>
    </xdr:from>
    <xdr:ext cx="61171" cy="180036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77849F46-9232-4AC8-AAEE-CDE77BD0C8FB}"/>
            </a:ext>
          </a:extLst>
        </xdr:cNvPr>
        <xdr:cNvSpPr txBox="1">
          <a:spLocks noChangeArrowheads="1"/>
        </xdr:cNvSpPr>
      </xdr:nvSpPr>
      <xdr:spPr bwMode="auto">
        <a:xfrm>
          <a:off x="7677150" y="81057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7</xdr:col>
      <xdr:colOff>0</xdr:colOff>
      <xdr:row>32</xdr:row>
      <xdr:rowOff>38100</xdr:rowOff>
    </xdr:from>
    <xdr:ext cx="61171" cy="180036"/>
    <xdr:sp macro="" textlink="">
      <xdr:nvSpPr>
        <xdr:cNvPr id="12" name="Text Box 3">
          <a:extLst>
            <a:ext uri="{FF2B5EF4-FFF2-40B4-BE49-F238E27FC236}">
              <a16:creationId xmlns:a16="http://schemas.microsoft.com/office/drawing/2014/main" id="{8288B7E1-37C4-46CE-8817-A0D3AD431B86}"/>
            </a:ext>
          </a:extLst>
        </xdr:cNvPr>
        <xdr:cNvSpPr txBox="1">
          <a:spLocks noChangeArrowheads="1"/>
        </xdr:cNvSpPr>
      </xdr:nvSpPr>
      <xdr:spPr bwMode="auto">
        <a:xfrm>
          <a:off x="7477125" y="86010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14</xdr:col>
      <xdr:colOff>200025</xdr:colOff>
      <xdr:row>13</xdr:row>
      <xdr:rowOff>38100</xdr:rowOff>
    </xdr:from>
    <xdr:ext cx="61171" cy="180036"/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C940408B-D967-4069-BFCF-B87BBAF648E6}"/>
            </a:ext>
          </a:extLst>
        </xdr:cNvPr>
        <xdr:cNvSpPr txBox="1">
          <a:spLocks noChangeArrowheads="1"/>
        </xdr:cNvSpPr>
      </xdr:nvSpPr>
      <xdr:spPr bwMode="auto">
        <a:xfrm>
          <a:off x="2081213" y="3681413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15</xdr:col>
      <xdr:colOff>200025</xdr:colOff>
      <xdr:row>52</xdr:row>
      <xdr:rowOff>0</xdr:rowOff>
    </xdr:from>
    <xdr:ext cx="61171" cy="180036"/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71ACBB4B-2566-4A4E-A987-615351352315}"/>
            </a:ext>
          </a:extLst>
        </xdr:cNvPr>
        <xdr:cNvSpPr txBox="1">
          <a:spLocks noChangeArrowheads="1"/>
        </xdr:cNvSpPr>
      </xdr:nvSpPr>
      <xdr:spPr bwMode="auto">
        <a:xfrm>
          <a:off x="3557588" y="1293018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15</xdr:col>
      <xdr:colOff>200025</xdr:colOff>
      <xdr:row>52</xdr:row>
      <xdr:rowOff>0</xdr:rowOff>
    </xdr:from>
    <xdr:ext cx="61171" cy="180036"/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9724D42A-A744-4F63-BF18-9BB2117DA4A6}"/>
            </a:ext>
          </a:extLst>
        </xdr:cNvPr>
        <xdr:cNvSpPr txBox="1">
          <a:spLocks noChangeArrowheads="1"/>
        </xdr:cNvSpPr>
      </xdr:nvSpPr>
      <xdr:spPr bwMode="auto">
        <a:xfrm>
          <a:off x="3557588" y="1293018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15</xdr:col>
      <xdr:colOff>200025</xdr:colOff>
      <xdr:row>45</xdr:row>
      <xdr:rowOff>0</xdr:rowOff>
    </xdr:from>
    <xdr:ext cx="61171" cy="180036"/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2FFE2E69-DC74-4C94-A3DA-00A8D45C61BF}"/>
            </a:ext>
          </a:extLst>
        </xdr:cNvPr>
        <xdr:cNvSpPr txBox="1">
          <a:spLocks noChangeArrowheads="1"/>
        </xdr:cNvSpPr>
      </xdr:nvSpPr>
      <xdr:spPr bwMode="auto">
        <a:xfrm>
          <a:off x="3557588" y="1143000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15</xdr:col>
      <xdr:colOff>200025</xdr:colOff>
      <xdr:row>45</xdr:row>
      <xdr:rowOff>0</xdr:rowOff>
    </xdr:from>
    <xdr:ext cx="61171" cy="180036"/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id="{3E372568-A0F5-4F2F-80ED-C493F149EB0F}"/>
            </a:ext>
          </a:extLst>
        </xdr:cNvPr>
        <xdr:cNvSpPr txBox="1">
          <a:spLocks noChangeArrowheads="1"/>
        </xdr:cNvSpPr>
      </xdr:nvSpPr>
      <xdr:spPr bwMode="auto">
        <a:xfrm>
          <a:off x="3557588" y="1143000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15</xdr:col>
      <xdr:colOff>200025</xdr:colOff>
      <xdr:row>52</xdr:row>
      <xdr:rowOff>0</xdr:rowOff>
    </xdr:from>
    <xdr:ext cx="61171" cy="180036"/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3CE17A61-4FFE-47FB-87DB-D91DEE7DA8EC}"/>
            </a:ext>
          </a:extLst>
        </xdr:cNvPr>
        <xdr:cNvSpPr txBox="1">
          <a:spLocks noChangeArrowheads="1"/>
        </xdr:cNvSpPr>
      </xdr:nvSpPr>
      <xdr:spPr bwMode="auto">
        <a:xfrm>
          <a:off x="3557588" y="1293018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15</xdr:col>
      <xdr:colOff>200025</xdr:colOff>
      <xdr:row>52</xdr:row>
      <xdr:rowOff>0</xdr:rowOff>
    </xdr:from>
    <xdr:ext cx="61171" cy="180036"/>
    <xdr:sp macro="" textlink="">
      <xdr:nvSpPr>
        <xdr:cNvPr id="19" name="Text Box 3">
          <a:extLst>
            <a:ext uri="{FF2B5EF4-FFF2-40B4-BE49-F238E27FC236}">
              <a16:creationId xmlns:a16="http://schemas.microsoft.com/office/drawing/2014/main" id="{EB246135-AABC-4606-8BFB-DA3DE4E22AF1}"/>
            </a:ext>
          </a:extLst>
        </xdr:cNvPr>
        <xdr:cNvSpPr txBox="1">
          <a:spLocks noChangeArrowheads="1"/>
        </xdr:cNvSpPr>
      </xdr:nvSpPr>
      <xdr:spPr bwMode="auto">
        <a:xfrm>
          <a:off x="3557588" y="1293018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15</xdr:col>
      <xdr:colOff>200025</xdr:colOff>
      <xdr:row>52</xdr:row>
      <xdr:rowOff>0</xdr:rowOff>
    </xdr:from>
    <xdr:ext cx="61171" cy="180036"/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99DBE576-0776-4C1A-90A2-498972C1CCA9}"/>
            </a:ext>
          </a:extLst>
        </xdr:cNvPr>
        <xdr:cNvSpPr txBox="1">
          <a:spLocks noChangeArrowheads="1"/>
        </xdr:cNvSpPr>
      </xdr:nvSpPr>
      <xdr:spPr bwMode="auto">
        <a:xfrm>
          <a:off x="3557588" y="1293018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18</xdr:col>
      <xdr:colOff>0</xdr:colOff>
      <xdr:row>30</xdr:row>
      <xdr:rowOff>38100</xdr:rowOff>
    </xdr:from>
    <xdr:ext cx="61171" cy="180036"/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id="{B3BC2675-3A70-41F3-A577-1905C810F975}"/>
            </a:ext>
          </a:extLst>
        </xdr:cNvPr>
        <xdr:cNvSpPr txBox="1">
          <a:spLocks noChangeArrowheads="1"/>
        </xdr:cNvSpPr>
      </xdr:nvSpPr>
      <xdr:spPr bwMode="auto">
        <a:xfrm>
          <a:off x="7286625" y="792003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18</xdr:col>
      <xdr:colOff>200025</xdr:colOff>
      <xdr:row>30</xdr:row>
      <xdr:rowOff>38100</xdr:rowOff>
    </xdr:from>
    <xdr:ext cx="61171" cy="180036"/>
    <xdr:sp macro="" textlink="">
      <xdr:nvSpPr>
        <xdr:cNvPr id="22" name="Text Box 3">
          <a:extLst>
            <a:ext uri="{FF2B5EF4-FFF2-40B4-BE49-F238E27FC236}">
              <a16:creationId xmlns:a16="http://schemas.microsoft.com/office/drawing/2014/main" id="{8CEB90BA-46A4-463C-AFAA-44F14A56F777}"/>
            </a:ext>
          </a:extLst>
        </xdr:cNvPr>
        <xdr:cNvSpPr txBox="1">
          <a:spLocks noChangeArrowheads="1"/>
        </xdr:cNvSpPr>
      </xdr:nvSpPr>
      <xdr:spPr bwMode="auto">
        <a:xfrm>
          <a:off x="7486650" y="792003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18</xdr:col>
      <xdr:colOff>0</xdr:colOff>
      <xdr:row>32</xdr:row>
      <xdr:rowOff>38100</xdr:rowOff>
    </xdr:from>
    <xdr:ext cx="61171" cy="180036"/>
    <xdr:sp macro="" textlink="">
      <xdr:nvSpPr>
        <xdr:cNvPr id="23" name="Text Box 3">
          <a:extLst>
            <a:ext uri="{FF2B5EF4-FFF2-40B4-BE49-F238E27FC236}">
              <a16:creationId xmlns:a16="http://schemas.microsoft.com/office/drawing/2014/main" id="{436D2F5E-890E-4548-B4AB-8E0591DF1173}"/>
            </a:ext>
          </a:extLst>
        </xdr:cNvPr>
        <xdr:cNvSpPr txBox="1">
          <a:spLocks noChangeArrowheads="1"/>
        </xdr:cNvSpPr>
      </xdr:nvSpPr>
      <xdr:spPr bwMode="auto">
        <a:xfrm>
          <a:off x="7286625" y="8396288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mailto:LP@%201450%20C" TargetMode="External"/><Relationship Id="rId1" Type="http://schemas.openxmlformats.org/officeDocument/2006/relationships/hyperlink" Target="mailto:LP@%201450%20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A64"/>
  <sheetViews>
    <sheetView topLeftCell="D1" zoomScale="55" zoomScaleNormal="55" workbookViewId="0">
      <selection activeCell="E31" sqref="E31:S36"/>
    </sheetView>
  </sheetViews>
  <sheetFormatPr defaultRowHeight="19.5" x14ac:dyDescent="0.4"/>
  <cols>
    <col min="1" max="4" width="9.140625" style="36"/>
    <col min="5" max="5" width="11.140625" style="36" bestFit="1" customWidth="1"/>
    <col min="6" max="6" width="23.85546875" style="36" customWidth="1"/>
    <col min="7" max="7" width="11.85546875" style="36" bestFit="1" customWidth="1"/>
    <col min="8" max="8" width="18.42578125" style="36" customWidth="1"/>
    <col min="9" max="9" width="11.5703125" style="36" customWidth="1"/>
    <col min="10" max="10" width="13.7109375" style="36" bestFit="1" customWidth="1"/>
    <col min="11" max="11" width="15.42578125" style="36" bestFit="1" customWidth="1"/>
    <col min="12" max="12" width="10.7109375" style="36" bestFit="1" customWidth="1"/>
    <col min="13" max="13" width="12.42578125" style="36" customWidth="1"/>
    <col min="14" max="14" width="10.7109375" style="36" customWidth="1"/>
    <col min="15" max="15" width="12.140625" style="36" bestFit="1" customWidth="1"/>
    <col min="16" max="16" width="13.28515625" style="36" bestFit="1" customWidth="1"/>
    <col min="17" max="17" width="10.5703125" style="36" customWidth="1"/>
    <col min="18" max="18" width="7.7109375" style="36" bestFit="1" customWidth="1"/>
    <col min="19" max="19" width="9.5703125" style="36" bestFit="1" customWidth="1"/>
    <col min="20" max="20" width="18" style="36" customWidth="1"/>
    <col min="21" max="21" width="12.5703125" style="36" customWidth="1"/>
    <col min="22" max="22" width="19" style="36" bestFit="1" customWidth="1"/>
    <col min="23" max="23" width="25" style="36" customWidth="1"/>
    <col min="24" max="24" width="10.5703125" style="36" bestFit="1" customWidth="1"/>
    <col min="25" max="25" width="9.85546875" style="36" customWidth="1"/>
    <col min="26" max="16384" width="9.140625" style="36"/>
  </cols>
  <sheetData>
    <row r="2" spans="3:27" x14ac:dyDescent="0.4"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</row>
    <row r="3" spans="3:27" x14ac:dyDescent="0.4"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</row>
    <row r="4" spans="3:27" ht="46.5" customHeight="1" x14ac:dyDescent="0.4">
      <c r="C4" s="83"/>
      <c r="D4" s="83"/>
      <c r="E4" s="671" t="s">
        <v>157</v>
      </c>
      <c r="F4" s="671"/>
      <c r="G4" s="671"/>
      <c r="H4" s="671"/>
      <c r="I4" s="671"/>
      <c r="J4" s="671"/>
      <c r="K4" s="671"/>
      <c r="L4" s="671"/>
      <c r="M4" s="671"/>
      <c r="N4" s="671"/>
      <c r="O4" s="671"/>
      <c r="P4" s="671"/>
      <c r="Q4" s="671"/>
      <c r="R4" s="671"/>
      <c r="S4" s="671"/>
      <c r="T4" s="671"/>
      <c r="U4" s="671"/>
      <c r="V4" s="671"/>
      <c r="W4" s="671"/>
      <c r="X4" s="671"/>
      <c r="Y4" s="671"/>
      <c r="Z4" s="83"/>
      <c r="AA4" s="83"/>
    </row>
    <row r="5" spans="3:27" ht="37.5" customHeight="1" thickBot="1" x14ac:dyDescent="0.45">
      <c r="C5" s="83"/>
      <c r="D5" s="83"/>
      <c r="E5" s="672"/>
      <c r="F5" s="672"/>
      <c r="G5" s="672"/>
      <c r="H5" s="672"/>
      <c r="I5" s="672"/>
      <c r="J5" s="672"/>
      <c r="K5" s="672"/>
      <c r="L5" s="672"/>
      <c r="M5" s="672"/>
      <c r="N5" s="672"/>
      <c r="O5" s="672"/>
      <c r="P5" s="672"/>
      <c r="Q5" s="672"/>
      <c r="R5" s="672"/>
      <c r="S5" s="672"/>
      <c r="T5" s="672"/>
      <c r="U5" s="672"/>
      <c r="V5" s="672"/>
      <c r="W5" s="672"/>
      <c r="X5" s="672"/>
      <c r="Y5" s="672"/>
      <c r="Z5" s="83"/>
      <c r="AA5" s="83"/>
    </row>
    <row r="6" spans="3:27" x14ac:dyDescent="0.4">
      <c r="C6" s="83"/>
      <c r="D6" s="83"/>
      <c r="E6" s="675" t="s">
        <v>124</v>
      </c>
      <c r="F6" s="676"/>
      <c r="G6" s="681" t="s">
        <v>10</v>
      </c>
      <c r="H6" s="684" t="s">
        <v>108</v>
      </c>
      <c r="I6" s="685"/>
      <c r="J6" s="662"/>
      <c r="K6" s="703" t="s">
        <v>149</v>
      </c>
      <c r="L6" s="704"/>
      <c r="M6" s="704"/>
      <c r="N6" s="704"/>
      <c r="O6" s="704"/>
      <c r="P6" s="704"/>
      <c r="Q6" s="704"/>
      <c r="R6" s="704"/>
      <c r="S6" s="705"/>
      <c r="T6" s="688" t="s">
        <v>39</v>
      </c>
      <c r="U6" s="668" t="s">
        <v>10</v>
      </c>
      <c r="V6" s="659" t="s">
        <v>101</v>
      </c>
      <c r="W6" s="660"/>
      <c r="X6" s="660"/>
      <c r="Y6" s="661"/>
      <c r="Z6" s="83"/>
      <c r="AA6" s="83"/>
    </row>
    <row r="7" spans="3:27" ht="33.75" customHeight="1" thickBot="1" x14ac:dyDescent="0.45">
      <c r="C7" s="83"/>
      <c r="D7" s="83"/>
      <c r="E7" s="677"/>
      <c r="F7" s="678"/>
      <c r="G7" s="682"/>
      <c r="H7" s="686"/>
      <c r="I7" s="655"/>
      <c r="J7" s="687"/>
      <c r="K7" s="706"/>
      <c r="L7" s="707"/>
      <c r="M7" s="707"/>
      <c r="N7" s="707"/>
      <c r="O7" s="707"/>
      <c r="P7" s="707"/>
      <c r="Q7" s="707"/>
      <c r="R7" s="707"/>
      <c r="S7" s="708"/>
      <c r="T7" s="689"/>
      <c r="U7" s="678"/>
      <c r="V7" s="662"/>
      <c r="W7" s="663"/>
      <c r="X7" s="663"/>
      <c r="Y7" s="664"/>
      <c r="Z7" s="83"/>
      <c r="AA7" s="83"/>
    </row>
    <row r="8" spans="3:27" ht="21" customHeight="1" thickTop="1" thickBot="1" x14ac:dyDescent="0.45">
      <c r="C8" s="83"/>
      <c r="D8" s="83"/>
      <c r="E8" s="677"/>
      <c r="F8" s="678"/>
      <c r="G8" s="682"/>
      <c r="H8" s="690" t="s">
        <v>110</v>
      </c>
      <c r="I8" s="691" t="s">
        <v>111</v>
      </c>
      <c r="J8" s="702" t="s">
        <v>141</v>
      </c>
      <c r="K8" s="709" t="s">
        <v>1</v>
      </c>
      <c r="L8" s="655" t="s">
        <v>3</v>
      </c>
      <c r="M8" s="655" t="s">
        <v>4</v>
      </c>
      <c r="N8" s="655" t="s">
        <v>5</v>
      </c>
      <c r="O8" s="655" t="s">
        <v>6</v>
      </c>
      <c r="P8" s="655" t="s">
        <v>8</v>
      </c>
      <c r="Q8" s="655" t="s">
        <v>7</v>
      </c>
      <c r="R8" s="655" t="s">
        <v>9</v>
      </c>
      <c r="S8" s="657" t="s">
        <v>40</v>
      </c>
      <c r="T8" s="689"/>
      <c r="U8" s="678"/>
      <c r="V8" s="665" t="s">
        <v>38</v>
      </c>
      <c r="W8" s="667" t="s">
        <v>49</v>
      </c>
      <c r="X8" s="667" t="s">
        <v>36</v>
      </c>
      <c r="Y8" s="669" t="s">
        <v>37</v>
      </c>
      <c r="Z8" s="83"/>
      <c r="AA8" s="83"/>
    </row>
    <row r="9" spans="3:27" ht="9.75" customHeight="1" thickTop="1" thickBot="1" x14ac:dyDescent="0.45">
      <c r="C9" s="83"/>
      <c r="D9" s="83"/>
      <c r="E9" s="679"/>
      <c r="F9" s="680"/>
      <c r="G9" s="683"/>
      <c r="H9" s="690"/>
      <c r="I9" s="691"/>
      <c r="J9" s="702"/>
      <c r="K9" s="710"/>
      <c r="L9" s="656"/>
      <c r="M9" s="656"/>
      <c r="N9" s="656"/>
      <c r="O9" s="656"/>
      <c r="P9" s="656"/>
      <c r="Q9" s="656"/>
      <c r="R9" s="656"/>
      <c r="S9" s="658"/>
      <c r="T9" s="689"/>
      <c r="U9" s="678"/>
      <c r="V9" s="666"/>
      <c r="W9" s="668"/>
      <c r="X9" s="668"/>
      <c r="Y9" s="670"/>
      <c r="Z9" s="83"/>
      <c r="AA9" s="83"/>
    </row>
    <row r="10" spans="3:27" ht="21" thickTop="1" thickBot="1" x14ac:dyDescent="0.45">
      <c r="C10" s="83"/>
      <c r="D10" s="83"/>
      <c r="E10" s="692" t="s">
        <v>113</v>
      </c>
      <c r="F10" s="693"/>
      <c r="G10" s="84">
        <f>H10+I10+J10</f>
        <v>100</v>
      </c>
      <c r="H10" s="99">
        <v>80</v>
      </c>
      <c r="I10" s="79">
        <v>15</v>
      </c>
      <c r="J10" s="80">
        <f>100-H10-I10</f>
        <v>5</v>
      </c>
      <c r="K10" s="135">
        <v>13.97</v>
      </c>
      <c r="L10" s="136">
        <v>3.4</v>
      </c>
      <c r="M10" s="136">
        <v>2.16</v>
      </c>
      <c r="N10" s="136">
        <v>42.81</v>
      </c>
      <c r="O10" s="109">
        <v>1.65</v>
      </c>
      <c r="P10" s="109">
        <v>0.26</v>
      </c>
      <c r="Q10" s="109">
        <v>0.49</v>
      </c>
      <c r="R10" s="109">
        <v>0.2</v>
      </c>
      <c r="S10" s="109">
        <v>0.01</v>
      </c>
      <c r="T10" s="85">
        <f>0.786*N10+1.1*O10+0.2</f>
        <v>35.663660000000007</v>
      </c>
      <c r="U10" s="86">
        <f>SUM(K10:T10)</f>
        <v>100.61366000000001</v>
      </c>
      <c r="V10" s="101">
        <f>N10*100/(2.8*K10+1.2*L10+0.65*M10)</f>
        <v>95.986547085201792</v>
      </c>
      <c r="W10" s="86">
        <f xml:space="preserve"> N10/(K10+L10+M10)</f>
        <v>2.1920122887864824</v>
      </c>
      <c r="X10" s="104">
        <f xml:space="preserve"> K10/(L10+M10)</f>
        <v>2.5125899280575537</v>
      </c>
      <c r="Y10" s="106">
        <f>L10/M10</f>
        <v>1.574074074074074</v>
      </c>
      <c r="Z10" s="83"/>
      <c r="AA10" s="83"/>
    </row>
    <row r="11" spans="3:27" ht="21" thickTop="1" thickBot="1" x14ac:dyDescent="0.45">
      <c r="C11" s="83"/>
      <c r="D11" s="83"/>
      <c r="E11" s="694" t="s">
        <v>125</v>
      </c>
      <c r="F11" s="695"/>
      <c r="G11" s="87">
        <f t="shared" ref="G11:G14" si="0">H11+I11+J11</f>
        <v>100</v>
      </c>
      <c r="H11" s="99">
        <f>H10+N17-N10</f>
        <v>80</v>
      </c>
      <c r="I11" s="79">
        <f>100-H11-J11</f>
        <v>15</v>
      </c>
      <c r="J11" s="80">
        <f>J10+M17-M10</f>
        <v>5</v>
      </c>
      <c r="K11" s="135">
        <v>13.3</v>
      </c>
      <c r="L11" s="136">
        <v>3.1</v>
      </c>
      <c r="M11" s="136">
        <v>2.1</v>
      </c>
      <c r="N11" s="136">
        <v>42.2</v>
      </c>
      <c r="O11" s="109">
        <v>1.65</v>
      </c>
      <c r="P11" s="109">
        <v>0.26</v>
      </c>
      <c r="Q11" s="109">
        <v>0.49</v>
      </c>
      <c r="R11" s="109">
        <v>0.2</v>
      </c>
      <c r="S11" s="109">
        <v>0.01</v>
      </c>
      <c r="T11" s="85">
        <f>0.786*N11+1.1*O11+0.2</f>
        <v>35.184200000000004</v>
      </c>
      <c r="U11" s="86">
        <f>SUM(K11:T11)</f>
        <v>98.494200000000006</v>
      </c>
      <c r="V11" s="101">
        <f t="shared" ref="V11:V13" si="1">N11*100/(2.8*K11+1.2*L11+0.65*M11)</f>
        <v>99.70466627288836</v>
      </c>
      <c r="W11" s="86">
        <f t="shared" ref="W11:W13" si="2" xml:space="preserve"> N11/(K11+L11+M11)</f>
        <v>2.2810810810810809</v>
      </c>
      <c r="X11" s="104">
        <f t="shared" ref="X11:X13" si="3" xml:space="preserve"> K11/(L11+M11)</f>
        <v>2.5576923076923079</v>
      </c>
      <c r="Y11" s="106">
        <f t="shared" ref="Y11:Y13" si="4">L11/M11</f>
        <v>1.4761904761904763</v>
      </c>
      <c r="Z11" s="83"/>
      <c r="AA11" s="83"/>
    </row>
    <row r="12" spans="3:27" ht="21" thickTop="1" thickBot="1" x14ac:dyDescent="0.45">
      <c r="C12" s="83"/>
      <c r="D12" s="83"/>
      <c r="E12" s="694" t="s">
        <v>125</v>
      </c>
      <c r="F12" s="695"/>
      <c r="G12" s="87">
        <f t="shared" si="0"/>
        <v>100</v>
      </c>
      <c r="H12" s="99">
        <f>H11+N17-N11</f>
        <v>80.61</v>
      </c>
      <c r="I12" s="79">
        <f>100-H12-J12</f>
        <v>14.33</v>
      </c>
      <c r="J12" s="80">
        <f>J11+M17-M11</f>
        <v>5.0600000000000005</v>
      </c>
      <c r="K12" s="135">
        <v>13.4</v>
      </c>
      <c r="L12" s="136">
        <v>3.4</v>
      </c>
      <c r="M12" s="136">
        <v>2.2000000000000002</v>
      </c>
      <c r="N12" s="136">
        <v>42.8</v>
      </c>
      <c r="O12" s="109">
        <v>1.65</v>
      </c>
      <c r="P12" s="109">
        <v>0.26</v>
      </c>
      <c r="Q12" s="109">
        <v>0.49</v>
      </c>
      <c r="R12" s="109">
        <v>0.2</v>
      </c>
      <c r="S12" s="109">
        <v>0.01</v>
      </c>
      <c r="T12" s="85">
        <f>0.786*N12+1.1*O12+0.2</f>
        <v>35.655799999999999</v>
      </c>
      <c r="U12" s="86">
        <f>SUM(K12:T12)</f>
        <v>100.0658</v>
      </c>
      <c r="V12" s="101">
        <f t="shared" si="1"/>
        <v>99.465489193585881</v>
      </c>
      <c r="W12" s="86">
        <f t="shared" si="2"/>
        <v>2.2526315789473683</v>
      </c>
      <c r="X12" s="104">
        <f t="shared" si="3"/>
        <v>2.3928571428571432</v>
      </c>
      <c r="Y12" s="106">
        <f t="shared" si="4"/>
        <v>1.5454545454545452</v>
      </c>
      <c r="Z12" s="83"/>
      <c r="AA12" s="83"/>
    </row>
    <row r="13" spans="3:27" ht="21" thickTop="1" thickBot="1" x14ac:dyDescent="0.45">
      <c r="C13" s="83"/>
      <c r="D13" s="83"/>
      <c r="E13" s="694" t="s">
        <v>125</v>
      </c>
      <c r="F13" s="695"/>
      <c r="G13" s="87">
        <f t="shared" si="0"/>
        <v>100</v>
      </c>
      <c r="H13" s="99">
        <f>H12+N17-N12</f>
        <v>80.62</v>
      </c>
      <c r="I13" s="79">
        <f>100-H13-J13</f>
        <v>14.359999999999996</v>
      </c>
      <c r="J13" s="80">
        <f>J12+M17-M12</f>
        <v>5.0200000000000005</v>
      </c>
      <c r="K13" s="114">
        <v>13.8</v>
      </c>
      <c r="L13" s="114">
        <v>3.4</v>
      </c>
      <c r="M13" s="114">
        <v>2.2000000000000002</v>
      </c>
      <c r="N13" s="114">
        <v>42.8</v>
      </c>
      <c r="O13" s="110">
        <v>1.65</v>
      </c>
      <c r="P13" s="110">
        <v>0.26</v>
      </c>
      <c r="Q13" s="110">
        <v>0.49</v>
      </c>
      <c r="R13" s="110">
        <v>0.2</v>
      </c>
      <c r="S13" s="110">
        <v>0.01</v>
      </c>
      <c r="T13" s="88">
        <f>0.786*N13+1.1*O13+0.2</f>
        <v>35.655799999999999</v>
      </c>
      <c r="U13" s="89">
        <f>SUM(K13:T13)</f>
        <v>100.4658</v>
      </c>
      <c r="V13" s="102">
        <f t="shared" si="1"/>
        <v>96.942242355605899</v>
      </c>
      <c r="W13" s="89">
        <f t="shared" si="2"/>
        <v>2.2061855670103094</v>
      </c>
      <c r="X13" s="105">
        <f t="shared" si="3"/>
        <v>2.4642857142857144</v>
      </c>
      <c r="Y13" s="107">
        <f t="shared" si="4"/>
        <v>1.5454545454545452</v>
      </c>
      <c r="Z13" s="83"/>
      <c r="AA13" s="83"/>
    </row>
    <row r="14" spans="3:27" ht="21" thickTop="1" thickBot="1" x14ac:dyDescent="0.45">
      <c r="C14" s="83"/>
      <c r="D14" s="83"/>
      <c r="E14" s="696" t="s">
        <v>125</v>
      </c>
      <c r="F14" s="697"/>
      <c r="G14" s="90">
        <f t="shared" si="0"/>
        <v>100</v>
      </c>
      <c r="H14" s="100">
        <f>H13+N17-N13</f>
        <v>80.63000000000001</v>
      </c>
      <c r="I14" s="81">
        <f>100-H14-J14</f>
        <v>14.38999999999999</v>
      </c>
      <c r="J14" s="82">
        <f>J13+M17-M13</f>
        <v>4.9800000000000004</v>
      </c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83"/>
      <c r="AA14" s="83"/>
    </row>
    <row r="15" spans="3:27" ht="21.75" thickTop="1" thickBot="1" x14ac:dyDescent="0.45">
      <c r="C15" s="83"/>
      <c r="D15" s="83"/>
      <c r="E15" s="91"/>
      <c r="F15" s="91"/>
      <c r="G15" s="91"/>
      <c r="H15" s="91"/>
      <c r="I15" s="91"/>
      <c r="J15" s="91"/>
      <c r="K15" s="698" t="s">
        <v>118</v>
      </c>
      <c r="L15" s="699"/>
      <c r="M15" s="699"/>
      <c r="N15" s="699"/>
      <c r="O15" s="699"/>
      <c r="P15" s="699"/>
      <c r="Q15" s="699"/>
      <c r="R15" s="699"/>
      <c r="S15" s="699"/>
      <c r="T15" s="699"/>
      <c r="U15" s="699"/>
      <c r="V15" s="699"/>
      <c r="W15" s="699"/>
      <c r="X15" s="699"/>
      <c r="Y15" s="700"/>
      <c r="Z15" s="83"/>
      <c r="AA15" s="83"/>
    </row>
    <row r="16" spans="3:27" ht="21" thickBot="1" x14ac:dyDescent="0.45">
      <c r="C16" s="83"/>
      <c r="D16" s="83"/>
      <c r="E16" s="91"/>
      <c r="F16" s="701" t="s">
        <v>119</v>
      </c>
      <c r="G16" s="701"/>
      <c r="H16" s="701"/>
      <c r="I16" s="91"/>
      <c r="J16" s="91"/>
      <c r="K16" s="131" t="s">
        <v>1</v>
      </c>
      <c r="L16" s="132" t="s">
        <v>3</v>
      </c>
      <c r="M16" s="132" t="s">
        <v>4</v>
      </c>
      <c r="N16" s="132" t="s">
        <v>5</v>
      </c>
      <c r="O16" s="132" t="s">
        <v>6</v>
      </c>
      <c r="P16" s="132" t="s">
        <v>8</v>
      </c>
      <c r="Q16" s="132" t="s">
        <v>7</v>
      </c>
      <c r="R16" s="132" t="s">
        <v>9</v>
      </c>
      <c r="S16" s="132" t="s">
        <v>40</v>
      </c>
      <c r="T16" s="133" t="s">
        <v>39</v>
      </c>
      <c r="U16" s="133" t="s">
        <v>10</v>
      </c>
      <c r="V16" s="129" t="s">
        <v>38</v>
      </c>
      <c r="W16" s="133" t="s">
        <v>49</v>
      </c>
      <c r="X16" s="133" t="s">
        <v>36</v>
      </c>
      <c r="Y16" s="130" t="s">
        <v>37</v>
      </c>
      <c r="Z16" s="83"/>
      <c r="AA16" s="83"/>
    </row>
    <row r="17" spans="3:27" ht="21" thickTop="1" thickBot="1" x14ac:dyDescent="0.45">
      <c r="C17" s="83"/>
      <c r="D17" s="83"/>
      <c r="E17" s="91"/>
      <c r="F17" s="632" t="s">
        <v>38</v>
      </c>
      <c r="G17" s="632"/>
      <c r="H17" s="118">
        <f>V17</f>
        <v>95.986547085201792</v>
      </c>
      <c r="I17" s="91"/>
      <c r="J17" s="91"/>
      <c r="K17" s="137">
        <v>13.97</v>
      </c>
      <c r="L17" s="138">
        <v>3.4</v>
      </c>
      <c r="M17" s="138">
        <v>2.16</v>
      </c>
      <c r="N17" s="138">
        <v>42.81</v>
      </c>
      <c r="O17" s="111">
        <v>1.65</v>
      </c>
      <c r="P17" s="111">
        <v>0.26</v>
      </c>
      <c r="Q17" s="111">
        <v>0.49</v>
      </c>
      <c r="R17" s="111">
        <v>0.2</v>
      </c>
      <c r="S17" s="111">
        <v>0.01</v>
      </c>
      <c r="T17" s="92">
        <f>0.786*N17+1.1*O17+0.2</f>
        <v>35.663660000000007</v>
      </c>
      <c r="U17" s="93">
        <f>SUM(K17:T17)</f>
        <v>100.61366000000001</v>
      </c>
      <c r="V17" s="103">
        <f>N17*100/(2.8*K17+1.2*L17+0.65*M17)</f>
        <v>95.986547085201792</v>
      </c>
      <c r="W17" s="93">
        <f>N17/(K17+L17+M17)</f>
        <v>2.1920122887864824</v>
      </c>
      <c r="X17" s="93">
        <f>K17/(L17+M17)</f>
        <v>2.5125899280575537</v>
      </c>
      <c r="Y17" s="108">
        <f>L17/M17</f>
        <v>1.574074074074074</v>
      </c>
      <c r="Z17" s="83"/>
      <c r="AA17" s="83"/>
    </row>
    <row r="18" spans="3:27" ht="21.75" thickTop="1" thickBot="1" x14ac:dyDescent="0.45">
      <c r="C18" s="83"/>
      <c r="D18" s="83"/>
      <c r="E18" s="91"/>
      <c r="F18" s="632" t="s">
        <v>37</v>
      </c>
      <c r="G18" s="632"/>
      <c r="H18" s="121">
        <f>Y17</f>
        <v>1.574074074074074</v>
      </c>
      <c r="I18" s="91"/>
      <c r="J18" s="91"/>
      <c r="K18" s="633" t="s">
        <v>122</v>
      </c>
      <c r="L18" s="634"/>
      <c r="M18" s="634"/>
      <c r="N18" s="634"/>
      <c r="O18" s="634"/>
      <c r="P18" s="634"/>
      <c r="Q18" s="634"/>
      <c r="R18" s="634"/>
      <c r="S18" s="634"/>
      <c r="T18" s="634"/>
      <c r="U18" s="635"/>
      <c r="V18" s="635"/>
      <c r="W18" s="635"/>
      <c r="X18" s="635"/>
      <c r="Y18" s="636"/>
      <c r="Z18" s="83"/>
      <c r="AA18" s="83"/>
    </row>
    <row r="19" spans="3:27" ht="21" thickTop="1" thickBot="1" x14ac:dyDescent="0.45">
      <c r="C19" s="83"/>
      <c r="D19" s="83"/>
      <c r="E19" s="91"/>
      <c r="F19" s="647" t="s">
        <v>45</v>
      </c>
      <c r="G19" s="648"/>
      <c r="H19" s="134">
        <v>2.1000000000000001E-2</v>
      </c>
      <c r="I19" s="91"/>
      <c r="J19" s="91"/>
      <c r="K19" s="139">
        <v>51.910012874140349</v>
      </c>
      <c r="L19" s="140">
        <v>24.189980517995103</v>
      </c>
      <c r="M19" s="140">
        <v>6.7227097100043149</v>
      </c>
      <c r="N19" s="140">
        <v>8.1274517505998443</v>
      </c>
      <c r="O19" s="112">
        <v>1.1075203400231253</v>
      </c>
      <c r="P19" s="112">
        <v>0.2</v>
      </c>
      <c r="Q19" s="112">
        <v>0.9</v>
      </c>
      <c r="R19" s="141">
        <v>4.2</v>
      </c>
      <c r="S19" s="112">
        <v>0.01</v>
      </c>
      <c r="T19" s="112">
        <v>1.5</v>
      </c>
      <c r="U19" s="88">
        <f>SUM(K19:T19)</f>
        <v>98.867675192762746</v>
      </c>
      <c r="V19" s="89">
        <f t="shared" ref="V19" si="5">N19*100/(2.8*K19+1.2*L19+0.65*M19)</f>
        <v>4.5469336530875761</v>
      </c>
      <c r="W19" s="89">
        <f t="shared" ref="W19" si="6">N19/(K19+L19+M19)</f>
        <v>9.8130723173533663E-2</v>
      </c>
      <c r="X19" s="89">
        <f t="shared" ref="X19" si="7">K19/(L19+M19)</f>
        <v>1.6792460472146948</v>
      </c>
      <c r="Y19" s="94">
        <f t="shared" ref="Y19" si="8">L19/M19</f>
        <v>3.5982485577202734</v>
      </c>
      <c r="Z19" s="83"/>
      <c r="AA19" s="83"/>
    </row>
    <row r="20" spans="3:27" ht="21.75" thickTop="1" thickBot="1" x14ac:dyDescent="0.45">
      <c r="C20" s="83"/>
      <c r="D20" s="83"/>
      <c r="E20" s="91"/>
      <c r="F20" s="649" t="s">
        <v>120</v>
      </c>
      <c r="G20" s="650"/>
      <c r="H20" s="119" t="s">
        <v>130</v>
      </c>
      <c r="I20" s="91"/>
      <c r="J20" s="91"/>
      <c r="K20" s="637" t="s">
        <v>121</v>
      </c>
      <c r="L20" s="638"/>
      <c r="M20" s="638"/>
      <c r="N20" s="638"/>
      <c r="O20" s="638"/>
      <c r="P20" s="638"/>
      <c r="Q20" s="638"/>
      <c r="R20" s="638"/>
      <c r="S20" s="638"/>
      <c r="T20" s="638"/>
      <c r="U20" s="638"/>
      <c r="V20" s="638"/>
      <c r="W20" s="638"/>
      <c r="X20" s="638"/>
      <c r="Y20" s="639"/>
      <c r="Z20" s="83"/>
      <c r="AA20" s="83"/>
    </row>
    <row r="21" spans="3:27" ht="20.25" thickBot="1" x14ac:dyDescent="0.45">
      <c r="C21" s="83"/>
      <c r="D21" s="83"/>
      <c r="E21" s="91"/>
      <c r="F21" s="91"/>
      <c r="G21" s="91"/>
      <c r="H21" s="91"/>
      <c r="I21" s="91"/>
      <c r="J21" s="91"/>
      <c r="K21" s="126" t="s">
        <v>1</v>
      </c>
      <c r="L21" s="127" t="s">
        <v>3</v>
      </c>
      <c r="M21" s="127" t="s">
        <v>4</v>
      </c>
      <c r="N21" s="127" t="s">
        <v>5</v>
      </c>
      <c r="O21" s="127" t="s">
        <v>6</v>
      </c>
      <c r="P21" s="127" t="s">
        <v>8</v>
      </c>
      <c r="Q21" s="127" t="s">
        <v>7</v>
      </c>
      <c r="R21" s="127" t="s">
        <v>9</v>
      </c>
      <c r="S21" s="127" t="s">
        <v>40</v>
      </c>
      <c r="T21" s="640" t="s">
        <v>10</v>
      </c>
      <c r="U21" s="640"/>
      <c r="V21" s="129" t="s">
        <v>38</v>
      </c>
      <c r="W21" s="128" t="s">
        <v>49</v>
      </c>
      <c r="X21" s="128" t="s">
        <v>36</v>
      </c>
      <c r="Y21" s="130" t="s">
        <v>37</v>
      </c>
      <c r="Z21" s="83"/>
      <c r="AA21" s="83"/>
    </row>
    <row r="22" spans="3:27" ht="21" thickTop="1" thickBot="1" x14ac:dyDescent="0.45">
      <c r="C22" s="83"/>
      <c r="D22" s="83"/>
      <c r="E22" s="91"/>
      <c r="F22" s="91"/>
      <c r="G22" s="91"/>
      <c r="H22" s="91"/>
      <c r="I22" s="91"/>
      <c r="J22" s="91"/>
      <c r="K22" s="137">
        <f>(1/(1-T17/100))*K17*(1-H19)+K19*H19</f>
        <v>22.348127123662564</v>
      </c>
      <c r="L22" s="138">
        <f>(1/(1-T17/100))*L17*(1-H19)+L19*H19</f>
        <v>5.6817374291913598</v>
      </c>
      <c r="M22" s="138">
        <f>(1/(1-T17/100))*M17*(1-H19)+M19*H19</f>
        <v>3.4280284717798204</v>
      </c>
      <c r="N22" s="138">
        <f>(1/(1-T17/100))*N17*(1-H19)+N19*H19</f>
        <v>65.314248533291831</v>
      </c>
      <c r="O22" s="111">
        <f>(1/(1-T17/100))*O17*(1-H19)+O19*H19</f>
        <v>2.534047319263196</v>
      </c>
      <c r="P22" s="111">
        <f>(1/(1-T17/100))*P17*(1-H19)+P19*H19</f>
        <v>0.3998395405769119</v>
      </c>
      <c r="Q22" s="111">
        <f t="shared" ref="Q22" si="9">(1/(1-Z17/100))*Q17*(1-N24)+Q19*N24</f>
        <v>0.49</v>
      </c>
      <c r="R22" s="111">
        <f>(1/(1-T17/100))*R17*(1-H19)+R19*H19</f>
        <v>0.39253810813608614</v>
      </c>
      <c r="S22" s="111">
        <f>(1/(1-T17/100))*S17*(1-H19)+S19*H19</f>
        <v>1.5426905406804305E-2</v>
      </c>
      <c r="T22" s="641">
        <f>SUM(K22:S22)</f>
        <v>100.60399343130855</v>
      </c>
      <c r="U22" s="642"/>
      <c r="V22" s="103">
        <f>N22*100/(2.8*K22+1.2*L22+0.65*M22)</f>
        <v>91.194194989144691</v>
      </c>
      <c r="W22" s="93">
        <f>N22/(K22+L22+M22)</f>
        <v>2.0762435831969475</v>
      </c>
      <c r="X22" s="93">
        <f>K22/(L22+M22)</f>
        <v>2.4532054244423627</v>
      </c>
      <c r="Y22" s="108">
        <f>L22/M22</f>
        <v>1.657435892369185</v>
      </c>
      <c r="Z22" s="83"/>
      <c r="AA22" s="83"/>
    </row>
    <row r="23" spans="3:27" ht="21.75" thickTop="1" x14ac:dyDescent="0.4">
      <c r="C23" s="83"/>
      <c r="D23" s="83"/>
      <c r="E23" s="91"/>
      <c r="F23" s="91"/>
      <c r="G23" s="91"/>
      <c r="H23" s="91"/>
      <c r="I23" s="91"/>
      <c r="J23" s="91"/>
      <c r="K23" s="643" t="s">
        <v>147</v>
      </c>
      <c r="L23" s="645" t="s">
        <v>50</v>
      </c>
      <c r="M23" s="645" t="s">
        <v>155</v>
      </c>
      <c r="N23" s="645" t="s">
        <v>52</v>
      </c>
      <c r="O23" s="645" t="s">
        <v>53</v>
      </c>
      <c r="P23" s="651" t="s">
        <v>54</v>
      </c>
      <c r="Q23" s="651"/>
      <c r="R23" s="651"/>
      <c r="S23" s="651"/>
      <c r="T23" s="652" t="s">
        <v>153</v>
      </c>
      <c r="U23" s="652" t="s">
        <v>154</v>
      </c>
      <c r="V23" s="652" t="s">
        <v>126</v>
      </c>
      <c r="W23" s="652" t="s">
        <v>56</v>
      </c>
      <c r="X23" s="645" t="s">
        <v>57</v>
      </c>
      <c r="Y23" s="654"/>
      <c r="Z23" s="83"/>
      <c r="AA23" s="83"/>
    </row>
    <row r="24" spans="3:27" ht="20.25" thickBot="1" x14ac:dyDescent="0.45">
      <c r="C24" s="83"/>
      <c r="D24" s="83"/>
      <c r="E24" s="91"/>
      <c r="F24" s="91"/>
      <c r="G24" s="91"/>
      <c r="H24" s="91"/>
      <c r="I24" s="91"/>
      <c r="J24" s="91"/>
      <c r="K24" s="644"/>
      <c r="L24" s="646"/>
      <c r="M24" s="646"/>
      <c r="N24" s="646"/>
      <c r="O24" s="646"/>
      <c r="P24" s="124" t="s">
        <v>58</v>
      </c>
      <c r="Q24" s="124" t="s">
        <v>59</v>
      </c>
      <c r="R24" s="124" t="s">
        <v>60</v>
      </c>
      <c r="S24" s="124" t="s">
        <v>61</v>
      </c>
      <c r="T24" s="653"/>
      <c r="U24" s="653"/>
      <c r="V24" s="653"/>
      <c r="W24" s="653"/>
      <c r="X24" s="123" t="s">
        <v>62</v>
      </c>
      <c r="Y24" s="125" t="s">
        <v>39</v>
      </c>
      <c r="Z24" s="83"/>
      <c r="AA24" s="83"/>
    </row>
    <row r="25" spans="3:27" ht="21" thickTop="1" thickBot="1" x14ac:dyDescent="0.45">
      <c r="C25" s="83"/>
      <c r="D25" s="83"/>
      <c r="E25" s="91"/>
      <c r="F25" s="91"/>
      <c r="G25" s="91"/>
      <c r="H25" s="91"/>
      <c r="I25" s="91"/>
      <c r="J25" s="91"/>
      <c r="K25" s="113">
        <v>1.25</v>
      </c>
      <c r="L25" s="110">
        <v>1.8</v>
      </c>
      <c r="M25" s="115" t="s">
        <v>129</v>
      </c>
      <c r="N25" s="116">
        <f>((O25/100)-(Y25/100))/((O25/100)-(O25/100)*(Y25/100))*100</f>
        <v>96.166062000057735</v>
      </c>
      <c r="O25" s="110">
        <v>34.39</v>
      </c>
      <c r="P25" s="95">
        <f>4.071*(N22-L25)-7.6024*K22-6.718*L22-1.4297*M22</f>
        <v>45.596139778687601</v>
      </c>
      <c r="Q25" s="96">
        <f>8.6024*K22+5.0683*L22+1.0785*M22-3.071*(N22-L25)</f>
        <v>29.689150042040694</v>
      </c>
      <c r="R25" s="96">
        <f>2.65*L22-1.692*M22</f>
        <v>9.2563800131056464</v>
      </c>
      <c r="S25" s="96">
        <f>3.0432*M22</f>
        <v>10.432176245320349</v>
      </c>
      <c r="T25" s="97">
        <f>R22/(Q22+0.5*P22)</f>
        <v>0.56896196491363871</v>
      </c>
      <c r="U25" s="97">
        <f>P22+(0.658*Q22)</f>
        <v>0.72225954057691188</v>
      </c>
      <c r="V25" s="97">
        <f>3*L22+2.25*M22+O22+P22+Q22+R22</f>
        <v>28.57470131705487</v>
      </c>
      <c r="W25" s="98">
        <f>R25+S25+(Q25*0.2)+(2*M22)</f>
        <v>32.482443210393775</v>
      </c>
      <c r="X25" s="110">
        <v>1</v>
      </c>
      <c r="Y25" s="117">
        <v>1.97</v>
      </c>
      <c r="Z25" s="83"/>
      <c r="AA25" s="83"/>
    </row>
    <row r="26" spans="3:27" ht="20.25" thickTop="1" x14ac:dyDescent="0.4"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</row>
    <row r="27" spans="3:27" x14ac:dyDescent="0.4"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</row>
    <row r="28" spans="3:27" x14ac:dyDescent="0.4"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</row>
    <row r="30" spans="3:27" x14ac:dyDescent="0.4">
      <c r="F30" s="38"/>
      <c r="H30" s="39"/>
      <c r="I30" s="39"/>
      <c r="J30" s="40"/>
    </row>
    <row r="31" spans="3:27" x14ac:dyDescent="0.4">
      <c r="C31" s="41"/>
      <c r="D31" s="41"/>
      <c r="E31" s="41"/>
      <c r="F31" s="41"/>
      <c r="G31" s="41"/>
      <c r="H31" s="42"/>
      <c r="I31" s="41"/>
      <c r="J31" s="43"/>
      <c r="K31" s="43"/>
      <c r="L31" s="4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spans="3:27" x14ac:dyDescent="0.4">
      <c r="C32" s="41"/>
      <c r="D32" s="41"/>
      <c r="E32" s="41"/>
      <c r="F32" s="41"/>
      <c r="G32" s="41"/>
      <c r="H32" s="42"/>
      <c r="I32" s="41"/>
      <c r="J32" s="43"/>
      <c r="K32" s="43"/>
      <c r="L32" s="4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 spans="3:27" x14ac:dyDescent="0.4">
      <c r="C33" s="41"/>
      <c r="D33" s="45"/>
      <c r="E33" s="46"/>
      <c r="F33" s="46"/>
      <c r="G33" s="47"/>
      <c r="H33" s="2"/>
      <c r="I33" s="2"/>
      <c r="J33" s="48"/>
      <c r="K33" s="49"/>
      <c r="L33" s="49"/>
      <c r="M33" s="49"/>
      <c r="N33" s="50"/>
      <c r="O33" s="51"/>
      <c r="P33" s="51"/>
      <c r="Q33" s="51"/>
      <c r="R33" s="52"/>
      <c r="S33" s="2"/>
      <c r="T33" s="2"/>
      <c r="U33" s="2"/>
      <c r="V33" s="2"/>
      <c r="W33" s="2"/>
      <c r="X33" s="2"/>
      <c r="Y33" s="2"/>
      <c r="Z33" s="2"/>
      <c r="AA33" s="2"/>
    </row>
    <row r="34" spans="3:27" x14ac:dyDescent="0.4">
      <c r="C34" s="41"/>
      <c r="D34" s="53"/>
      <c r="E34" s="606" t="s">
        <v>135</v>
      </c>
      <c r="F34" s="607" t="s">
        <v>134</v>
      </c>
      <c r="G34" s="608"/>
      <c r="H34" s="2"/>
      <c r="I34" s="2"/>
      <c r="J34" s="54"/>
      <c r="K34" s="55"/>
      <c r="L34" s="673" t="s">
        <v>137</v>
      </c>
      <c r="M34" s="673"/>
      <c r="N34" s="56"/>
      <c r="O34" s="57"/>
      <c r="P34" s="674" t="s">
        <v>138</v>
      </c>
      <c r="Q34" s="674"/>
      <c r="R34" s="58"/>
      <c r="S34" s="2"/>
      <c r="T34" s="2"/>
      <c r="U34" s="2"/>
      <c r="V34" s="2"/>
      <c r="W34" s="2"/>
      <c r="X34" s="2"/>
      <c r="Y34" s="2"/>
      <c r="Z34" s="2"/>
      <c r="AA34" s="2"/>
    </row>
    <row r="35" spans="3:27" x14ac:dyDescent="0.4">
      <c r="C35" s="41"/>
      <c r="D35" s="53"/>
      <c r="E35" s="606"/>
      <c r="F35" s="607"/>
      <c r="G35" s="608"/>
      <c r="H35" s="2"/>
      <c r="I35" s="2"/>
      <c r="J35" s="54"/>
      <c r="K35" s="55"/>
      <c r="L35" s="673"/>
      <c r="M35" s="673"/>
      <c r="N35" s="56"/>
      <c r="O35" s="57"/>
      <c r="P35" s="674"/>
      <c r="Q35" s="674"/>
      <c r="R35" s="58"/>
      <c r="S35" s="2"/>
      <c r="T35" s="2"/>
      <c r="U35" s="2"/>
      <c r="V35" s="2"/>
      <c r="W35" s="2"/>
      <c r="X35" s="2"/>
      <c r="Y35" s="2"/>
      <c r="Z35" s="2"/>
      <c r="AA35" s="2"/>
    </row>
    <row r="36" spans="3:27" x14ac:dyDescent="0.4">
      <c r="C36" s="41"/>
      <c r="D36" s="59"/>
      <c r="E36" s="60"/>
      <c r="F36" s="60"/>
      <c r="G36" s="61"/>
      <c r="H36" s="2"/>
      <c r="I36" s="2"/>
      <c r="J36" s="62"/>
      <c r="K36" s="63"/>
      <c r="L36" s="63"/>
      <c r="M36" s="63"/>
      <c r="N36" s="64"/>
      <c r="O36" s="65"/>
      <c r="P36" s="65"/>
      <c r="Q36" s="65"/>
      <c r="R36" s="66"/>
      <c r="S36" s="2"/>
      <c r="T36" s="2"/>
      <c r="U36" s="2"/>
      <c r="V36" s="2"/>
      <c r="W36" s="2"/>
      <c r="X36" s="2"/>
      <c r="Y36" s="2"/>
      <c r="Z36" s="2"/>
      <c r="AA36" s="2"/>
    </row>
    <row r="37" spans="3:27" x14ac:dyDescent="0.4">
      <c r="C37" s="4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3:27" ht="24" customHeight="1" x14ac:dyDescent="0.4">
      <c r="C38" s="4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3:27" ht="21" customHeight="1" thickBot="1" x14ac:dyDescent="0.45">
      <c r="C39" s="4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3:27" ht="25.5" thickBot="1" x14ac:dyDescent="0.55000000000000004">
      <c r="C40" s="41"/>
      <c r="D40" s="2"/>
      <c r="E40" s="631" t="s">
        <v>127</v>
      </c>
      <c r="F40" s="631"/>
      <c r="G40" s="631"/>
      <c r="H40" s="631"/>
      <c r="I40" s="631"/>
      <c r="J40" s="631"/>
      <c r="K40" s="631"/>
      <c r="L40" s="631"/>
      <c r="M40" s="631"/>
      <c r="N40" s="631"/>
      <c r="O40" s="631"/>
      <c r="P40" s="631"/>
      <c r="Q40" s="631"/>
      <c r="R40" s="631"/>
      <c r="S40" s="631"/>
      <c r="T40" s="631"/>
      <c r="U40" s="631"/>
      <c r="V40" s="631"/>
      <c r="W40" s="631"/>
      <c r="X40" s="631"/>
      <c r="Y40" s="631"/>
      <c r="Z40" s="2"/>
      <c r="AA40" s="2"/>
    </row>
    <row r="41" spans="3:27" ht="23.25" thickBot="1" x14ac:dyDescent="0.45">
      <c r="D41" s="2"/>
      <c r="E41" s="625" t="s">
        <v>124</v>
      </c>
      <c r="F41" s="625"/>
      <c r="G41" s="629" t="s">
        <v>10</v>
      </c>
      <c r="H41" s="629" t="s">
        <v>108</v>
      </c>
      <c r="I41" s="629"/>
      <c r="J41" s="629"/>
      <c r="K41" s="629" t="s">
        <v>109</v>
      </c>
      <c r="L41" s="629"/>
      <c r="M41" s="629"/>
      <c r="N41" s="629"/>
      <c r="O41" s="629"/>
      <c r="P41" s="629"/>
      <c r="Q41" s="629"/>
      <c r="R41" s="629"/>
      <c r="S41" s="629"/>
      <c r="T41" s="625" t="s">
        <v>39</v>
      </c>
      <c r="U41" s="625" t="s">
        <v>10</v>
      </c>
      <c r="V41" s="629" t="s">
        <v>101</v>
      </c>
      <c r="W41" s="629"/>
      <c r="X41" s="629"/>
      <c r="Y41" s="629"/>
      <c r="Z41" s="2"/>
      <c r="AA41" s="2"/>
    </row>
    <row r="42" spans="3:27" ht="20.25" thickBot="1" x14ac:dyDescent="0.45">
      <c r="D42" s="2"/>
      <c r="E42" s="625"/>
      <c r="F42" s="625"/>
      <c r="G42" s="629"/>
      <c r="H42" s="629"/>
      <c r="I42" s="629"/>
      <c r="J42" s="629"/>
      <c r="K42" s="629" t="s">
        <v>1</v>
      </c>
      <c r="L42" s="629" t="s">
        <v>3</v>
      </c>
      <c r="M42" s="629" t="s">
        <v>4</v>
      </c>
      <c r="N42" s="629" t="s">
        <v>5</v>
      </c>
      <c r="O42" s="629" t="s">
        <v>6</v>
      </c>
      <c r="P42" s="629" t="s">
        <v>8</v>
      </c>
      <c r="Q42" s="629" t="s">
        <v>7</v>
      </c>
      <c r="R42" s="629" t="s">
        <v>9</v>
      </c>
      <c r="S42" s="629" t="s">
        <v>40</v>
      </c>
      <c r="T42" s="625"/>
      <c r="U42" s="625"/>
      <c r="V42" s="625" t="s">
        <v>38</v>
      </c>
      <c r="W42" s="625" t="s">
        <v>49</v>
      </c>
      <c r="X42" s="625" t="s">
        <v>36</v>
      </c>
      <c r="Y42" s="625" t="s">
        <v>37</v>
      </c>
      <c r="Z42" s="2"/>
      <c r="AA42" s="2"/>
    </row>
    <row r="43" spans="3:27" ht="20.25" thickBot="1" x14ac:dyDescent="0.45">
      <c r="D43" s="2"/>
      <c r="E43" s="625"/>
      <c r="F43" s="625"/>
      <c r="G43" s="629"/>
      <c r="H43" s="626" t="s">
        <v>110</v>
      </c>
      <c r="I43" s="627" t="s">
        <v>111</v>
      </c>
      <c r="J43" s="628" t="s">
        <v>141</v>
      </c>
      <c r="K43" s="629"/>
      <c r="L43" s="629"/>
      <c r="M43" s="629"/>
      <c r="N43" s="629"/>
      <c r="O43" s="629"/>
      <c r="P43" s="629"/>
      <c r="Q43" s="629"/>
      <c r="R43" s="629"/>
      <c r="S43" s="629"/>
      <c r="T43" s="625"/>
      <c r="U43" s="625"/>
      <c r="V43" s="625"/>
      <c r="W43" s="625"/>
      <c r="X43" s="625"/>
      <c r="Y43" s="625"/>
      <c r="Z43" s="2"/>
      <c r="AA43" s="2"/>
    </row>
    <row r="44" spans="3:27" ht="20.25" thickBot="1" x14ac:dyDescent="0.45">
      <c r="D44" s="2"/>
      <c r="E44" s="625"/>
      <c r="F44" s="625"/>
      <c r="G44" s="629"/>
      <c r="H44" s="626"/>
      <c r="I44" s="627"/>
      <c r="J44" s="628"/>
      <c r="K44" s="629"/>
      <c r="L44" s="629"/>
      <c r="M44" s="629"/>
      <c r="N44" s="629"/>
      <c r="O44" s="629"/>
      <c r="P44" s="629"/>
      <c r="Q44" s="630"/>
      <c r="R44" s="629"/>
      <c r="S44" s="629"/>
      <c r="T44" s="625"/>
      <c r="U44" s="625"/>
      <c r="V44" s="625"/>
      <c r="W44" s="625"/>
      <c r="X44" s="625"/>
      <c r="Y44" s="625"/>
      <c r="Z44" s="2"/>
      <c r="AA44" s="2"/>
    </row>
    <row r="45" spans="3:27" ht="20.25" thickBot="1" x14ac:dyDescent="0.45">
      <c r="D45" s="2"/>
      <c r="E45" s="624" t="s">
        <v>113</v>
      </c>
      <c r="F45" s="624"/>
      <c r="G45" s="19">
        <f>H45+I45+J45</f>
        <v>100</v>
      </c>
      <c r="H45" s="4">
        <v>80</v>
      </c>
      <c r="I45" s="5">
        <v>15</v>
      </c>
      <c r="J45" s="6">
        <f>100-H45-I45</f>
        <v>5</v>
      </c>
      <c r="K45" s="7">
        <v>13.97</v>
      </c>
      <c r="L45" s="7">
        <v>3.4</v>
      </c>
      <c r="M45" s="7">
        <v>2.16</v>
      </c>
      <c r="N45" s="7">
        <v>42.81</v>
      </c>
      <c r="O45" s="7">
        <v>1.65</v>
      </c>
      <c r="P45" s="7">
        <v>0.26</v>
      </c>
      <c r="Q45" s="7">
        <v>0.49</v>
      </c>
      <c r="R45" s="7">
        <v>0.2</v>
      </c>
      <c r="S45" s="7">
        <v>0.01</v>
      </c>
      <c r="T45" s="22">
        <f>0.786*N45+1.1*O45+0.2</f>
        <v>35.663660000000007</v>
      </c>
      <c r="U45" s="22">
        <f>SUM(K45:T45)</f>
        <v>100.61366000000001</v>
      </c>
      <c r="V45" s="22">
        <f>N45*100/(2.8*K45+1.2*L45+0.65*M45)</f>
        <v>95.986547085201792</v>
      </c>
      <c r="W45" s="22">
        <f xml:space="preserve"> N45/(K45+L45+M45)</f>
        <v>2.1920122887864824</v>
      </c>
      <c r="X45" s="22">
        <f xml:space="preserve"> K45/(L45+M45)</f>
        <v>2.5125899280575537</v>
      </c>
      <c r="Y45" s="22">
        <f>L45/M45</f>
        <v>1.574074074074074</v>
      </c>
      <c r="Z45" s="2"/>
      <c r="AA45" s="2"/>
    </row>
    <row r="46" spans="3:27" ht="20.25" thickBot="1" x14ac:dyDescent="0.45">
      <c r="D46" s="2"/>
      <c r="E46" s="624" t="s">
        <v>125</v>
      </c>
      <c r="F46" s="624"/>
      <c r="G46" s="19">
        <f t="shared" ref="G46:G49" si="10">H46+I46+J46</f>
        <v>100</v>
      </c>
      <c r="H46" s="19">
        <f>H45+N52-N45</f>
        <v>80</v>
      </c>
      <c r="I46" s="20">
        <f>100-H46-J46</f>
        <v>15</v>
      </c>
      <c r="J46" s="21">
        <f>J45+M52-M45</f>
        <v>5</v>
      </c>
      <c r="K46" s="7">
        <v>13.8</v>
      </c>
      <c r="L46" s="7">
        <v>3.2</v>
      </c>
      <c r="M46" s="7">
        <v>2.2000000000000002</v>
      </c>
      <c r="N46" s="7">
        <v>41</v>
      </c>
      <c r="O46" s="7">
        <v>1.65</v>
      </c>
      <c r="P46" s="7">
        <v>0.26</v>
      </c>
      <c r="Q46" s="7">
        <v>0.49</v>
      </c>
      <c r="R46" s="7">
        <v>0.2</v>
      </c>
      <c r="S46" s="7">
        <v>0.01</v>
      </c>
      <c r="T46" s="22">
        <f>0.786*N46+1.1*O46+0.2</f>
        <v>34.241</v>
      </c>
      <c r="U46" s="22">
        <f>SUM(K46:T46)</f>
        <v>97.051000000000002</v>
      </c>
      <c r="V46" s="22">
        <f t="shared" ref="V46:V48" si="11">N46*100/(2.8*K46+1.2*L46+0.65*M46)</f>
        <v>93.372808016397173</v>
      </c>
      <c r="W46" s="22">
        <f t="shared" ref="W46:W48" si="12" xml:space="preserve"> N46/(K46+L46+M46)</f>
        <v>2.135416666666667</v>
      </c>
      <c r="X46" s="22">
        <f t="shared" ref="X46:X48" si="13" xml:space="preserve"> K46/(L46+M46)</f>
        <v>2.5555555555555554</v>
      </c>
      <c r="Y46" s="22">
        <f t="shared" ref="Y46:Y48" si="14">L46/M46</f>
        <v>1.4545454545454546</v>
      </c>
      <c r="Z46" s="2"/>
      <c r="AA46" s="2"/>
    </row>
    <row r="47" spans="3:27" ht="20.25" thickBot="1" x14ac:dyDescent="0.45">
      <c r="D47" s="2"/>
      <c r="E47" s="624" t="s">
        <v>125</v>
      </c>
      <c r="F47" s="624"/>
      <c r="G47" s="19">
        <f t="shared" si="10"/>
        <v>99.999999999999986</v>
      </c>
      <c r="H47" s="19">
        <f>H46+N52-N46</f>
        <v>81.81</v>
      </c>
      <c r="I47" s="20">
        <f>100-H47-J47</f>
        <v>13.229999999999997</v>
      </c>
      <c r="J47" s="21">
        <f>J46+M52-M46</f>
        <v>4.96</v>
      </c>
      <c r="K47" s="7">
        <v>13.97</v>
      </c>
      <c r="L47" s="7">
        <v>3.4</v>
      </c>
      <c r="M47" s="7">
        <v>2.16</v>
      </c>
      <c r="N47" s="7">
        <v>42.81</v>
      </c>
      <c r="O47" s="7">
        <v>1.65</v>
      </c>
      <c r="P47" s="7">
        <v>0.26</v>
      </c>
      <c r="Q47" s="7">
        <v>0.49</v>
      </c>
      <c r="R47" s="7">
        <v>0.2</v>
      </c>
      <c r="S47" s="7">
        <v>0.01</v>
      </c>
      <c r="T47" s="22">
        <f>0.786*N47+1.1*O47+0.2</f>
        <v>35.663660000000007</v>
      </c>
      <c r="U47" s="22">
        <f>SUM(K47:T47)</f>
        <v>100.61366000000001</v>
      </c>
      <c r="V47" s="22">
        <f t="shared" si="11"/>
        <v>95.986547085201792</v>
      </c>
      <c r="W47" s="22">
        <f t="shared" si="12"/>
        <v>2.1920122887864824</v>
      </c>
      <c r="X47" s="22">
        <f t="shared" si="13"/>
        <v>2.5125899280575537</v>
      </c>
      <c r="Y47" s="22">
        <f t="shared" si="14"/>
        <v>1.574074074074074</v>
      </c>
      <c r="Z47" s="2"/>
      <c r="AA47" s="2"/>
    </row>
    <row r="48" spans="3:27" ht="20.25" thickBot="1" x14ac:dyDescent="0.45">
      <c r="D48" s="2"/>
      <c r="E48" s="624" t="s">
        <v>125</v>
      </c>
      <c r="F48" s="624"/>
      <c r="G48" s="19">
        <f t="shared" si="10"/>
        <v>99.999999999999986</v>
      </c>
      <c r="H48" s="19">
        <f>H47+N52-N47</f>
        <v>81.81</v>
      </c>
      <c r="I48" s="20">
        <f>100-H48-J48</f>
        <v>13.229999999999997</v>
      </c>
      <c r="J48" s="21">
        <f>J47+M52-M47</f>
        <v>4.96</v>
      </c>
      <c r="K48" s="7">
        <v>13.97</v>
      </c>
      <c r="L48" s="7">
        <v>3.4</v>
      </c>
      <c r="M48" s="7">
        <v>2.16</v>
      </c>
      <c r="N48" s="7">
        <v>42.81</v>
      </c>
      <c r="O48" s="7">
        <v>1.65</v>
      </c>
      <c r="P48" s="7">
        <v>0.26</v>
      </c>
      <c r="Q48" s="7">
        <v>0.49</v>
      </c>
      <c r="R48" s="7">
        <v>0.2</v>
      </c>
      <c r="S48" s="7">
        <v>0.01</v>
      </c>
      <c r="T48" s="22">
        <f>0.786*N48+1.1*O48+0.2</f>
        <v>35.663660000000007</v>
      </c>
      <c r="U48" s="22">
        <f>SUM(K48:T48)</f>
        <v>100.61366000000001</v>
      </c>
      <c r="V48" s="22">
        <f t="shared" si="11"/>
        <v>95.986547085201792</v>
      </c>
      <c r="W48" s="22">
        <f t="shared" si="12"/>
        <v>2.1920122887864824</v>
      </c>
      <c r="X48" s="22">
        <f t="shared" si="13"/>
        <v>2.5125899280575537</v>
      </c>
      <c r="Y48" s="22">
        <f t="shared" si="14"/>
        <v>1.574074074074074</v>
      </c>
      <c r="Z48" s="2"/>
      <c r="AA48" s="2"/>
    </row>
    <row r="49" spans="4:27" ht="20.25" thickBot="1" x14ac:dyDescent="0.45">
      <c r="D49" s="2"/>
      <c r="E49" s="624" t="s">
        <v>125</v>
      </c>
      <c r="F49" s="624"/>
      <c r="G49" s="19">
        <f t="shared" si="10"/>
        <v>99.999999999999986</v>
      </c>
      <c r="H49" s="19">
        <f>H48+N52-N48</f>
        <v>81.81</v>
      </c>
      <c r="I49" s="20">
        <f>100-H49-J49</f>
        <v>13.229999999999997</v>
      </c>
      <c r="J49" s="21">
        <f>J48+M52-M48</f>
        <v>4.96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4:27" ht="24" thickTop="1" thickBot="1" x14ac:dyDescent="0.5">
      <c r="D50" s="2"/>
      <c r="E50" s="2"/>
      <c r="F50" s="2"/>
      <c r="G50" s="2"/>
      <c r="H50" s="2"/>
      <c r="I50" s="2"/>
      <c r="J50" s="2"/>
      <c r="K50" s="623" t="s">
        <v>118</v>
      </c>
      <c r="L50" s="623"/>
      <c r="M50" s="623"/>
      <c r="N50" s="623"/>
      <c r="O50" s="623"/>
      <c r="P50" s="623"/>
      <c r="Q50" s="623"/>
      <c r="R50" s="623"/>
      <c r="S50" s="623"/>
      <c r="T50" s="623"/>
      <c r="U50" s="623"/>
      <c r="V50" s="623"/>
      <c r="W50" s="623"/>
      <c r="X50" s="623"/>
      <c r="Y50" s="623"/>
      <c r="Z50" s="2"/>
      <c r="AA50" s="2"/>
    </row>
    <row r="51" spans="4:27" ht="24" thickTop="1" thickBot="1" x14ac:dyDescent="0.45">
      <c r="D51" s="2"/>
      <c r="E51" s="2"/>
      <c r="F51" s="618" t="s">
        <v>119</v>
      </c>
      <c r="G51" s="618"/>
      <c r="H51" s="618"/>
      <c r="I51" s="2"/>
      <c r="J51" s="2"/>
      <c r="K51" s="31" t="s">
        <v>1</v>
      </c>
      <c r="L51" s="31" t="s">
        <v>3</v>
      </c>
      <c r="M51" s="31" t="s">
        <v>4</v>
      </c>
      <c r="N51" s="31" t="s">
        <v>5</v>
      </c>
      <c r="O51" s="31" t="s">
        <v>6</v>
      </c>
      <c r="P51" s="31" t="s">
        <v>8</v>
      </c>
      <c r="Q51" s="31" t="s">
        <v>7</v>
      </c>
      <c r="R51" s="31" t="s">
        <v>9</v>
      </c>
      <c r="S51" s="31" t="s">
        <v>40</v>
      </c>
      <c r="T51" s="32" t="s">
        <v>39</v>
      </c>
      <c r="U51" s="32" t="s">
        <v>10</v>
      </c>
      <c r="V51" s="32" t="s">
        <v>38</v>
      </c>
      <c r="W51" s="32" t="s">
        <v>49</v>
      </c>
      <c r="X51" s="32" t="s">
        <v>36</v>
      </c>
      <c r="Y51" s="32" t="s">
        <v>37</v>
      </c>
      <c r="Z51" s="2"/>
      <c r="AA51" s="2"/>
    </row>
    <row r="52" spans="4:27" ht="21" thickTop="1" thickBot="1" x14ac:dyDescent="0.45">
      <c r="D52" s="2"/>
      <c r="E52" s="2"/>
      <c r="F52" s="619" t="s">
        <v>38</v>
      </c>
      <c r="G52" s="619"/>
      <c r="H52" s="27">
        <f>V52</f>
        <v>95.986547085201792</v>
      </c>
      <c r="I52" s="2"/>
      <c r="J52" s="2"/>
      <c r="K52" s="8">
        <v>13.97</v>
      </c>
      <c r="L52" s="8">
        <v>3.4</v>
      </c>
      <c r="M52" s="8">
        <v>2.16</v>
      </c>
      <c r="N52" s="8">
        <v>42.81</v>
      </c>
      <c r="O52" s="8">
        <v>1.65</v>
      </c>
      <c r="P52" s="8">
        <v>0.26</v>
      </c>
      <c r="Q52" s="8">
        <v>0.49</v>
      </c>
      <c r="R52" s="8">
        <v>0.2</v>
      </c>
      <c r="S52" s="8">
        <v>0.01</v>
      </c>
      <c r="T52" s="26">
        <f>0.786*N52+1.1*O52+0.2</f>
        <v>35.663660000000007</v>
      </c>
      <c r="U52" s="26">
        <f>SUM(K52:T52)</f>
        <v>100.61366000000001</v>
      </c>
      <c r="V52" s="27">
        <f>N52*100/(2.8*K52+1.2*L52+0.65*M52)</f>
        <v>95.986547085201792</v>
      </c>
      <c r="W52" s="26">
        <f>N52/(K52+L52+M52)</f>
        <v>2.1920122887864824</v>
      </c>
      <c r="X52" s="27">
        <f>K52/(L52+M52)</f>
        <v>2.5125899280575537</v>
      </c>
      <c r="Y52" s="27">
        <f>L52/M52</f>
        <v>1.574074074074074</v>
      </c>
      <c r="Z52" s="2"/>
      <c r="AA52" s="2"/>
    </row>
    <row r="53" spans="4:27" ht="24" thickTop="1" thickBot="1" x14ac:dyDescent="0.45">
      <c r="D53" s="2"/>
      <c r="E53" s="2"/>
      <c r="F53" s="619" t="s">
        <v>37</v>
      </c>
      <c r="G53" s="619"/>
      <c r="H53" s="27">
        <f>Y52</f>
        <v>1.574074074074074</v>
      </c>
      <c r="I53" s="2"/>
      <c r="J53" s="2"/>
      <c r="K53" s="620" t="s">
        <v>122</v>
      </c>
      <c r="L53" s="620"/>
      <c r="M53" s="620"/>
      <c r="N53" s="620"/>
      <c r="O53" s="620"/>
      <c r="P53" s="620"/>
      <c r="Q53" s="620"/>
      <c r="R53" s="620"/>
      <c r="S53" s="620"/>
      <c r="T53" s="620"/>
      <c r="U53" s="620"/>
      <c r="V53" s="620"/>
      <c r="W53" s="620"/>
      <c r="X53" s="620"/>
      <c r="Y53" s="620"/>
      <c r="Z53" s="2"/>
      <c r="AA53" s="2"/>
    </row>
    <row r="54" spans="4:27" ht="24" thickTop="1" thickBot="1" x14ac:dyDescent="0.45">
      <c r="D54" s="2"/>
      <c r="E54" s="2"/>
      <c r="F54" s="621" t="s">
        <v>45</v>
      </c>
      <c r="G54" s="622"/>
      <c r="H54" s="35">
        <v>2.1000000000000001E-2</v>
      </c>
      <c r="I54" s="2"/>
      <c r="J54" s="2"/>
      <c r="K54" s="9">
        <v>51.910012874140349</v>
      </c>
      <c r="L54" s="9">
        <v>24.189980517995103</v>
      </c>
      <c r="M54" s="9">
        <v>6.7227097100043149</v>
      </c>
      <c r="N54" s="9">
        <v>8.1274517505998443</v>
      </c>
      <c r="O54" s="9">
        <v>1.1075203400231253</v>
      </c>
      <c r="P54" s="9">
        <v>0.2</v>
      </c>
      <c r="Q54" s="9">
        <v>0.9</v>
      </c>
      <c r="R54" s="9">
        <v>4.2</v>
      </c>
      <c r="S54" s="9">
        <v>0.01</v>
      </c>
      <c r="T54" s="9">
        <v>1.5</v>
      </c>
      <c r="U54" s="28">
        <f>SUM(K54:T54)</f>
        <v>98.867675192762746</v>
      </c>
      <c r="V54" s="28">
        <f t="shared" ref="V54" si="15">N54*100/(2.8*K54+1.2*L54+0.65*M54)</f>
        <v>4.5469336530875761</v>
      </c>
      <c r="W54" s="28">
        <f t="shared" ref="W54" si="16">N54/(K54+L54+M54)</f>
        <v>9.8130723173533663E-2</v>
      </c>
      <c r="X54" s="28">
        <f t="shared" ref="X54" si="17">K54/(L54+M54)</f>
        <v>1.6792460472146948</v>
      </c>
      <c r="Y54" s="28">
        <f t="shared" ref="Y54" si="18">L54/M54</f>
        <v>3.5982485577202734</v>
      </c>
      <c r="Z54" s="2"/>
      <c r="AA54" s="2"/>
    </row>
    <row r="55" spans="4:27" ht="24" thickTop="1" thickBot="1" x14ac:dyDescent="0.5">
      <c r="D55" s="2"/>
      <c r="E55" s="2"/>
      <c r="F55" s="609" t="s">
        <v>120</v>
      </c>
      <c r="G55" s="609"/>
      <c r="H55" s="34" t="s">
        <v>130</v>
      </c>
      <c r="I55" s="2"/>
      <c r="J55" s="2"/>
      <c r="K55" s="610" t="s">
        <v>121</v>
      </c>
      <c r="L55" s="610"/>
      <c r="M55" s="610"/>
      <c r="N55" s="610"/>
      <c r="O55" s="610"/>
      <c r="P55" s="610"/>
      <c r="Q55" s="610"/>
      <c r="R55" s="610"/>
      <c r="S55" s="610"/>
      <c r="T55" s="610"/>
      <c r="U55" s="610"/>
      <c r="V55" s="610"/>
      <c r="W55" s="610"/>
      <c r="X55" s="610"/>
      <c r="Y55" s="610"/>
      <c r="Z55" s="37"/>
      <c r="AA55" s="2"/>
    </row>
    <row r="56" spans="4:27" ht="24" thickTop="1" thickBot="1" x14ac:dyDescent="0.45">
      <c r="D56" s="2"/>
      <c r="E56" s="2"/>
      <c r="F56" s="2"/>
      <c r="G56" s="2"/>
      <c r="H56" s="2"/>
      <c r="I56" s="2"/>
      <c r="J56" s="2"/>
      <c r="K56" s="31" t="s">
        <v>1</v>
      </c>
      <c r="L56" s="31" t="s">
        <v>3</v>
      </c>
      <c r="M56" s="31" t="s">
        <v>4</v>
      </c>
      <c r="N56" s="31" t="s">
        <v>5</v>
      </c>
      <c r="O56" s="31" t="s">
        <v>6</v>
      </c>
      <c r="P56" s="31" t="s">
        <v>8</v>
      </c>
      <c r="Q56" s="31" t="s">
        <v>7</v>
      </c>
      <c r="R56" s="31" t="s">
        <v>9</v>
      </c>
      <c r="S56" s="31" t="s">
        <v>40</v>
      </c>
      <c r="T56" s="611" t="s">
        <v>10</v>
      </c>
      <c r="U56" s="611"/>
      <c r="V56" s="32" t="s">
        <v>38</v>
      </c>
      <c r="W56" s="32" t="s">
        <v>49</v>
      </c>
      <c r="X56" s="32" t="s">
        <v>36</v>
      </c>
      <c r="Y56" s="32" t="s">
        <v>37</v>
      </c>
      <c r="Z56" s="2"/>
      <c r="AA56" s="2"/>
    </row>
    <row r="57" spans="4:27" ht="21" thickTop="1" thickBot="1" x14ac:dyDescent="0.45">
      <c r="D57" s="2"/>
      <c r="E57" s="2"/>
      <c r="F57" s="2"/>
      <c r="G57" s="2"/>
      <c r="H57" s="2"/>
      <c r="I57" s="2"/>
      <c r="J57" s="2"/>
      <c r="K57" s="26">
        <f>(1/(1-T52/100))*K52*(1-H54)+K54*H54</f>
        <v>22.348127123662564</v>
      </c>
      <c r="L57" s="26">
        <f>(1/(1-T52/100))*L52*(1-H54)+L54*H54</f>
        <v>5.6817374291913598</v>
      </c>
      <c r="M57" s="26">
        <f>(1/(1-T52/100))*M52*(1-H54)+M54*H54</f>
        <v>3.4280284717798204</v>
      </c>
      <c r="N57" s="26">
        <f>(1/(1-T52/100))*N52*(1-H54)+N54*H54</f>
        <v>65.314248533291831</v>
      </c>
      <c r="O57" s="26">
        <f>(1/(1-T52/100))*O52*(1-H54)+O54*H54</f>
        <v>2.534047319263196</v>
      </c>
      <c r="P57" s="26">
        <f>(1/(1-T52/100))*P52*(1-H54)+P54*H54</f>
        <v>0.3998395405769119</v>
      </c>
      <c r="Q57" s="26">
        <f t="shared" ref="Q57" si="19">(1/(1-Z52/100))*Q52*(1-N59)+Q54*N59</f>
        <v>0.49</v>
      </c>
      <c r="R57" s="26">
        <f>(1/(1-T52/100))*R52*(1-H54)+R54*H54</f>
        <v>0.39253810813608614</v>
      </c>
      <c r="S57" s="26">
        <f>(1/(1-T52/100))*S52*(1-H54)+S54*H54</f>
        <v>1.5426905406804305E-2</v>
      </c>
      <c r="T57" s="612">
        <f>SUM(K57:S57)</f>
        <v>100.60399343130855</v>
      </c>
      <c r="U57" s="612"/>
      <c r="V57" s="27">
        <f>N57*100/(2.8*K57+1.2*L57+0.65*M57)</f>
        <v>91.194194989144691</v>
      </c>
      <c r="W57" s="26">
        <f>N57/(K57+L57+M57)</f>
        <v>2.0762435831969475</v>
      </c>
      <c r="X57" s="27">
        <f>K57/(L57+M57)</f>
        <v>2.4532054244423627</v>
      </c>
      <c r="Y57" s="27">
        <f>L57/M57</f>
        <v>1.657435892369185</v>
      </c>
      <c r="Z57" s="2"/>
      <c r="AA57" s="2"/>
    </row>
    <row r="58" spans="4:27" ht="24" thickTop="1" thickBot="1" x14ac:dyDescent="0.5">
      <c r="D58" s="2"/>
      <c r="E58" s="2"/>
      <c r="F58" s="2"/>
      <c r="G58" s="2"/>
      <c r="H58" s="2"/>
      <c r="I58" s="2"/>
      <c r="J58" s="2"/>
      <c r="K58" s="613" t="s">
        <v>147</v>
      </c>
      <c r="L58" s="613" t="s">
        <v>50</v>
      </c>
      <c r="M58" s="614" t="s">
        <v>146</v>
      </c>
      <c r="N58" s="615" t="s">
        <v>52</v>
      </c>
      <c r="O58" s="615" t="s">
        <v>53</v>
      </c>
      <c r="P58" s="616" t="s">
        <v>54</v>
      </c>
      <c r="Q58" s="616"/>
      <c r="R58" s="616"/>
      <c r="S58" s="616"/>
      <c r="T58" s="617" t="s">
        <v>132</v>
      </c>
      <c r="U58" s="617" t="s">
        <v>55</v>
      </c>
      <c r="V58" s="617" t="s">
        <v>126</v>
      </c>
      <c r="W58" s="617" t="s">
        <v>56</v>
      </c>
      <c r="X58" s="616" t="s">
        <v>57</v>
      </c>
      <c r="Y58" s="616"/>
      <c r="Z58" s="2"/>
      <c r="AA58" s="2"/>
    </row>
    <row r="59" spans="4:27" ht="24" thickTop="1" thickBot="1" x14ac:dyDescent="0.45">
      <c r="D59" s="2"/>
      <c r="E59" s="2"/>
      <c r="F59" s="2"/>
      <c r="G59" s="2"/>
      <c r="H59" s="2"/>
      <c r="I59" s="2"/>
      <c r="J59" s="2"/>
      <c r="K59" s="613"/>
      <c r="L59" s="613"/>
      <c r="M59" s="614"/>
      <c r="N59" s="615"/>
      <c r="O59" s="615"/>
      <c r="P59" s="33" t="s">
        <v>58</v>
      </c>
      <c r="Q59" s="33" t="s">
        <v>59</v>
      </c>
      <c r="R59" s="33" t="s">
        <v>60</v>
      </c>
      <c r="S59" s="33" t="s">
        <v>61</v>
      </c>
      <c r="T59" s="617"/>
      <c r="U59" s="617"/>
      <c r="V59" s="617"/>
      <c r="W59" s="617"/>
      <c r="X59" s="33" t="s">
        <v>62</v>
      </c>
      <c r="Y59" s="33" t="s">
        <v>39</v>
      </c>
      <c r="Z59" s="2"/>
      <c r="AA59" s="2"/>
    </row>
    <row r="60" spans="4:27" ht="21" thickTop="1" thickBot="1" x14ac:dyDescent="0.45">
      <c r="D60" s="2"/>
      <c r="E60" s="2"/>
      <c r="F60" s="2"/>
      <c r="G60" s="2"/>
      <c r="H60" s="2"/>
      <c r="I60" s="2"/>
      <c r="J60" s="2"/>
      <c r="K60" s="10">
        <v>1.25</v>
      </c>
      <c r="L60" s="10">
        <v>1.8</v>
      </c>
      <c r="M60" s="12" t="s">
        <v>129</v>
      </c>
      <c r="N60" s="26">
        <f>((O60/100)-(Y60/100))/((O60/100)-(O60/100)*(Y60/100))*100</f>
        <v>96.166062000057735</v>
      </c>
      <c r="O60" s="11">
        <v>34.39</v>
      </c>
      <c r="P60" s="27">
        <f>4.071*(N57-L60)-7.6024*K57-6.718*L57-1.4297*M57</f>
        <v>45.596139778687601</v>
      </c>
      <c r="Q60" s="27">
        <f>8.6024*K57+5.0683*L57+1.0785*M57-3.071*(N57-L60)</f>
        <v>29.689150042040694</v>
      </c>
      <c r="R60" s="27">
        <f>2.65*L57-1.692*M57</f>
        <v>9.2563800131056464</v>
      </c>
      <c r="S60" s="27">
        <f>3.0432*M57</f>
        <v>10.432176245320349</v>
      </c>
      <c r="T60" s="26">
        <f>R57/(Q57+0.5*P57)</f>
        <v>0.56896196491363871</v>
      </c>
      <c r="U60" s="26">
        <f>P57+(0.658*Q57)</f>
        <v>0.72225954057691188</v>
      </c>
      <c r="V60" s="26">
        <f>3*L57+2.25*M57+O57+P57+Q57+R57</f>
        <v>28.57470131705487</v>
      </c>
      <c r="W60" s="26">
        <f>R60+S60+(Q60*0.2)+(2*M57)</f>
        <v>32.482443210393775</v>
      </c>
      <c r="X60" s="11">
        <v>1</v>
      </c>
      <c r="Y60" s="10">
        <v>1.97</v>
      </c>
      <c r="Z60" s="2"/>
      <c r="AA60" s="2"/>
    </row>
    <row r="61" spans="4:27" ht="20.25" thickTop="1" x14ac:dyDescent="0.4">
      <c r="D61" s="2"/>
      <c r="E61" s="2"/>
      <c r="F61" s="2"/>
      <c r="G61" s="2"/>
      <c r="H61" s="37"/>
      <c r="I61" s="37"/>
      <c r="J61" s="37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4:27" x14ac:dyDescent="0.4">
      <c r="D62" s="2"/>
      <c r="E62" s="2"/>
      <c r="F62" s="2"/>
      <c r="G62" s="2"/>
      <c r="H62" s="37"/>
      <c r="I62" s="37"/>
      <c r="J62" s="37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4:27" x14ac:dyDescent="0.4">
      <c r="D63" s="2"/>
      <c r="E63" s="2"/>
      <c r="F63" s="2"/>
      <c r="G63" s="2"/>
      <c r="H63" s="37"/>
      <c r="I63" s="37"/>
      <c r="J63" s="37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4:27" x14ac:dyDescent="0.4">
      <c r="D64" s="2"/>
      <c r="E64" s="2"/>
      <c r="F64" s="2"/>
      <c r="G64" s="2"/>
      <c r="H64" s="37"/>
      <c r="I64" s="37"/>
      <c r="J64" s="3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</sheetData>
  <mergeCells count="104">
    <mergeCell ref="E4:Y5"/>
    <mergeCell ref="L34:M35"/>
    <mergeCell ref="P34:Q35"/>
    <mergeCell ref="E6:F9"/>
    <mergeCell ref="G6:G9"/>
    <mergeCell ref="H6:J7"/>
    <mergeCell ref="T6:T9"/>
    <mergeCell ref="U6:U9"/>
    <mergeCell ref="H8:H9"/>
    <mergeCell ref="I8:I9"/>
    <mergeCell ref="F17:G17"/>
    <mergeCell ref="E10:F10"/>
    <mergeCell ref="E11:F11"/>
    <mergeCell ref="E12:F12"/>
    <mergeCell ref="E13:F13"/>
    <mergeCell ref="E14:F14"/>
    <mergeCell ref="K15:Y15"/>
    <mergeCell ref="F16:H16"/>
    <mergeCell ref="J8:J9"/>
    <mergeCell ref="K6:S7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V6:Y7"/>
    <mergeCell ref="V8:V9"/>
    <mergeCell ref="W8:W9"/>
    <mergeCell ref="X8:X9"/>
    <mergeCell ref="Y8:Y9"/>
    <mergeCell ref="F18:G18"/>
    <mergeCell ref="K18:Y18"/>
    <mergeCell ref="K20:Y20"/>
    <mergeCell ref="T21:U21"/>
    <mergeCell ref="T22:U22"/>
    <mergeCell ref="K23:K24"/>
    <mergeCell ref="L23:L24"/>
    <mergeCell ref="M23:M24"/>
    <mergeCell ref="N23:N24"/>
    <mergeCell ref="O23:O24"/>
    <mergeCell ref="F19:G19"/>
    <mergeCell ref="F20:G20"/>
    <mergeCell ref="P23:S23"/>
    <mergeCell ref="T23:T24"/>
    <mergeCell ref="U23:U24"/>
    <mergeCell ref="V23:V24"/>
    <mergeCell ref="W23:W24"/>
    <mergeCell ref="X23:Y23"/>
    <mergeCell ref="E40:Y40"/>
    <mergeCell ref="E41:F44"/>
    <mergeCell ref="G41:G44"/>
    <mergeCell ref="H41:J42"/>
    <mergeCell ref="K41:S41"/>
    <mergeCell ref="T41:T44"/>
    <mergeCell ref="U41:U44"/>
    <mergeCell ref="V41:Y41"/>
    <mergeCell ref="K42:K44"/>
    <mergeCell ref="L42:L44"/>
    <mergeCell ref="M42:M44"/>
    <mergeCell ref="N42:N44"/>
    <mergeCell ref="O42:O44"/>
    <mergeCell ref="P42:P44"/>
    <mergeCell ref="E46:F46"/>
    <mergeCell ref="E47:F47"/>
    <mergeCell ref="E48:F48"/>
    <mergeCell ref="E49:F49"/>
    <mergeCell ref="X42:X44"/>
    <mergeCell ref="Y42:Y44"/>
    <mergeCell ref="H43:H44"/>
    <mergeCell ref="I43:I44"/>
    <mergeCell ref="J43:J44"/>
    <mergeCell ref="Q42:Q44"/>
    <mergeCell ref="R42:R44"/>
    <mergeCell ref="S42:S44"/>
    <mergeCell ref="V42:V44"/>
    <mergeCell ref="W42:W44"/>
    <mergeCell ref="E34:E35"/>
    <mergeCell ref="F34:G35"/>
    <mergeCell ref="F55:G55"/>
    <mergeCell ref="K55:Y55"/>
    <mergeCell ref="T56:U56"/>
    <mergeCell ref="T57:U57"/>
    <mergeCell ref="K58:K59"/>
    <mergeCell ref="L58:L59"/>
    <mergeCell ref="M58:M59"/>
    <mergeCell ref="N58:N59"/>
    <mergeCell ref="O58:O59"/>
    <mergeCell ref="P58:S58"/>
    <mergeCell ref="T58:T59"/>
    <mergeCell ref="U58:U59"/>
    <mergeCell ref="V58:V59"/>
    <mergeCell ref="W58:W59"/>
    <mergeCell ref="X58:Y58"/>
    <mergeCell ref="F51:H51"/>
    <mergeCell ref="F52:G52"/>
    <mergeCell ref="F53:G53"/>
    <mergeCell ref="K53:Y53"/>
    <mergeCell ref="F54:G54"/>
    <mergeCell ref="K50:Y50"/>
    <mergeCell ref="E45:F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AG46"/>
  <sheetViews>
    <sheetView topLeftCell="A8" zoomScale="55" zoomScaleNormal="55" workbookViewId="0">
      <selection activeCell="P34" sqref="P34"/>
    </sheetView>
  </sheetViews>
  <sheetFormatPr defaultRowHeight="19.5" x14ac:dyDescent="0.4"/>
  <cols>
    <col min="1" max="3" width="9.140625" style="36"/>
    <col min="4" max="4" width="9.7109375" style="36" bestFit="1" customWidth="1"/>
    <col min="5" max="5" width="24.7109375" style="36" customWidth="1"/>
    <col min="6" max="6" width="21.140625" style="36" bestFit="1" customWidth="1"/>
    <col min="7" max="7" width="20.42578125" style="36" customWidth="1"/>
    <col min="8" max="8" width="16.7109375" style="36" bestFit="1" customWidth="1"/>
    <col min="9" max="9" width="17.28515625" style="36" bestFit="1" customWidth="1"/>
    <col min="10" max="10" width="17" style="36" customWidth="1"/>
    <col min="11" max="11" width="9.140625" style="36"/>
    <col min="12" max="12" width="16.85546875" style="36" customWidth="1"/>
    <col min="13" max="13" width="12.42578125" style="36" customWidth="1"/>
    <col min="14" max="16" width="9.140625" style="36"/>
    <col min="17" max="17" width="9.140625" style="36" customWidth="1"/>
    <col min="18" max="19" width="9.140625" style="36"/>
    <col min="20" max="31" width="19.85546875" style="36" customWidth="1"/>
    <col min="32" max="16384" width="9.140625" style="36"/>
  </cols>
  <sheetData>
    <row r="3" spans="4:31" x14ac:dyDescent="0.4">
      <c r="D3" s="83"/>
      <c r="E3" s="719" t="s">
        <v>133</v>
      </c>
      <c r="F3" s="719"/>
      <c r="G3" s="719"/>
      <c r="H3" s="719"/>
      <c r="I3" s="719"/>
      <c r="J3" s="719"/>
      <c r="K3" s="83"/>
      <c r="L3" s="83"/>
      <c r="M3" s="83"/>
      <c r="N3" s="83"/>
      <c r="O3" s="83"/>
      <c r="P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</row>
    <row r="4" spans="4:31" ht="20.25" thickBot="1" x14ac:dyDescent="0.45"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345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</row>
    <row r="5" spans="4:31" ht="12.75" customHeight="1" thickTop="1" x14ac:dyDescent="0.4">
      <c r="D5" s="91"/>
      <c r="E5" s="755" t="s">
        <v>158</v>
      </c>
      <c r="F5" s="756"/>
      <c r="G5" s="756"/>
      <c r="H5" s="756"/>
      <c r="I5" s="756"/>
      <c r="J5" s="757"/>
      <c r="K5" s="355"/>
      <c r="L5" s="355"/>
      <c r="M5" s="355"/>
      <c r="N5" s="355"/>
      <c r="O5" s="355"/>
      <c r="P5" s="91"/>
      <c r="Q5" s="345"/>
      <c r="S5" s="91"/>
      <c r="T5" s="755" t="s">
        <v>158</v>
      </c>
      <c r="U5" s="756"/>
      <c r="V5" s="756"/>
      <c r="W5" s="756"/>
      <c r="X5" s="756"/>
      <c r="Y5" s="757"/>
      <c r="Z5" s="355"/>
      <c r="AA5" s="355"/>
      <c r="AB5" s="355"/>
      <c r="AC5" s="355"/>
      <c r="AD5" s="355"/>
      <c r="AE5" s="91"/>
    </row>
    <row r="6" spans="4:31" ht="12.75" customHeight="1" x14ac:dyDescent="0.4">
      <c r="D6" s="91"/>
      <c r="E6" s="758"/>
      <c r="F6" s="759"/>
      <c r="G6" s="759"/>
      <c r="H6" s="759"/>
      <c r="I6" s="759"/>
      <c r="J6" s="760"/>
      <c r="K6" s="355"/>
      <c r="L6" s="355"/>
      <c r="M6" s="355"/>
      <c r="N6" s="355"/>
      <c r="O6" s="355"/>
      <c r="P6" s="91"/>
      <c r="Q6" s="345"/>
      <c r="S6" s="91"/>
      <c r="T6" s="758"/>
      <c r="U6" s="759"/>
      <c r="V6" s="759"/>
      <c r="W6" s="759"/>
      <c r="X6" s="759"/>
      <c r="Y6" s="760"/>
      <c r="Z6" s="355"/>
      <c r="AA6" s="355"/>
      <c r="AB6" s="355"/>
      <c r="AC6" s="355"/>
      <c r="AD6" s="355"/>
      <c r="AE6" s="91"/>
    </row>
    <row r="7" spans="4:31" ht="12.75" customHeight="1" x14ac:dyDescent="0.4">
      <c r="D7" s="91"/>
      <c r="E7" s="758"/>
      <c r="F7" s="759"/>
      <c r="G7" s="759"/>
      <c r="H7" s="759"/>
      <c r="I7" s="759"/>
      <c r="J7" s="760"/>
      <c r="K7" s="355"/>
      <c r="L7" s="525"/>
      <c r="M7" s="525"/>
      <c r="N7" s="525"/>
      <c r="O7" s="525"/>
      <c r="P7" s="91"/>
      <c r="Q7" s="345"/>
      <c r="S7" s="91"/>
      <c r="T7" s="758"/>
      <c r="U7" s="759"/>
      <c r="V7" s="759"/>
      <c r="W7" s="759"/>
      <c r="X7" s="759"/>
      <c r="Y7" s="760"/>
      <c r="Z7" s="355"/>
      <c r="AA7" s="355"/>
      <c r="AB7" s="355"/>
      <c r="AC7" s="355"/>
      <c r="AD7" s="355"/>
      <c r="AE7" s="91"/>
    </row>
    <row r="8" spans="4:31" ht="16.5" customHeight="1" x14ac:dyDescent="0.4">
      <c r="D8" s="91"/>
      <c r="E8" s="758"/>
      <c r="F8" s="759"/>
      <c r="G8" s="759"/>
      <c r="H8" s="759"/>
      <c r="I8" s="759"/>
      <c r="J8" s="760"/>
      <c r="K8" s="356"/>
      <c r="L8" s="754" t="s">
        <v>194</v>
      </c>
      <c r="M8" s="754"/>
      <c r="N8" s="754"/>
      <c r="O8" s="754"/>
      <c r="P8" s="91"/>
      <c r="Q8" s="345"/>
      <c r="S8" s="91"/>
      <c r="T8" s="758"/>
      <c r="U8" s="759"/>
      <c r="V8" s="759"/>
      <c r="W8" s="759"/>
      <c r="X8" s="759"/>
      <c r="Y8" s="760"/>
      <c r="Z8" s="356"/>
      <c r="AA8" s="761"/>
      <c r="AB8" s="761"/>
      <c r="AC8" s="761"/>
      <c r="AD8" s="761"/>
      <c r="AE8" s="91"/>
    </row>
    <row r="9" spans="4:31" ht="21.95" customHeight="1" thickBot="1" x14ac:dyDescent="0.45">
      <c r="D9" s="91"/>
      <c r="E9" s="762" t="s">
        <v>174</v>
      </c>
      <c r="F9" s="764" t="s">
        <v>41</v>
      </c>
      <c r="G9" s="764"/>
      <c r="H9" s="765"/>
      <c r="I9" s="779">
        <v>90</v>
      </c>
      <c r="J9" s="780"/>
      <c r="K9" s="357"/>
      <c r="L9" s="526"/>
      <c r="M9" s="526"/>
      <c r="N9" s="526"/>
      <c r="O9" s="526"/>
      <c r="P9" s="91"/>
      <c r="Q9" s="345"/>
      <c r="S9" s="91"/>
      <c r="T9" s="762" t="s">
        <v>174</v>
      </c>
      <c r="U9" s="764" t="s">
        <v>41</v>
      </c>
      <c r="V9" s="764"/>
      <c r="W9" s="765"/>
      <c r="X9" s="766">
        <v>90</v>
      </c>
      <c r="Y9" s="767"/>
      <c r="Z9" s="357"/>
      <c r="AA9" s="357"/>
      <c r="AB9" s="357"/>
      <c r="AC9" s="357"/>
      <c r="AD9" s="357"/>
      <c r="AE9" s="91"/>
    </row>
    <row r="10" spans="4:31" ht="21.95" customHeight="1" thickTop="1" thickBot="1" x14ac:dyDescent="0.45">
      <c r="D10" s="91"/>
      <c r="E10" s="763"/>
      <c r="F10" s="768" t="s">
        <v>42</v>
      </c>
      <c r="G10" s="768"/>
      <c r="H10" s="769"/>
      <c r="I10" s="781">
        <v>1.5</v>
      </c>
      <c r="J10" s="782"/>
      <c r="K10" s="358"/>
      <c r="L10" s="527"/>
      <c r="M10" s="440"/>
      <c r="N10" s="440"/>
      <c r="O10" s="440"/>
      <c r="P10" s="91"/>
      <c r="Q10" s="345"/>
      <c r="S10" s="91"/>
      <c r="T10" s="763"/>
      <c r="U10" s="768" t="s">
        <v>42</v>
      </c>
      <c r="V10" s="768"/>
      <c r="W10" s="769"/>
      <c r="X10" s="770">
        <v>1.5</v>
      </c>
      <c r="Y10" s="771"/>
      <c r="Z10" s="358"/>
      <c r="AA10" s="359"/>
      <c r="AB10" s="91"/>
      <c r="AC10" s="91"/>
      <c r="AD10" s="91"/>
      <c r="AE10" s="91"/>
    </row>
    <row r="11" spans="4:31" ht="20.100000000000001" customHeight="1" thickTop="1" thickBot="1" x14ac:dyDescent="0.45">
      <c r="D11" s="91"/>
      <c r="E11" s="772" t="s">
        <v>2</v>
      </c>
      <c r="F11" s="406" t="s">
        <v>11</v>
      </c>
      <c r="G11" s="407" t="s">
        <v>26</v>
      </c>
      <c r="H11" s="408" t="s">
        <v>27</v>
      </c>
      <c r="I11" s="774" t="s">
        <v>0</v>
      </c>
      <c r="J11" s="775"/>
      <c r="K11" s="91"/>
      <c r="L11" s="776" t="s">
        <v>12</v>
      </c>
      <c r="M11" s="776"/>
      <c r="N11" s="776"/>
      <c r="O11" s="776"/>
      <c r="P11" s="91"/>
      <c r="Q11" s="345"/>
      <c r="S11" s="91"/>
      <c r="T11" s="772" t="s">
        <v>2</v>
      </c>
      <c r="U11" s="406" t="s">
        <v>11</v>
      </c>
      <c r="V11" s="407" t="s">
        <v>26</v>
      </c>
      <c r="W11" s="408" t="s">
        <v>27</v>
      </c>
      <c r="X11" s="774" t="s">
        <v>0</v>
      </c>
      <c r="Y11" s="775"/>
      <c r="Z11" s="91"/>
      <c r="AA11" s="776" t="s">
        <v>12</v>
      </c>
      <c r="AB11" s="776"/>
      <c r="AC11" s="776"/>
      <c r="AD11" s="776"/>
      <c r="AE11" s="91"/>
    </row>
    <row r="12" spans="4:31" ht="20.100000000000001" customHeight="1" thickTop="1" thickBot="1" x14ac:dyDescent="0.45">
      <c r="D12" s="91"/>
      <c r="E12" s="773"/>
      <c r="F12" s="409">
        <v>82.75</v>
      </c>
      <c r="G12" s="410">
        <v>17.170000000000002</v>
      </c>
      <c r="H12" s="1253">
        <v>0.08</v>
      </c>
      <c r="I12" s="826">
        <f>SUM(F12:H12)</f>
        <v>100</v>
      </c>
      <c r="J12" s="827"/>
      <c r="K12" s="91"/>
      <c r="L12" s="438" t="s">
        <v>13</v>
      </c>
      <c r="M12" s="734">
        <v>1</v>
      </c>
      <c r="N12" s="734"/>
      <c r="O12" s="734"/>
      <c r="P12" s="91"/>
      <c r="Q12" s="345"/>
      <c r="S12" s="91"/>
      <c r="T12" s="773"/>
      <c r="U12" s="423">
        <v>82.75</v>
      </c>
      <c r="V12" s="424">
        <v>17.170000000000002</v>
      </c>
      <c r="W12" s="425">
        <v>0.08</v>
      </c>
      <c r="X12" s="777">
        <f>SUM(U12:W12)</f>
        <v>100</v>
      </c>
      <c r="Y12" s="778"/>
      <c r="Z12" s="91"/>
      <c r="AA12" s="438" t="s">
        <v>13</v>
      </c>
      <c r="AB12" s="734">
        <v>1</v>
      </c>
      <c r="AC12" s="734"/>
      <c r="AD12" s="734"/>
      <c r="AE12" s="91"/>
    </row>
    <row r="13" spans="4:31" ht="20.100000000000001" customHeight="1" thickTop="1" thickBot="1" x14ac:dyDescent="0.45">
      <c r="D13" s="91"/>
      <c r="E13" s="362" t="s">
        <v>1</v>
      </c>
      <c r="F13" s="370">
        <v>3.24</v>
      </c>
      <c r="G13" s="371">
        <v>74.98</v>
      </c>
      <c r="H13" s="372">
        <v>9.16</v>
      </c>
      <c r="I13" s="824">
        <f>(F12*F13+G12*G13+H12*H13)/I12</f>
        <v>15.562494000000004</v>
      </c>
      <c r="J13" s="825"/>
      <c r="K13" s="91"/>
      <c r="L13" s="438" t="s">
        <v>14</v>
      </c>
      <c r="M13" s="734">
        <v>1</v>
      </c>
      <c r="N13" s="734"/>
      <c r="O13" s="734"/>
      <c r="P13" s="91"/>
      <c r="Q13" s="345"/>
      <c r="S13" s="91"/>
      <c r="T13" s="362" t="s">
        <v>1</v>
      </c>
      <c r="U13" s="426">
        <v>3.24</v>
      </c>
      <c r="V13" s="427">
        <v>74.98</v>
      </c>
      <c r="W13" s="428">
        <v>9.16</v>
      </c>
      <c r="X13" s="750">
        <f>(U12*U13+V12*V13+W12*W13)/X12</f>
        <v>15.562494000000004</v>
      </c>
      <c r="Y13" s="751"/>
      <c r="Z13" s="91"/>
      <c r="AA13" s="438" t="s">
        <v>14</v>
      </c>
      <c r="AB13" s="734">
        <v>1</v>
      </c>
      <c r="AC13" s="734"/>
      <c r="AD13" s="734"/>
      <c r="AE13" s="91"/>
    </row>
    <row r="14" spans="4:31" ht="20.100000000000001" customHeight="1" thickTop="1" thickBot="1" x14ac:dyDescent="0.45">
      <c r="D14" s="91"/>
      <c r="E14" s="362" t="s">
        <v>3</v>
      </c>
      <c r="F14" s="370">
        <v>0.79</v>
      </c>
      <c r="G14" s="371">
        <v>8.8000000000000007</v>
      </c>
      <c r="H14" s="372">
        <v>2</v>
      </c>
      <c r="I14" s="824">
        <f>(F12*F14+G12*G14+H12*H14)/I12</f>
        <v>2.1662850000000002</v>
      </c>
      <c r="J14" s="825"/>
      <c r="K14" s="91"/>
      <c r="L14" s="438" t="s">
        <v>15</v>
      </c>
      <c r="M14" s="734">
        <v>1</v>
      </c>
      <c r="N14" s="734"/>
      <c r="O14" s="734"/>
      <c r="P14" s="91"/>
      <c r="Q14" s="345"/>
      <c r="S14" s="91"/>
      <c r="T14" s="362" t="s">
        <v>3</v>
      </c>
      <c r="U14" s="426">
        <v>0.79</v>
      </c>
      <c r="V14" s="427">
        <v>8.8000000000000007</v>
      </c>
      <c r="W14" s="428">
        <v>2</v>
      </c>
      <c r="X14" s="750">
        <f>(U12*U14+V12*V14+W12*W14)/X12</f>
        <v>2.1662850000000002</v>
      </c>
      <c r="Y14" s="751"/>
      <c r="Z14" s="91"/>
      <c r="AA14" s="438" t="s">
        <v>15</v>
      </c>
      <c r="AB14" s="734">
        <v>1</v>
      </c>
      <c r="AC14" s="734"/>
      <c r="AD14" s="734"/>
      <c r="AE14" s="91"/>
    </row>
    <row r="15" spans="4:31" ht="20.100000000000001" customHeight="1" thickTop="1" thickBot="1" x14ac:dyDescent="0.45">
      <c r="D15" s="91"/>
      <c r="E15" s="362" t="s">
        <v>4</v>
      </c>
      <c r="F15" s="370">
        <v>0.38</v>
      </c>
      <c r="G15" s="371">
        <v>6.2</v>
      </c>
      <c r="H15" s="372">
        <v>83.04</v>
      </c>
      <c r="I15" s="824">
        <f>(F12*F15+G12*G15+H12*H15)/I12</f>
        <v>1.445422</v>
      </c>
      <c r="J15" s="825"/>
      <c r="K15" s="91"/>
      <c r="L15" s="438" t="s">
        <v>16</v>
      </c>
      <c r="M15" s="734">
        <v>100</v>
      </c>
      <c r="N15" s="734"/>
      <c r="O15" s="734"/>
      <c r="P15" s="91"/>
      <c r="Q15" s="345"/>
      <c r="S15" s="91"/>
      <c r="T15" s="362" t="s">
        <v>4</v>
      </c>
      <c r="U15" s="426">
        <v>0.38</v>
      </c>
      <c r="V15" s="427">
        <v>6.2</v>
      </c>
      <c r="W15" s="428">
        <v>83.04</v>
      </c>
      <c r="X15" s="750">
        <f>(U12*U15+V12*V15+W12*W15)/X12</f>
        <v>1.445422</v>
      </c>
      <c r="Y15" s="751"/>
      <c r="Z15" s="91"/>
      <c r="AA15" s="438" t="s">
        <v>16</v>
      </c>
      <c r="AB15" s="734">
        <v>100</v>
      </c>
      <c r="AC15" s="734"/>
      <c r="AD15" s="734"/>
      <c r="AE15" s="91"/>
    </row>
    <row r="16" spans="4:31" ht="20.100000000000001" customHeight="1" thickTop="1" thickBot="1" x14ac:dyDescent="0.45">
      <c r="D16" s="91"/>
      <c r="E16" s="362" t="s">
        <v>5</v>
      </c>
      <c r="F16" s="402">
        <v>51</v>
      </c>
      <c r="G16" s="403">
        <v>0.98</v>
      </c>
      <c r="H16" s="404">
        <v>0.06</v>
      </c>
      <c r="I16" s="824">
        <f>(F12*F16+G12*G16+H12*H16)/I12</f>
        <v>42.370814000000003</v>
      </c>
      <c r="J16" s="825"/>
      <c r="K16" s="91"/>
      <c r="L16" s="438" t="s">
        <v>17</v>
      </c>
      <c r="M16" s="734">
        <f>(I10*F15)-F14</f>
        <v>-0.21999999999999997</v>
      </c>
      <c r="N16" s="734"/>
      <c r="O16" s="734"/>
      <c r="P16" s="91"/>
      <c r="Q16" s="345"/>
      <c r="S16" s="91"/>
      <c r="T16" s="362" t="s">
        <v>5</v>
      </c>
      <c r="U16" s="429">
        <v>51</v>
      </c>
      <c r="V16" s="430">
        <v>0.98</v>
      </c>
      <c r="W16" s="431">
        <v>0.06</v>
      </c>
      <c r="X16" s="750">
        <f>(U12*U16+V12*V16+W12*W16)/X12</f>
        <v>42.370814000000003</v>
      </c>
      <c r="Y16" s="751"/>
      <c r="Z16" s="91"/>
      <c r="AA16" s="438" t="s">
        <v>17</v>
      </c>
      <c r="AB16" s="734">
        <f>(X10*U15)-U14</f>
        <v>-0.21999999999999997</v>
      </c>
      <c r="AC16" s="734"/>
      <c r="AD16" s="734"/>
      <c r="AE16" s="91"/>
    </row>
    <row r="17" spans="4:31" ht="20.100000000000001" customHeight="1" thickTop="1" thickBot="1" x14ac:dyDescent="0.45">
      <c r="D17" s="91"/>
      <c r="E17" s="362" t="s">
        <v>6</v>
      </c>
      <c r="F17" s="399">
        <v>1.24</v>
      </c>
      <c r="G17" s="400">
        <v>0.24</v>
      </c>
      <c r="H17" s="401">
        <v>0.41</v>
      </c>
      <c r="I17" s="830">
        <f>(F12*F17+G12*G17+H12*H17)/I12</f>
        <v>1.067636</v>
      </c>
      <c r="J17" s="831"/>
      <c r="K17" s="91"/>
      <c r="L17" s="438" t="s">
        <v>18</v>
      </c>
      <c r="M17" s="734">
        <f>(I10*G15)-G14</f>
        <v>0.5</v>
      </c>
      <c r="N17" s="734"/>
      <c r="O17" s="734"/>
      <c r="P17" s="91"/>
      <c r="Q17" s="345"/>
      <c r="S17" s="91"/>
      <c r="T17" s="362" t="s">
        <v>6</v>
      </c>
      <c r="U17" s="432">
        <v>1.24</v>
      </c>
      <c r="V17" s="433">
        <v>0.24</v>
      </c>
      <c r="W17" s="434">
        <v>0.41</v>
      </c>
      <c r="X17" s="752">
        <f>(U12*U17+V12*V17+W12*W17)/X12</f>
        <v>1.067636</v>
      </c>
      <c r="Y17" s="753"/>
      <c r="Z17" s="91"/>
      <c r="AA17" s="438" t="s">
        <v>18</v>
      </c>
      <c r="AB17" s="734">
        <f>(X10*V15)-V14</f>
        <v>0.5</v>
      </c>
      <c r="AC17" s="734"/>
      <c r="AD17" s="734"/>
      <c r="AE17" s="91"/>
    </row>
    <row r="18" spans="4:31" ht="20.100000000000001" customHeight="1" thickTop="1" thickBot="1" x14ac:dyDescent="0.45">
      <c r="D18" s="91"/>
      <c r="E18" s="362" t="s">
        <v>8</v>
      </c>
      <c r="F18" s="399">
        <v>0.5</v>
      </c>
      <c r="G18" s="400">
        <v>0.3</v>
      </c>
      <c r="H18" s="401">
        <v>0.2</v>
      </c>
      <c r="I18" s="820">
        <f>(F12*F18+G12*G18+H12*H18)/I12</f>
        <v>0.46542</v>
      </c>
      <c r="J18" s="821"/>
      <c r="K18" s="91"/>
      <c r="L18" s="438" t="s">
        <v>19</v>
      </c>
      <c r="M18" s="734">
        <f>(I10*H15)-H14</f>
        <v>122.56</v>
      </c>
      <c r="N18" s="734"/>
      <c r="O18" s="734"/>
      <c r="P18" s="91"/>
      <c r="Q18" s="345"/>
      <c r="S18" s="91"/>
      <c r="T18" s="362" t="s">
        <v>8</v>
      </c>
      <c r="U18" s="432">
        <v>0.5</v>
      </c>
      <c r="V18" s="433">
        <v>0.3</v>
      </c>
      <c r="W18" s="434">
        <v>0.2</v>
      </c>
      <c r="X18" s="747">
        <f>(U12*U18+V12*V18+W12*W18)/X12</f>
        <v>0.46542</v>
      </c>
      <c r="Y18" s="733"/>
      <c r="Z18" s="91"/>
      <c r="AA18" s="438" t="s">
        <v>19</v>
      </c>
      <c r="AB18" s="734">
        <f>(X10*W15)-W14</f>
        <v>122.56</v>
      </c>
      <c r="AC18" s="734"/>
      <c r="AD18" s="734"/>
      <c r="AE18" s="91"/>
    </row>
    <row r="19" spans="4:31" ht="20.100000000000001" customHeight="1" thickTop="1" thickBot="1" x14ac:dyDescent="0.45">
      <c r="D19" s="91"/>
      <c r="E19" s="362" t="s">
        <v>7</v>
      </c>
      <c r="F19" s="399">
        <v>0.2</v>
      </c>
      <c r="G19" s="400">
        <v>0.2</v>
      </c>
      <c r="H19" s="401">
        <v>0.1</v>
      </c>
      <c r="I19" s="820">
        <f>(F12*F19+G12*G19+H12*H19)/I12</f>
        <v>0.19992000000000001</v>
      </c>
      <c r="J19" s="821"/>
      <c r="K19" s="91"/>
      <c r="L19" s="438" t="s">
        <v>20</v>
      </c>
      <c r="M19" s="734">
        <v>0</v>
      </c>
      <c r="N19" s="734"/>
      <c r="O19" s="734"/>
      <c r="P19" s="91"/>
      <c r="Q19" s="345"/>
      <c r="S19" s="91"/>
      <c r="T19" s="362" t="s">
        <v>7</v>
      </c>
      <c r="U19" s="432">
        <v>0.2</v>
      </c>
      <c r="V19" s="433">
        <v>0.2</v>
      </c>
      <c r="W19" s="434">
        <v>0.1</v>
      </c>
      <c r="X19" s="747">
        <f>(U12*U19+V12*V19+W12*W19)/X12</f>
        <v>0.19992000000000001</v>
      </c>
      <c r="Y19" s="733"/>
      <c r="Z19" s="91"/>
      <c r="AA19" s="438" t="s">
        <v>20</v>
      </c>
      <c r="AB19" s="734">
        <v>0</v>
      </c>
      <c r="AC19" s="734"/>
      <c r="AD19" s="734"/>
      <c r="AE19" s="91"/>
    </row>
    <row r="20" spans="4:31" ht="20.100000000000001" customHeight="1" thickTop="1" thickBot="1" x14ac:dyDescent="0.45">
      <c r="D20" s="91"/>
      <c r="E20" s="362" t="s">
        <v>9</v>
      </c>
      <c r="F20" s="399">
        <v>0.1</v>
      </c>
      <c r="G20" s="400">
        <v>0.2</v>
      </c>
      <c r="H20" s="401">
        <v>7.0000000000000007E-2</v>
      </c>
      <c r="I20" s="828">
        <f>(F12*F20+G12*G20+H12*H20)/I12</f>
        <v>0.11714600000000001</v>
      </c>
      <c r="J20" s="829"/>
      <c r="K20" s="91"/>
      <c r="L20" s="438" t="s">
        <v>21</v>
      </c>
      <c r="M20" s="734">
        <f>I9*(2.8*F13+1.18*F14+0.65*F15)-100*F16</f>
        <v>-4177.3919999999998</v>
      </c>
      <c r="N20" s="734"/>
      <c r="O20" s="734"/>
      <c r="P20" s="91"/>
      <c r="Q20" s="345"/>
      <c r="S20" s="91"/>
      <c r="T20" s="362" t="s">
        <v>9</v>
      </c>
      <c r="U20" s="432">
        <v>0.1</v>
      </c>
      <c r="V20" s="433">
        <v>0.2</v>
      </c>
      <c r="W20" s="434">
        <v>7.0000000000000007E-2</v>
      </c>
      <c r="X20" s="748">
        <f>(U12*U20+V12*V20+W12*W20)/X12</f>
        <v>0.11714600000000001</v>
      </c>
      <c r="Y20" s="749"/>
      <c r="Z20" s="91"/>
      <c r="AA20" s="438" t="s">
        <v>21</v>
      </c>
      <c r="AB20" s="734">
        <f>X9*(2.8*U13+1.18*U14+0.65*U15)-100*U16</f>
        <v>-4177.3919999999998</v>
      </c>
      <c r="AC20" s="734"/>
      <c r="AD20" s="734"/>
      <c r="AE20" s="91"/>
    </row>
    <row r="21" spans="4:31" ht="20.100000000000001" customHeight="1" thickTop="1" thickBot="1" x14ac:dyDescent="0.45">
      <c r="D21" s="91"/>
      <c r="E21" s="362" t="s">
        <v>40</v>
      </c>
      <c r="F21" s="399">
        <v>0.1</v>
      </c>
      <c r="G21" s="400">
        <v>0.2</v>
      </c>
      <c r="H21" s="401">
        <v>7.0000000000000007E-2</v>
      </c>
      <c r="I21" s="820">
        <f>(F12*F21+G12*G21+H12*H21)/I12</f>
        <v>0.11714600000000001</v>
      </c>
      <c r="J21" s="821"/>
      <c r="K21" s="91"/>
      <c r="L21" s="438" t="s">
        <v>22</v>
      </c>
      <c r="M21" s="734">
        <f>I9*(2.8*G13+1.18*G14+0.65*G15)-100*G16</f>
        <v>20094.219999999998</v>
      </c>
      <c r="N21" s="734"/>
      <c r="O21" s="734"/>
      <c r="P21" s="91"/>
      <c r="Q21" s="345"/>
      <c r="S21" s="91"/>
      <c r="T21" s="362" t="s">
        <v>40</v>
      </c>
      <c r="U21" s="432">
        <v>0.1</v>
      </c>
      <c r="V21" s="433">
        <v>0.2</v>
      </c>
      <c r="W21" s="434">
        <v>7.0000000000000007E-2</v>
      </c>
      <c r="X21" s="747">
        <f>(U12*U21+V12*V21+W12*W21)/X12</f>
        <v>0.11714600000000001</v>
      </c>
      <c r="Y21" s="733"/>
      <c r="Z21" s="91"/>
      <c r="AA21" s="438" t="s">
        <v>22</v>
      </c>
      <c r="AB21" s="734">
        <f>X9*(2.8*V13+1.18*V14+0.65*V15)-100*V16</f>
        <v>20094.219999999998</v>
      </c>
      <c r="AC21" s="734"/>
      <c r="AD21" s="734"/>
      <c r="AE21" s="91"/>
    </row>
    <row r="22" spans="4:31" ht="20.100000000000001" customHeight="1" thickTop="1" thickBot="1" x14ac:dyDescent="0.45">
      <c r="D22" s="91"/>
      <c r="E22" s="362" t="s">
        <v>39</v>
      </c>
      <c r="F22" s="399">
        <v>42.48</v>
      </c>
      <c r="G22" s="400">
        <v>8</v>
      </c>
      <c r="H22" s="401">
        <v>4.6500000000000004</v>
      </c>
      <c r="I22" s="820">
        <f>(F12*F22+G12*G22+H12*H22)/I12</f>
        <v>36.529519999999998</v>
      </c>
      <c r="J22" s="821"/>
      <c r="K22" s="91"/>
      <c r="L22" s="438" t="s">
        <v>23</v>
      </c>
      <c r="M22" s="734">
        <f>I9*(2.8*H13+1.18*H14+0.65*H15)-100*H16</f>
        <v>7372.56</v>
      </c>
      <c r="N22" s="734"/>
      <c r="O22" s="734"/>
      <c r="P22" s="91"/>
      <c r="Q22" s="345"/>
      <c r="S22" s="91"/>
      <c r="T22" s="362" t="s">
        <v>39</v>
      </c>
      <c r="U22" s="432">
        <v>42.48</v>
      </c>
      <c r="V22" s="433">
        <v>8</v>
      </c>
      <c r="W22" s="434">
        <v>4.6500000000000004</v>
      </c>
      <c r="X22" s="747">
        <f>(U12*U22+V12*V22+W12*W22)/X12</f>
        <v>36.529519999999998</v>
      </c>
      <c r="Y22" s="733"/>
      <c r="Z22" s="91"/>
      <c r="AA22" s="438" t="s">
        <v>23</v>
      </c>
      <c r="AB22" s="734">
        <f>X9*(2.8*W13+1.18*W14+0.65*W15)-100*W16</f>
        <v>7372.56</v>
      </c>
      <c r="AC22" s="734"/>
      <c r="AD22" s="734"/>
      <c r="AE22" s="91"/>
    </row>
    <row r="23" spans="4:31" ht="20.100000000000001" customHeight="1" thickTop="1" thickBot="1" x14ac:dyDescent="0.45">
      <c r="D23" s="91"/>
      <c r="E23" s="363" t="s">
        <v>10</v>
      </c>
      <c r="F23" s="364">
        <f>SUM(F13:F22)</f>
        <v>100.03</v>
      </c>
      <c r="G23" s="364">
        <f>SUM(G13:G22)</f>
        <v>100.10000000000001</v>
      </c>
      <c r="H23" s="364">
        <f>SUM(H13:H22)</f>
        <v>99.759999999999991</v>
      </c>
      <c r="I23" s="822">
        <f>SUM(I13:I22)</f>
        <v>100.041803</v>
      </c>
      <c r="J23" s="823"/>
      <c r="K23" s="91"/>
      <c r="L23" s="438" t="s">
        <v>24</v>
      </c>
      <c r="M23" s="734">
        <v>0</v>
      </c>
      <c r="N23" s="734"/>
      <c r="O23" s="734"/>
      <c r="P23" s="91"/>
      <c r="Q23" s="345"/>
      <c r="S23" s="91"/>
      <c r="T23" s="363" t="s">
        <v>10</v>
      </c>
      <c r="U23" s="422">
        <f>SUM(U13:U22)</f>
        <v>100.03</v>
      </c>
      <c r="V23" s="422">
        <f>SUM(V13:V22)</f>
        <v>100.10000000000001</v>
      </c>
      <c r="W23" s="422">
        <f>SUM(W13:W22)</f>
        <v>99.759999999999991</v>
      </c>
      <c r="X23" s="732">
        <f>SUM(X13:X22)</f>
        <v>100.041803</v>
      </c>
      <c r="Y23" s="733"/>
      <c r="Z23" s="91"/>
      <c r="AA23" s="438" t="s">
        <v>24</v>
      </c>
      <c r="AB23" s="734">
        <v>0</v>
      </c>
      <c r="AC23" s="734"/>
      <c r="AD23" s="734"/>
      <c r="AE23" s="91"/>
    </row>
    <row r="24" spans="4:31" ht="20.100000000000001" customHeight="1" thickTop="1" thickBot="1" x14ac:dyDescent="0.45">
      <c r="D24" s="91"/>
      <c r="E24" s="381" t="s">
        <v>38</v>
      </c>
      <c r="F24" s="361">
        <f>100*F16/(2.8*F13+1.18*F14+0.65*F15)</f>
        <v>497.50273138754494</v>
      </c>
      <c r="G24" s="361">
        <f>100*G16/(2.8*G13+1.18*G14+0.65*G15)</f>
        <v>0.43680189696823829</v>
      </c>
      <c r="H24" s="361">
        <f>100*H16/(2.8*H13+1.18*H14+0.65*H15)</f>
        <v>7.3185011709601872E-2</v>
      </c>
      <c r="I24" s="834">
        <f>100*I16/(2.8*I13+1.18*I14+0.65*I15)</f>
        <v>90.015216634506018</v>
      </c>
      <c r="J24" s="835"/>
      <c r="K24" s="91"/>
      <c r="L24" s="438" t="s">
        <v>25</v>
      </c>
      <c r="M24" s="734">
        <f>(M12*M17*M22)+(M13*M18*M20)+(M14*M16*M21)-(M14*M17*M20)-(M12*M18*M21)-(M13*M16*M22)</f>
        <v>-2971752.5559199997</v>
      </c>
      <c r="N24" s="734"/>
      <c r="O24" s="734"/>
      <c r="P24" s="91"/>
      <c r="Q24" s="345"/>
      <c r="S24" s="91"/>
      <c r="T24" s="381" t="s">
        <v>38</v>
      </c>
      <c r="U24" s="420">
        <f>100*U16/(2.8*U13+1.18*U14+0.65*U15)</f>
        <v>497.50273138754494</v>
      </c>
      <c r="V24" s="420">
        <f>100*V16/(2.8*V13+1.18*V14+0.65*V15)</f>
        <v>0.43680189696823829</v>
      </c>
      <c r="W24" s="420">
        <f>100*W16/(2.8*W13+1.18*W14+0.65*W15)</f>
        <v>7.3185011709601872E-2</v>
      </c>
      <c r="X24" s="735">
        <f>100*X16/(2.8*X13+1.18*X14+0.65*X15)</f>
        <v>90.015216634506018</v>
      </c>
      <c r="Y24" s="736"/>
      <c r="Z24" s="91"/>
      <c r="AA24" s="438" t="s">
        <v>25</v>
      </c>
      <c r="AB24" s="734">
        <f>(AB12*AB17*AB22)+(AB13*AB18*AB20)+(AB14*AB16*AB21)-(AB14*AB17*AB20)-(AB12*AB18*AB21)-(AB13*AB16*AB22)</f>
        <v>-2971752.5559199997</v>
      </c>
      <c r="AC24" s="734"/>
      <c r="AD24" s="734"/>
      <c r="AE24" s="91"/>
    </row>
    <row r="25" spans="4:31" ht="20.100000000000001" customHeight="1" thickTop="1" x14ac:dyDescent="0.4">
      <c r="D25" s="91"/>
      <c r="E25" s="363" t="s">
        <v>36</v>
      </c>
      <c r="F25" s="365">
        <f>F13/(F14+F15)</f>
        <v>2.7692307692307696</v>
      </c>
      <c r="G25" s="365">
        <f>G13/(G14+G15)</f>
        <v>4.9986666666666668</v>
      </c>
      <c r="H25" s="365">
        <f>H13/(H14+H15)</f>
        <v>0.1077140169332079</v>
      </c>
      <c r="I25" s="832">
        <f>I13/(I14+I15)</f>
        <v>4.30890268784262</v>
      </c>
      <c r="J25" s="833"/>
      <c r="K25" s="91"/>
      <c r="L25" s="439" t="s">
        <v>170</v>
      </c>
      <c r="M25" s="440"/>
      <c r="N25" s="440"/>
      <c r="O25" s="440"/>
      <c r="P25" s="91"/>
      <c r="Q25" s="345"/>
      <c r="S25" s="91"/>
      <c r="T25" s="363" t="s">
        <v>36</v>
      </c>
      <c r="U25" s="420">
        <f>U13/(U14+U15)</f>
        <v>2.7692307692307696</v>
      </c>
      <c r="V25" s="420">
        <f>V13/(V14+V15)</f>
        <v>4.9986666666666668</v>
      </c>
      <c r="W25" s="420">
        <f>W13/(W14+W15)</f>
        <v>0.1077140169332079</v>
      </c>
      <c r="X25" s="737">
        <f>X13/(X14+X15)</f>
        <v>4.30890268784262</v>
      </c>
      <c r="Y25" s="738"/>
      <c r="Z25" s="91"/>
      <c r="AA25" s="439" t="s">
        <v>170</v>
      </c>
      <c r="AB25" s="440"/>
      <c r="AC25" s="440"/>
      <c r="AD25" s="440"/>
      <c r="AE25" s="91"/>
    </row>
    <row r="26" spans="4:31" ht="20.100000000000001" customHeight="1" x14ac:dyDescent="0.4">
      <c r="D26" s="91"/>
      <c r="E26" s="381" t="s">
        <v>37</v>
      </c>
      <c r="F26" s="361">
        <f>F14/F15</f>
        <v>2.0789473684210527</v>
      </c>
      <c r="G26" s="361">
        <f>G14/G15</f>
        <v>1.4193548387096775</v>
      </c>
      <c r="H26" s="361">
        <f>H14/H15</f>
        <v>2.4084778420038533E-2</v>
      </c>
      <c r="I26" s="834">
        <f>I14/I15</f>
        <v>1.4987214806471745</v>
      </c>
      <c r="J26" s="835"/>
      <c r="K26" s="91"/>
      <c r="L26" s="441">
        <f>H28/(1-(J34/100))</f>
        <v>87.102999144795007</v>
      </c>
      <c r="M26" s="440"/>
      <c r="N26" s="440"/>
      <c r="O26" s="440"/>
      <c r="P26" s="91"/>
      <c r="Q26" s="345"/>
      <c r="S26" s="91"/>
      <c r="T26" s="381" t="s">
        <v>37</v>
      </c>
      <c r="U26" s="420">
        <f>U14/U15</f>
        <v>2.0789473684210527</v>
      </c>
      <c r="V26" s="420">
        <f>V14/V15</f>
        <v>1.4193548387096775</v>
      </c>
      <c r="W26" s="420">
        <f>W14/W15</f>
        <v>2.4084778420038533E-2</v>
      </c>
      <c r="X26" s="735">
        <f>X14/X15</f>
        <v>1.4987214806471745</v>
      </c>
      <c r="Y26" s="736"/>
      <c r="Z26" s="91"/>
      <c r="AA26" s="441">
        <f>W28/(1-(Y34/100))</f>
        <v>87.102999144795007</v>
      </c>
      <c r="AB26" s="440"/>
      <c r="AC26" s="440"/>
      <c r="AD26" s="440"/>
      <c r="AE26" s="91"/>
    </row>
    <row r="27" spans="4:31" ht="20.100000000000001" customHeight="1" x14ac:dyDescent="0.4">
      <c r="D27" s="91"/>
      <c r="E27" s="739" t="s">
        <v>192</v>
      </c>
      <c r="F27" s="740"/>
      <c r="G27" s="740"/>
      <c r="H27" s="740"/>
      <c r="I27" s="740"/>
      <c r="J27" s="741"/>
      <c r="K27" s="91"/>
      <c r="L27" s="441">
        <f>H29/(1-(J35/100))</f>
        <v>18.769046457954179</v>
      </c>
      <c r="M27" s="440"/>
      <c r="N27" s="440"/>
      <c r="O27" s="440"/>
      <c r="P27" s="91"/>
      <c r="Q27" s="345"/>
      <c r="S27" s="91"/>
      <c r="T27" s="739" t="s">
        <v>192</v>
      </c>
      <c r="U27" s="740"/>
      <c r="V27" s="740"/>
      <c r="W27" s="740"/>
      <c r="X27" s="740"/>
      <c r="Y27" s="741"/>
      <c r="Z27" s="91"/>
      <c r="AA27" s="441">
        <f>W29/(1-(Y35/100))</f>
        <v>18.769046457954179</v>
      </c>
      <c r="AB27" s="440"/>
      <c r="AC27" s="440"/>
      <c r="AD27" s="440"/>
      <c r="AE27" s="91"/>
    </row>
    <row r="28" spans="4:31" ht="20.100000000000001" customHeight="1" x14ac:dyDescent="0.4">
      <c r="D28" s="91"/>
      <c r="E28" s="742" t="str">
        <f>F11</f>
        <v>LIMESTONE</v>
      </c>
      <c r="F28" s="743"/>
      <c r="G28" s="743"/>
      <c r="H28" s="793">
        <f>(M15*M17*M22-M15*M18*M21)/M24</f>
        <v>82.747849187555246</v>
      </c>
      <c r="I28" s="794"/>
      <c r="J28" s="795"/>
      <c r="K28" s="91"/>
      <c r="L28" s="441">
        <f>H30/(1-(J36/100))</f>
        <v>8.5112042751286587E-2</v>
      </c>
      <c r="M28" s="440"/>
      <c r="N28" s="440"/>
      <c r="O28" s="440"/>
      <c r="P28" s="91"/>
      <c r="Q28" s="345"/>
      <c r="S28" s="91"/>
      <c r="T28" s="742" t="str">
        <f>U11</f>
        <v>LIMESTONE</v>
      </c>
      <c r="U28" s="743"/>
      <c r="V28" s="743"/>
      <c r="W28" s="744">
        <f>(AB15*AB17*AB22-AB15*AB18*AB21)/AB24</f>
        <v>82.747849187555246</v>
      </c>
      <c r="X28" s="745"/>
      <c r="Y28" s="746"/>
      <c r="Z28" s="91"/>
      <c r="AA28" s="441">
        <f>W30/(1-(Y36/100))</f>
        <v>8.5112042751286587E-2</v>
      </c>
      <c r="AB28" s="440"/>
      <c r="AC28" s="440"/>
      <c r="AD28" s="440"/>
      <c r="AE28" s="91"/>
    </row>
    <row r="29" spans="4:31" ht="20.100000000000001" customHeight="1" x14ac:dyDescent="0.4">
      <c r="D29" s="91"/>
      <c r="E29" s="796" t="str">
        <f>G11</f>
        <v>SHALE</v>
      </c>
      <c r="F29" s="797"/>
      <c r="G29" s="797"/>
      <c r="H29" s="800">
        <f>(M15*M18*M20-M15*M16*M22)/M24</f>
        <v>17.173677509028074</v>
      </c>
      <c r="I29" s="801"/>
      <c r="J29" s="802"/>
      <c r="K29" s="91"/>
      <c r="L29" s="442">
        <f>SUM(L26:L28)</f>
        <v>105.95715764550047</v>
      </c>
      <c r="M29" s="440"/>
      <c r="N29" s="440"/>
      <c r="O29" s="440"/>
      <c r="P29" s="91"/>
      <c r="Q29" s="345"/>
      <c r="S29" s="91"/>
      <c r="T29" s="796" t="str">
        <f>V11</f>
        <v>SHALE</v>
      </c>
      <c r="U29" s="797"/>
      <c r="V29" s="797"/>
      <c r="W29" s="744">
        <f>(AB15*AB18*AB20-AB15*AB16*AB22)/AB24</f>
        <v>17.173677509028074</v>
      </c>
      <c r="X29" s="745"/>
      <c r="Y29" s="746"/>
      <c r="Z29" s="91"/>
      <c r="AA29" s="442">
        <f>SUM(AA26:AA28)</f>
        <v>105.95715764550047</v>
      </c>
      <c r="AB29" s="440"/>
      <c r="AC29" s="440"/>
      <c r="AD29" s="440"/>
      <c r="AE29" s="91"/>
    </row>
    <row r="30" spans="4:31" ht="20.100000000000001" customHeight="1" thickBot="1" x14ac:dyDescent="0.45">
      <c r="D30" s="91"/>
      <c r="E30" s="798" t="str">
        <f>H11</f>
        <v>IRON ORE</v>
      </c>
      <c r="F30" s="799"/>
      <c r="G30" s="799"/>
      <c r="H30" s="803">
        <f>100-H29-H28</f>
        <v>7.8473303416686235E-2</v>
      </c>
      <c r="I30" s="804"/>
      <c r="J30" s="805"/>
      <c r="K30" s="91"/>
      <c r="L30" s="443">
        <f>H31/L29</f>
        <v>0.94377767601664775</v>
      </c>
      <c r="M30" s="440"/>
      <c r="N30" s="440"/>
      <c r="O30" s="440"/>
      <c r="P30" s="91"/>
      <c r="Q30" s="345"/>
      <c r="S30" s="91"/>
      <c r="T30" s="798" t="str">
        <f>W11</f>
        <v>IRON ORE</v>
      </c>
      <c r="U30" s="799"/>
      <c r="V30" s="799"/>
      <c r="W30" s="817">
        <f>100-W29-W28</f>
        <v>7.8473303416686235E-2</v>
      </c>
      <c r="X30" s="818"/>
      <c r="Y30" s="819"/>
      <c r="Z30" s="91"/>
      <c r="AA30" s="443">
        <f>W31/AA29</f>
        <v>0.94377767601664775</v>
      </c>
      <c r="AB30" s="440"/>
      <c r="AC30" s="440"/>
      <c r="AD30" s="440"/>
      <c r="AE30" s="91"/>
    </row>
    <row r="31" spans="4:31" ht="20.100000000000001" customHeight="1" thickTop="1" thickBot="1" x14ac:dyDescent="0.45">
      <c r="D31" s="91"/>
      <c r="E31" s="720" t="s">
        <v>10</v>
      </c>
      <c r="F31" s="721"/>
      <c r="G31" s="721"/>
      <c r="H31" s="806">
        <f>SUM(F28:H30)</f>
        <v>100.00000000000001</v>
      </c>
      <c r="I31" s="807"/>
      <c r="J31" s="808"/>
      <c r="K31" s="91"/>
      <c r="L31" s="440"/>
      <c r="M31" s="440"/>
      <c r="N31" s="440"/>
      <c r="O31" s="440"/>
      <c r="P31" s="91"/>
      <c r="Q31" s="345"/>
      <c r="S31" s="91"/>
      <c r="T31" s="720" t="s">
        <v>10</v>
      </c>
      <c r="U31" s="721"/>
      <c r="V31" s="721"/>
      <c r="W31" s="722">
        <f>SUM(U28:W30)</f>
        <v>100.00000000000001</v>
      </c>
      <c r="X31" s="723"/>
      <c r="Y31" s="724"/>
      <c r="Z31" s="91"/>
      <c r="AA31" s="440"/>
      <c r="AB31" s="440"/>
      <c r="AC31" s="440"/>
      <c r="AD31" s="440"/>
      <c r="AE31" s="91"/>
    </row>
    <row r="32" spans="4:31" ht="30" customHeight="1" thickTop="1" thickBot="1" x14ac:dyDescent="0.45">
      <c r="D32" s="91"/>
      <c r="E32" s="725" t="s">
        <v>179</v>
      </c>
      <c r="F32" s="726"/>
      <c r="G32" s="726"/>
      <c r="H32" s="726"/>
      <c r="I32" s="726"/>
      <c r="J32" s="727"/>
      <c r="K32" s="91"/>
      <c r="L32" s="440"/>
      <c r="M32" s="440"/>
      <c r="N32" s="440"/>
      <c r="O32" s="440"/>
      <c r="P32" s="91"/>
      <c r="Q32" s="345"/>
      <c r="S32" s="91"/>
      <c r="T32" s="725" t="s">
        <v>179</v>
      </c>
      <c r="U32" s="726"/>
      <c r="V32" s="726"/>
      <c r="W32" s="726"/>
      <c r="X32" s="726"/>
      <c r="Y32" s="727"/>
      <c r="Z32" s="91"/>
      <c r="AA32" s="91"/>
      <c r="AB32" s="91"/>
      <c r="AC32" s="91"/>
      <c r="AD32" s="91"/>
      <c r="AE32" s="91"/>
    </row>
    <row r="33" spans="4:33" ht="20.100000000000001" customHeight="1" thickBot="1" x14ac:dyDescent="0.45">
      <c r="D33" s="91"/>
      <c r="E33" s="411" t="s">
        <v>75</v>
      </c>
      <c r="F33" s="783" t="s">
        <v>190</v>
      </c>
      <c r="G33" s="784"/>
      <c r="H33" s="730" t="s">
        <v>151</v>
      </c>
      <c r="I33" s="731"/>
      <c r="J33" s="412" t="s">
        <v>150</v>
      </c>
      <c r="K33" s="91"/>
      <c r="L33" s="91"/>
      <c r="M33" s="91"/>
      <c r="N33" s="91"/>
      <c r="O33" s="91"/>
      <c r="P33" s="91"/>
      <c r="Q33" s="345"/>
      <c r="S33" s="91"/>
      <c r="T33" s="411" t="s">
        <v>75</v>
      </c>
      <c r="U33" s="728" t="s">
        <v>190</v>
      </c>
      <c r="V33" s="729"/>
      <c r="W33" s="730" t="s">
        <v>151</v>
      </c>
      <c r="X33" s="731"/>
      <c r="Y33" s="412" t="s">
        <v>150</v>
      </c>
      <c r="Z33" s="91"/>
      <c r="AA33" s="91"/>
      <c r="AB33" s="91"/>
      <c r="AC33" s="91"/>
      <c r="AD33" s="91"/>
      <c r="AE33" s="91"/>
    </row>
    <row r="34" spans="4:33" ht="20.100000000000001" customHeight="1" thickTop="1" thickBot="1" x14ac:dyDescent="0.45">
      <c r="D34" s="91"/>
      <c r="E34" s="376" t="str">
        <f>E28</f>
        <v>LIMESTONE</v>
      </c>
      <c r="F34" s="785">
        <f>L26*L30</f>
        <v>82.205866106954687</v>
      </c>
      <c r="G34" s="786"/>
      <c r="H34" s="789">
        <v>82.747849187555246</v>
      </c>
      <c r="I34" s="790"/>
      <c r="J34" s="413">
        <v>5</v>
      </c>
      <c r="K34" s="91"/>
      <c r="L34" s="91"/>
      <c r="M34" s="91"/>
      <c r="N34" s="91"/>
      <c r="O34" s="91"/>
      <c r="P34" s="91"/>
      <c r="Q34" s="345"/>
      <c r="S34" s="91"/>
      <c r="T34" s="376" t="str">
        <f>T28</f>
        <v>LIMESTONE</v>
      </c>
      <c r="U34" s="711">
        <f>AA26*AA30</f>
        <v>82.205866106954687</v>
      </c>
      <c r="V34" s="712"/>
      <c r="W34" s="713">
        <v>82.747849187555246</v>
      </c>
      <c r="X34" s="714"/>
      <c r="Y34" s="435">
        <v>5</v>
      </c>
      <c r="Z34" s="91"/>
      <c r="AA34" s="91"/>
      <c r="AB34" s="91"/>
      <c r="AC34" s="91"/>
      <c r="AD34" s="91"/>
      <c r="AE34" s="91"/>
    </row>
    <row r="35" spans="4:33" ht="20.100000000000001" customHeight="1" thickTop="1" thickBot="1" x14ac:dyDescent="0.45">
      <c r="D35" s="91"/>
      <c r="E35" s="386" t="str">
        <f>E29</f>
        <v>SHALE</v>
      </c>
      <c r="F35" s="787">
        <f>L27*L30</f>
        <v>17.713807047136488</v>
      </c>
      <c r="G35" s="788"/>
      <c r="H35" s="791">
        <v>17.173677509028074</v>
      </c>
      <c r="I35" s="792"/>
      <c r="J35" s="414">
        <v>8.5</v>
      </c>
      <c r="K35" s="91"/>
      <c r="L35" s="91"/>
      <c r="M35" s="91"/>
      <c r="N35" s="91"/>
      <c r="O35" s="91"/>
      <c r="P35" s="91"/>
      <c r="Q35" s="345"/>
      <c r="S35" s="91"/>
      <c r="T35" s="386" t="str">
        <f>T29</f>
        <v>SHALE</v>
      </c>
      <c r="U35" s="711">
        <f>AA27*AA30</f>
        <v>17.713807047136488</v>
      </c>
      <c r="V35" s="712"/>
      <c r="W35" s="713">
        <v>17.173677509028074</v>
      </c>
      <c r="X35" s="714"/>
      <c r="Y35" s="436">
        <v>8.5</v>
      </c>
      <c r="Z35" s="91"/>
      <c r="AA35" s="91"/>
      <c r="AB35" s="91"/>
      <c r="AC35" s="91"/>
      <c r="AD35" s="91"/>
      <c r="AE35" s="91"/>
    </row>
    <row r="36" spans="4:33" ht="20.100000000000001" customHeight="1" thickTop="1" thickBot="1" x14ac:dyDescent="0.45">
      <c r="D36" s="91"/>
      <c r="E36" s="415" t="str">
        <f>E30</f>
        <v>IRON ORE</v>
      </c>
      <c r="F36" s="809">
        <f>L28*L30</f>
        <v>8.0326845908838831E-2</v>
      </c>
      <c r="G36" s="810"/>
      <c r="H36" s="813">
        <v>7.8473303416686235E-2</v>
      </c>
      <c r="I36" s="814"/>
      <c r="J36" s="416">
        <v>7.8</v>
      </c>
      <c r="K36" s="91"/>
      <c r="L36" s="91"/>
      <c r="M36" s="91"/>
      <c r="N36" s="91"/>
      <c r="O36" s="91"/>
      <c r="P36" s="91"/>
      <c r="Q36" s="345"/>
      <c r="S36" s="91"/>
      <c r="T36" s="415" t="str">
        <f>T30</f>
        <v>IRON ORE</v>
      </c>
      <c r="U36" s="711">
        <f>AA28*AA30</f>
        <v>8.0326845908838831E-2</v>
      </c>
      <c r="V36" s="712"/>
      <c r="W36" s="713">
        <v>7.8473303416686235E-2</v>
      </c>
      <c r="X36" s="714"/>
      <c r="Y36" s="437">
        <v>7.8</v>
      </c>
      <c r="Z36" s="91"/>
      <c r="AA36" s="91"/>
      <c r="AB36" s="91"/>
      <c r="AC36" s="91"/>
      <c r="AD36" s="91"/>
      <c r="AE36" s="91"/>
    </row>
    <row r="37" spans="4:33" ht="20.100000000000001" customHeight="1" thickTop="1" thickBot="1" x14ac:dyDescent="0.45">
      <c r="D37" s="91"/>
      <c r="E37" s="366" t="str">
        <f>E31</f>
        <v>TOTAL</v>
      </c>
      <c r="F37" s="811">
        <f>SUM(F34:G36)</f>
        <v>100.00000000000001</v>
      </c>
      <c r="G37" s="812"/>
      <c r="H37" s="815">
        <f>H34+H35+H36</f>
        <v>100.00000000000001</v>
      </c>
      <c r="I37" s="816"/>
      <c r="J37" s="367">
        <f>J34+J35+J36</f>
        <v>21.3</v>
      </c>
      <c r="K37" s="91"/>
      <c r="L37" s="91"/>
      <c r="M37" s="91"/>
      <c r="N37" s="91"/>
      <c r="O37" s="91"/>
      <c r="P37" s="91"/>
      <c r="Q37" s="345"/>
      <c r="S37" s="91"/>
      <c r="T37" s="366" t="str">
        <f>T31</f>
        <v>TOTAL</v>
      </c>
      <c r="U37" s="715">
        <f>SUM(U34:V36)</f>
        <v>100.00000000000001</v>
      </c>
      <c r="V37" s="716"/>
      <c r="W37" s="717">
        <f>W34+W35+W36</f>
        <v>100.00000000000001</v>
      </c>
      <c r="X37" s="718"/>
      <c r="Y37" s="421">
        <f>Y34+Y35+Y36</f>
        <v>21.3</v>
      </c>
      <c r="Z37" s="91"/>
      <c r="AA37" s="91"/>
      <c r="AB37" s="91"/>
      <c r="AC37" s="91"/>
      <c r="AD37" s="91"/>
      <c r="AE37" s="91"/>
    </row>
    <row r="38" spans="4:33" ht="20.25" thickTop="1" x14ac:dyDescent="0.4"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345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</row>
    <row r="39" spans="4:33" x14ac:dyDescent="0.4">
      <c r="D39" s="345"/>
      <c r="E39" s="345"/>
      <c r="F39" s="345"/>
      <c r="G39" s="345"/>
      <c r="H39" s="345"/>
      <c r="I39" s="345"/>
      <c r="J39" s="345"/>
      <c r="K39" s="345"/>
      <c r="L39" s="345"/>
      <c r="M39" s="345"/>
      <c r="N39" s="345"/>
      <c r="O39" s="345"/>
      <c r="P39" s="345"/>
      <c r="Q39" s="345"/>
    </row>
    <row r="41" spans="4:33" x14ac:dyDescent="0.4">
      <c r="S41" s="41"/>
      <c r="T41" s="41"/>
      <c r="U41" s="41"/>
      <c r="V41" s="42"/>
      <c r="W41" s="41"/>
      <c r="X41" s="43"/>
      <c r="Y41" s="43"/>
      <c r="Z41" s="44"/>
      <c r="AA41" s="41"/>
      <c r="AB41" s="41"/>
      <c r="AC41" s="41"/>
      <c r="AD41" s="41"/>
      <c r="AE41" s="41"/>
      <c r="AF41" s="41"/>
      <c r="AG41" s="41"/>
    </row>
    <row r="42" spans="4:33" x14ac:dyDescent="0.4">
      <c r="S42" s="41"/>
      <c r="T42" s="41"/>
      <c r="U42" s="41"/>
      <c r="V42" s="42"/>
      <c r="W42" s="41"/>
      <c r="X42" s="43"/>
      <c r="Y42" s="43"/>
      <c r="Z42" s="44"/>
      <c r="AA42" s="41"/>
      <c r="AB42" s="41"/>
      <c r="AC42" s="41"/>
      <c r="AD42" s="41"/>
      <c r="AE42" s="41"/>
      <c r="AF42" s="41"/>
      <c r="AG42" s="41"/>
    </row>
    <row r="43" spans="4:33" x14ac:dyDescent="0.4">
      <c r="S43" s="46"/>
      <c r="T43" s="46"/>
      <c r="U43" s="47"/>
      <c r="V43" s="2"/>
      <c r="W43" s="2"/>
      <c r="X43" s="48"/>
      <c r="Y43" s="49"/>
      <c r="Z43" s="49"/>
      <c r="AA43" s="49"/>
      <c r="AB43" s="50"/>
      <c r="AC43" s="51"/>
      <c r="AD43" s="51"/>
      <c r="AE43" s="51"/>
      <c r="AF43" s="52"/>
      <c r="AG43" s="2"/>
    </row>
    <row r="44" spans="4:33" x14ac:dyDescent="0.4">
      <c r="S44" s="606" t="s">
        <v>135</v>
      </c>
      <c r="T44" s="607" t="s">
        <v>134</v>
      </c>
      <c r="U44" s="608"/>
      <c r="V44" s="2"/>
      <c r="W44" s="2"/>
      <c r="X44" s="54"/>
      <c r="Y44" s="55"/>
      <c r="Z44" s="673" t="s">
        <v>137</v>
      </c>
      <c r="AA44" s="673"/>
      <c r="AB44" s="56"/>
      <c r="AC44" s="57"/>
      <c r="AD44" s="674" t="s">
        <v>138</v>
      </c>
      <c r="AE44" s="674"/>
      <c r="AF44" s="58"/>
      <c r="AG44" s="2"/>
    </row>
    <row r="45" spans="4:33" x14ac:dyDescent="0.4">
      <c r="S45" s="606"/>
      <c r="T45" s="607"/>
      <c r="U45" s="608"/>
      <c r="V45" s="2"/>
      <c r="W45" s="2"/>
      <c r="X45" s="54"/>
      <c r="Y45" s="55"/>
      <c r="Z45" s="673"/>
      <c r="AA45" s="673"/>
      <c r="AB45" s="56"/>
      <c r="AC45" s="57"/>
      <c r="AD45" s="674"/>
      <c r="AE45" s="674"/>
      <c r="AF45" s="58"/>
      <c r="AG45" s="2"/>
    </row>
    <row r="46" spans="4:33" x14ac:dyDescent="0.4">
      <c r="S46" s="60"/>
      <c r="T46" s="60"/>
      <c r="U46" s="61"/>
      <c r="V46" s="2"/>
      <c r="W46" s="2"/>
      <c r="X46" s="62"/>
      <c r="Y46" s="63"/>
      <c r="Z46" s="63"/>
      <c r="AA46" s="63"/>
      <c r="AB46" s="64"/>
      <c r="AC46" s="65"/>
      <c r="AD46" s="65"/>
      <c r="AE46" s="65"/>
      <c r="AF46" s="66"/>
      <c r="AG46" s="2"/>
    </row>
  </sheetData>
  <mergeCells count="121">
    <mergeCell ref="I26:J26"/>
    <mergeCell ref="E5:J8"/>
    <mergeCell ref="E27:J27"/>
    <mergeCell ref="I16:J16"/>
    <mergeCell ref="I12:J12"/>
    <mergeCell ref="I21:J21"/>
    <mergeCell ref="I20:J20"/>
    <mergeCell ref="I19:J19"/>
    <mergeCell ref="I18:J18"/>
    <mergeCell ref="I17:J17"/>
    <mergeCell ref="M15:O15"/>
    <mergeCell ref="I25:J25"/>
    <mergeCell ref="I24:J24"/>
    <mergeCell ref="F36:G36"/>
    <mergeCell ref="F37:G37"/>
    <mergeCell ref="H36:I36"/>
    <mergeCell ref="H37:I37"/>
    <mergeCell ref="T29:V29"/>
    <mergeCell ref="W29:Y29"/>
    <mergeCell ref="T30:V30"/>
    <mergeCell ref="W30:Y30"/>
    <mergeCell ref="I11:J11"/>
    <mergeCell ref="M24:O24"/>
    <mergeCell ref="M17:O17"/>
    <mergeCell ref="M18:O18"/>
    <mergeCell ref="M19:O19"/>
    <mergeCell ref="M20:O20"/>
    <mergeCell ref="I22:J22"/>
    <mergeCell ref="I23:J23"/>
    <mergeCell ref="M21:O21"/>
    <mergeCell ref="M22:O22"/>
    <mergeCell ref="M23:O23"/>
    <mergeCell ref="M16:O16"/>
    <mergeCell ref="L11:O11"/>
    <mergeCell ref="M12:O12"/>
    <mergeCell ref="M13:O13"/>
    <mergeCell ref="M14:O14"/>
    <mergeCell ref="I9:J9"/>
    <mergeCell ref="I10:J10"/>
    <mergeCell ref="F9:H9"/>
    <mergeCell ref="F10:H10"/>
    <mergeCell ref="E9:E10"/>
    <mergeCell ref="F33:G33"/>
    <mergeCell ref="F34:G34"/>
    <mergeCell ref="F35:G35"/>
    <mergeCell ref="H33:I33"/>
    <mergeCell ref="H34:I34"/>
    <mergeCell ref="H35:I35"/>
    <mergeCell ref="E32:J32"/>
    <mergeCell ref="E28:G28"/>
    <mergeCell ref="H28:J28"/>
    <mergeCell ref="E29:G29"/>
    <mergeCell ref="E30:G30"/>
    <mergeCell ref="E31:G31"/>
    <mergeCell ref="H29:J29"/>
    <mergeCell ref="H30:J30"/>
    <mergeCell ref="H31:J31"/>
    <mergeCell ref="E11:E12"/>
    <mergeCell ref="I15:J15"/>
    <mergeCell ref="I14:J14"/>
    <mergeCell ref="I13:J13"/>
    <mergeCell ref="L8:O8"/>
    <mergeCell ref="T5:Y8"/>
    <mergeCell ref="AA8:AD8"/>
    <mergeCell ref="T9:T10"/>
    <mergeCell ref="U9:W9"/>
    <mergeCell ref="X9:Y9"/>
    <mergeCell ref="U10:W10"/>
    <mergeCell ref="X10:Y10"/>
    <mergeCell ref="T11:T12"/>
    <mergeCell ref="X11:Y11"/>
    <mergeCell ref="AA11:AD11"/>
    <mergeCell ref="X12:Y12"/>
    <mergeCell ref="AB12:AD12"/>
    <mergeCell ref="X13:Y13"/>
    <mergeCell ref="AB13:AD13"/>
    <mergeCell ref="X14:Y14"/>
    <mergeCell ref="AB14:AD14"/>
    <mergeCell ref="X15:Y15"/>
    <mergeCell ref="AB15:AD15"/>
    <mergeCell ref="X16:Y16"/>
    <mergeCell ref="AB16:AD16"/>
    <mergeCell ref="X17:Y17"/>
    <mergeCell ref="AB17:AD17"/>
    <mergeCell ref="T27:Y27"/>
    <mergeCell ref="T28:V28"/>
    <mergeCell ref="W28:Y28"/>
    <mergeCell ref="X18:Y18"/>
    <mergeCell ref="AB18:AD18"/>
    <mergeCell ref="X19:Y19"/>
    <mergeCell ref="AB19:AD19"/>
    <mergeCell ref="X20:Y20"/>
    <mergeCell ref="AB20:AD20"/>
    <mergeCell ref="X21:Y21"/>
    <mergeCell ref="AB21:AD21"/>
    <mergeCell ref="X22:Y22"/>
    <mergeCell ref="AB22:AD22"/>
    <mergeCell ref="U36:V36"/>
    <mergeCell ref="W36:X36"/>
    <mergeCell ref="U37:V37"/>
    <mergeCell ref="W37:X37"/>
    <mergeCell ref="S44:S45"/>
    <mergeCell ref="T44:U45"/>
    <mergeCell ref="Z44:AA45"/>
    <mergeCell ref="AD44:AE45"/>
    <mergeCell ref="E3:J3"/>
    <mergeCell ref="T31:V31"/>
    <mergeCell ref="W31:Y31"/>
    <mergeCell ref="T32:Y32"/>
    <mergeCell ref="U33:V33"/>
    <mergeCell ref="W33:X33"/>
    <mergeCell ref="U34:V34"/>
    <mergeCell ref="W34:X34"/>
    <mergeCell ref="U35:V35"/>
    <mergeCell ref="W35:X35"/>
    <mergeCell ref="X23:Y23"/>
    <mergeCell ref="AB23:AD23"/>
    <mergeCell ref="X24:Y24"/>
    <mergeCell ref="AB24:AD24"/>
    <mergeCell ref="X25:Y25"/>
    <mergeCell ref="X26:Y26"/>
  </mergeCells>
  <phoneticPr fontId="2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D2:AA64"/>
  <sheetViews>
    <sheetView zoomScale="40" zoomScaleNormal="40" workbookViewId="0">
      <selection activeCell="E29" sqref="E29:O33"/>
    </sheetView>
  </sheetViews>
  <sheetFormatPr defaultRowHeight="19.5" x14ac:dyDescent="0.4"/>
  <cols>
    <col min="1" max="3" width="9.140625" style="36"/>
    <col min="4" max="4" width="5.7109375" style="36" customWidth="1"/>
    <col min="5" max="5" width="11.140625" style="36" customWidth="1"/>
    <col min="6" max="6" width="23" style="36" customWidth="1"/>
    <col min="7" max="7" width="13.140625" style="36" customWidth="1"/>
    <col min="8" max="8" width="18.140625" style="36" customWidth="1"/>
    <col min="9" max="9" width="11.140625" style="36" customWidth="1"/>
    <col min="10" max="10" width="13.5703125" style="36" customWidth="1"/>
    <col min="11" max="11" width="13.28515625" style="36" bestFit="1" customWidth="1"/>
    <col min="12" max="12" width="10.7109375" style="36" bestFit="1" customWidth="1"/>
    <col min="13" max="13" width="14.42578125" style="36" customWidth="1"/>
    <col min="14" max="14" width="13.140625" style="36" bestFit="1" customWidth="1"/>
    <col min="15" max="15" width="11.28515625" style="36" customWidth="1"/>
    <col min="16" max="16" width="13.28515625" style="36" customWidth="1"/>
    <col min="17" max="17" width="9.7109375" style="36" customWidth="1"/>
    <col min="18" max="18" width="10.140625" style="36" bestFit="1" customWidth="1"/>
    <col min="19" max="19" width="12" style="36" customWidth="1"/>
    <col min="20" max="20" width="19.28515625" style="36" customWidth="1"/>
    <col min="21" max="21" width="12.42578125" style="36" bestFit="1" customWidth="1"/>
    <col min="22" max="22" width="14.85546875" style="36" bestFit="1" customWidth="1"/>
    <col min="23" max="23" width="19.28515625" style="36" bestFit="1" customWidth="1"/>
    <col min="24" max="25" width="10.28515625" style="36" bestFit="1" customWidth="1"/>
    <col min="26" max="16384" width="9.140625" style="36"/>
  </cols>
  <sheetData>
    <row r="2" spans="4:27" x14ac:dyDescent="0.4"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</row>
    <row r="3" spans="4:27" ht="20.25" thickBot="1" x14ac:dyDescent="0.45">
      <c r="D3" s="142"/>
      <c r="E3" s="889" t="s">
        <v>133</v>
      </c>
      <c r="F3" s="889"/>
      <c r="G3" s="889"/>
      <c r="H3" s="889"/>
      <c r="I3" s="889"/>
      <c r="J3" s="889"/>
      <c r="K3" s="889"/>
      <c r="L3" s="889"/>
      <c r="M3" s="889"/>
      <c r="N3" s="889"/>
      <c r="O3" s="889"/>
      <c r="P3" s="889"/>
      <c r="Q3" s="889"/>
      <c r="R3" s="889"/>
      <c r="S3" s="889"/>
      <c r="T3" s="889"/>
      <c r="U3" s="889"/>
      <c r="V3" s="889"/>
      <c r="W3" s="889"/>
      <c r="X3" s="889"/>
      <c r="Y3" s="889"/>
      <c r="Z3" s="142"/>
      <c r="AA3" s="142"/>
    </row>
    <row r="4" spans="4:27" ht="25.5" customHeight="1" thickTop="1" x14ac:dyDescent="0.4">
      <c r="D4" s="142"/>
      <c r="E4" s="871" t="s">
        <v>159</v>
      </c>
      <c r="F4" s="872"/>
      <c r="G4" s="872"/>
      <c r="H4" s="872"/>
      <c r="I4" s="872"/>
      <c r="J4" s="872"/>
      <c r="K4" s="872"/>
      <c r="L4" s="872"/>
      <c r="M4" s="872"/>
      <c r="N4" s="872"/>
      <c r="O4" s="872"/>
      <c r="P4" s="872"/>
      <c r="Q4" s="872"/>
      <c r="R4" s="872"/>
      <c r="S4" s="872"/>
      <c r="T4" s="872"/>
      <c r="U4" s="872"/>
      <c r="V4" s="872"/>
      <c r="W4" s="872"/>
      <c r="X4" s="872"/>
      <c r="Y4" s="873"/>
      <c r="Z4" s="142"/>
      <c r="AA4" s="142"/>
    </row>
    <row r="5" spans="4:27" x14ac:dyDescent="0.4">
      <c r="D5" s="142"/>
      <c r="E5" s="874"/>
      <c r="F5" s="875"/>
      <c r="G5" s="875"/>
      <c r="H5" s="875"/>
      <c r="I5" s="875"/>
      <c r="J5" s="875"/>
      <c r="K5" s="875"/>
      <c r="L5" s="875"/>
      <c r="M5" s="875"/>
      <c r="N5" s="875"/>
      <c r="O5" s="875"/>
      <c r="P5" s="875"/>
      <c r="Q5" s="875"/>
      <c r="R5" s="875"/>
      <c r="S5" s="875"/>
      <c r="T5" s="875"/>
      <c r="U5" s="875"/>
      <c r="V5" s="875"/>
      <c r="W5" s="875"/>
      <c r="X5" s="875"/>
      <c r="Y5" s="876"/>
      <c r="Z5" s="142"/>
      <c r="AA5" s="142"/>
    </row>
    <row r="6" spans="4:27" x14ac:dyDescent="0.4">
      <c r="D6" s="142"/>
      <c r="E6" s="861" t="s">
        <v>124</v>
      </c>
      <c r="F6" s="862"/>
      <c r="G6" s="863" t="s">
        <v>10</v>
      </c>
      <c r="H6" s="863" t="s">
        <v>108</v>
      </c>
      <c r="I6" s="863"/>
      <c r="J6" s="863"/>
      <c r="K6" s="877" t="s">
        <v>149</v>
      </c>
      <c r="L6" s="878"/>
      <c r="M6" s="878"/>
      <c r="N6" s="878"/>
      <c r="O6" s="878"/>
      <c r="P6" s="878"/>
      <c r="Q6" s="878"/>
      <c r="R6" s="878"/>
      <c r="S6" s="879"/>
      <c r="T6" s="864" t="s">
        <v>39</v>
      </c>
      <c r="U6" s="864" t="s">
        <v>10</v>
      </c>
      <c r="V6" s="877" t="s">
        <v>101</v>
      </c>
      <c r="W6" s="878"/>
      <c r="X6" s="878"/>
      <c r="Y6" s="883"/>
      <c r="Z6" s="142"/>
      <c r="AA6" s="142"/>
    </row>
    <row r="7" spans="4:27" ht="19.5" customHeight="1" x14ac:dyDescent="0.4">
      <c r="D7" s="142"/>
      <c r="E7" s="861"/>
      <c r="F7" s="862"/>
      <c r="G7" s="863"/>
      <c r="H7" s="863"/>
      <c r="I7" s="863"/>
      <c r="J7" s="863"/>
      <c r="K7" s="880"/>
      <c r="L7" s="881"/>
      <c r="M7" s="881"/>
      <c r="N7" s="881"/>
      <c r="O7" s="881"/>
      <c r="P7" s="881"/>
      <c r="Q7" s="881"/>
      <c r="R7" s="881"/>
      <c r="S7" s="882"/>
      <c r="T7" s="864"/>
      <c r="U7" s="864"/>
      <c r="V7" s="880"/>
      <c r="W7" s="881"/>
      <c r="X7" s="881"/>
      <c r="Y7" s="884"/>
      <c r="Z7" s="142"/>
      <c r="AA7" s="142"/>
    </row>
    <row r="8" spans="4:27" ht="19.5" customHeight="1" x14ac:dyDescent="0.4">
      <c r="D8" s="142"/>
      <c r="E8" s="861"/>
      <c r="F8" s="862"/>
      <c r="G8" s="863"/>
      <c r="H8" s="865" t="s">
        <v>110</v>
      </c>
      <c r="I8" s="867" t="s">
        <v>111</v>
      </c>
      <c r="J8" s="869" t="s">
        <v>141</v>
      </c>
      <c r="K8" s="853" t="s">
        <v>1</v>
      </c>
      <c r="L8" s="853" t="s">
        <v>3</v>
      </c>
      <c r="M8" s="853" t="s">
        <v>4</v>
      </c>
      <c r="N8" s="853" t="s">
        <v>5</v>
      </c>
      <c r="O8" s="853" t="s">
        <v>6</v>
      </c>
      <c r="P8" s="853" t="s">
        <v>8</v>
      </c>
      <c r="Q8" s="853" t="s">
        <v>7</v>
      </c>
      <c r="R8" s="853" t="s">
        <v>9</v>
      </c>
      <c r="S8" s="853" t="s">
        <v>40</v>
      </c>
      <c r="T8" s="864"/>
      <c r="U8" s="864"/>
      <c r="V8" s="855" t="s">
        <v>38</v>
      </c>
      <c r="W8" s="857" t="s">
        <v>49</v>
      </c>
      <c r="X8" s="855" t="s">
        <v>36</v>
      </c>
      <c r="Y8" s="859" t="s">
        <v>37</v>
      </c>
      <c r="Z8" s="142"/>
      <c r="AA8" s="142"/>
    </row>
    <row r="9" spans="4:27" ht="20.25" customHeight="1" thickBot="1" x14ac:dyDescent="0.45">
      <c r="D9" s="142"/>
      <c r="E9" s="861"/>
      <c r="F9" s="862"/>
      <c r="G9" s="863"/>
      <c r="H9" s="866"/>
      <c r="I9" s="868"/>
      <c r="J9" s="870"/>
      <c r="K9" s="854"/>
      <c r="L9" s="854"/>
      <c r="M9" s="854"/>
      <c r="N9" s="854"/>
      <c r="O9" s="854"/>
      <c r="P9" s="854"/>
      <c r="Q9" s="854"/>
      <c r="R9" s="854"/>
      <c r="S9" s="854"/>
      <c r="T9" s="864"/>
      <c r="U9" s="864"/>
      <c r="V9" s="856"/>
      <c r="W9" s="858"/>
      <c r="X9" s="856"/>
      <c r="Y9" s="860"/>
      <c r="Z9" s="142"/>
      <c r="AA9" s="142"/>
    </row>
    <row r="10" spans="4:27" ht="24" customHeight="1" thickTop="1" thickBot="1" x14ac:dyDescent="0.45">
      <c r="D10" s="142"/>
      <c r="E10" s="849" t="s">
        <v>113</v>
      </c>
      <c r="F10" s="850"/>
      <c r="G10" s="145">
        <f>H10+I10+J10</f>
        <v>100</v>
      </c>
      <c r="H10" s="161">
        <v>80</v>
      </c>
      <c r="I10" s="163">
        <v>15</v>
      </c>
      <c r="J10" s="165">
        <f>100-H10-I10</f>
        <v>5</v>
      </c>
      <c r="K10" s="169">
        <v>13.97</v>
      </c>
      <c r="L10" s="169">
        <v>3.4</v>
      </c>
      <c r="M10" s="169">
        <v>2.16</v>
      </c>
      <c r="N10" s="169">
        <v>42.81</v>
      </c>
      <c r="O10" s="167">
        <v>1.65</v>
      </c>
      <c r="P10" s="167">
        <v>0.26</v>
      </c>
      <c r="Q10" s="167">
        <v>0.49</v>
      </c>
      <c r="R10" s="167">
        <v>0.2</v>
      </c>
      <c r="S10" s="167">
        <v>0.01</v>
      </c>
      <c r="T10" s="146">
        <f>0.786*N10+1.1*O10+0.2</f>
        <v>35.663660000000007</v>
      </c>
      <c r="U10" s="147">
        <f>SUM(K10:T10)</f>
        <v>100.61366000000001</v>
      </c>
      <c r="V10" s="172">
        <f>N10*100/(2.8*K10+1.2*L10+0.65*M10)</f>
        <v>95.986547085201792</v>
      </c>
      <c r="W10" s="147">
        <f xml:space="preserve"> N10/(K10+L10+M10)</f>
        <v>2.1920122887864824</v>
      </c>
      <c r="X10" s="172">
        <f xml:space="preserve"> K10/(L10+M10)</f>
        <v>2.5125899280575537</v>
      </c>
      <c r="Y10" s="148">
        <f>L10/M10</f>
        <v>1.574074074074074</v>
      </c>
      <c r="Z10" s="142"/>
      <c r="AA10" s="142"/>
    </row>
    <row r="11" spans="4:27" ht="21" thickTop="1" thickBot="1" x14ac:dyDescent="0.45">
      <c r="D11" s="142"/>
      <c r="E11" s="849" t="s">
        <v>125</v>
      </c>
      <c r="F11" s="850"/>
      <c r="G11" s="145">
        <f t="shared" ref="G11:G14" si="0">H11+I11+J11</f>
        <v>100</v>
      </c>
      <c r="H11" s="161">
        <f>H10+N17-N10</f>
        <v>80</v>
      </c>
      <c r="I11" s="163">
        <f>I10+K17-K10</f>
        <v>14.999999999999998</v>
      </c>
      <c r="J11" s="165">
        <f>100-H11-I11</f>
        <v>5.0000000000000018</v>
      </c>
      <c r="K11" s="169">
        <v>14</v>
      </c>
      <c r="L11" s="169">
        <v>3.5</v>
      </c>
      <c r="M11" s="169">
        <v>2.4</v>
      </c>
      <c r="N11" s="169">
        <v>43.5</v>
      </c>
      <c r="O11" s="167">
        <v>1.65</v>
      </c>
      <c r="P11" s="167">
        <v>0.26</v>
      </c>
      <c r="Q11" s="167">
        <v>0.49</v>
      </c>
      <c r="R11" s="167">
        <v>0.2</v>
      </c>
      <c r="S11" s="167">
        <v>0.01</v>
      </c>
      <c r="T11" s="146">
        <f>0.786*N11+1.1*O11+0.2</f>
        <v>36.206000000000003</v>
      </c>
      <c r="U11" s="147">
        <f>SUM(K11:T11)</f>
        <v>102.21600000000001</v>
      </c>
      <c r="V11" s="172">
        <f t="shared" ref="V11:V13" si="1">N11*100/(2.8*K11+1.2*L11+0.65*M11)</f>
        <v>96.7526690391459</v>
      </c>
      <c r="W11" s="147">
        <f t="shared" ref="W11:W13" si="2" xml:space="preserve"> N11/(K11+L11+M11)</f>
        <v>2.1859296482412063</v>
      </c>
      <c r="X11" s="172">
        <f t="shared" ref="X11:X13" si="3" xml:space="preserve"> K11/(L11+M11)</f>
        <v>2.3728813559322033</v>
      </c>
      <c r="Y11" s="148">
        <f t="shared" ref="Y11:Y13" si="4">L11/M11</f>
        <v>1.4583333333333335</v>
      </c>
      <c r="Z11" s="142"/>
      <c r="AA11" s="142"/>
    </row>
    <row r="12" spans="4:27" ht="21" thickTop="1" thickBot="1" x14ac:dyDescent="0.45">
      <c r="D12" s="142"/>
      <c r="E12" s="849" t="s">
        <v>125</v>
      </c>
      <c r="F12" s="850"/>
      <c r="G12" s="145">
        <f t="shared" si="0"/>
        <v>100</v>
      </c>
      <c r="H12" s="161">
        <f>H11+N17-N11</f>
        <v>79.31</v>
      </c>
      <c r="I12" s="163">
        <f>I11+K17-K11</f>
        <v>14.969999999999999</v>
      </c>
      <c r="J12" s="165">
        <f>100-H12-I12</f>
        <v>5.7199999999999989</v>
      </c>
      <c r="K12" s="169">
        <v>13.5</v>
      </c>
      <c r="L12" s="169">
        <v>3.3</v>
      </c>
      <c r="M12" s="169">
        <v>2.1</v>
      </c>
      <c r="N12" s="169">
        <v>42.1</v>
      </c>
      <c r="O12" s="167">
        <v>1.65</v>
      </c>
      <c r="P12" s="167">
        <v>0.26</v>
      </c>
      <c r="Q12" s="167">
        <v>0.49</v>
      </c>
      <c r="R12" s="167">
        <v>0.2</v>
      </c>
      <c r="S12" s="167">
        <v>0.01</v>
      </c>
      <c r="T12" s="146">
        <f>0.786*N12+1.1*O12+0.2</f>
        <v>35.105600000000003</v>
      </c>
      <c r="U12" s="147">
        <f>SUM(K12:T12)</f>
        <v>98.715599999999995</v>
      </c>
      <c r="V12" s="172">
        <f t="shared" si="1"/>
        <v>97.623188405797094</v>
      </c>
      <c r="W12" s="147">
        <f t="shared" si="2"/>
        <v>2.2275132275132274</v>
      </c>
      <c r="X12" s="172">
        <f t="shared" si="3"/>
        <v>2.5</v>
      </c>
      <c r="Y12" s="148">
        <f t="shared" si="4"/>
        <v>1.5714285714285712</v>
      </c>
      <c r="Z12" s="142"/>
      <c r="AA12" s="142"/>
    </row>
    <row r="13" spans="4:27" ht="21" thickTop="1" thickBot="1" x14ac:dyDescent="0.45">
      <c r="D13" s="142"/>
      <c r="E13" s="849" t="s">
        <v>125</v>
      </c>
      <c r="F13" s="850"/>
      <c r="G13" s="145">
        <f t="shared" si="0"/>
        <v>100</v>
      </c>
      <c r="H13" s="161">
        <f>H12+N17-N12</f>
        <v>80.02000000000001</v>
      </c>
      <c r="I13" s="163">
        <f>I12+K17-K12</f>
        <v>15.439999999999998</v>
      </c>
      <c r="J13" s="165">
        <f>100-H13-I13</f>
        <v>4.539999999999992</v>
      </c>
      <c r="K13" s="170">
        <v>14</v>
      </c>
      <c r="L13" s="170">
        <v>3.4</v>
      </c>
      <c r="M13" s="170">
        <v>2.2000000000000002</v>
      </c>
      <c r="N13" s="170">
        <v>42.4</v>
      </c>
      <c r="O13" s="168">
        <v>1.65</v>
      </c>
      <c r="P13" s="168">
        <v>0.26</v>
      </c>
      <c r="Q13" s="168">
        <v>0.49</v>
      </c>
      <c r="R13" s="168">
        <v>0.2</v>
      </c>
      <c r="S13" s="168">
        <v>0.01</v>
      </c>
      <c r="T13" s="149">
        <f>0.786*N13+1.1*O13+0.2</f>
        <v>35.3414</v>
      </c>
      <c r="U13" s="150">
        <f>SUM(K13:T13)</f>
        <v>99.951400000000007</v>
      </c>
      <c r="V13" s="173">
        <f t="shared" si="1"/>
        <v>94.833370610601662</v>
      </c>
      <c r="W13" s="150">
        <f t="shared" si="2"/>
        <v>2.1632653061224492</v>
      </c>
      <c r="X13" s="173">
        <f t="shared" si="3"/>
        <v>2.5</v>
      </c>
      <c r="Y13" s="151">
        <f t="shared" si="4"/>
        <v>1.5454545454545452</v>
      </c>
      <c r="Z13" s="142"/>
      <c r="AA13" s="142"/>
    </row>
    <row r="14" spans="4:27" ht="21" thickTop="1" thickBot="1" x14ac:dyDescent="0.45">
      <c r="D14" s="142"/>
      <c r="E14" s="851" t="s">
        <v>125</v>
      </c>
      <c r="F14" s="852"/>
      <c r="G14" s="152">
        <f t="shared" si="0"/>
        <v>100</v>
      </c>
      <c r="H14" s="162">
        <f>H13+N17-N13</f>
        <v>80.430000000000007</v>
      </c>
      <c r="I14" s="164">
        <f>I13+K17-K13</f>
        <v>15.409999999999997</v>
      </c>
      <c r="J14" s="166">
        <f>100-H14-I14</f>
        <v>4.1599999999999966</v>
      </c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42"/>
      <c r="AA14" s="142"/>
    </row>
    <row r="15" spans="4:27" ht="21.75" thickTop="1" thickBot="1" x14ac:dyDescent="0.45">
      <c r="D15" s="142"/>
      <c r="E15" s="153"/>
      <c r="F15" s="153"/>
      <c r="G15" s="153"/>
      <c r="H15" s="153"/>
      <c r="I15" s="153"/>
      <c r="J15" s="153"/>
      <c r="K15" s="698" t="s">
        <v>118</v>
      </c>
      <c r="L15" s="699"/>
      <c r="M15" s="699"/>
      <c r="N15" s="699"/>
      <c r="O15" s="699"/>
      <c r="P15" s="699"/>
      <c r="Q15" s="699"/>
      <c r="R15" s="699"/>
      <c r="S15" s="699"/>
      <c r="T15" s="699"/>
      <c r="U15" s="699"/>
      <c r="V15" s="699"/>
      <c r="W15" s="699"/>
      <c r="X15" s="699"/>
      <c r="Y15" s="700"/>
      <c r="Z15" s="142"/>
      <c r="AA15" s="142"/>
    </row>
    <row r="16" spans="4:27" ht="21" thickBot="1" x14ac:dyDescent="0.45">
      <c r="D16" s="142"/>
      <c r="E16" s="153"/>
      <c r="F16" s="701" t="s">
        <v>119</v>
      </c>
      <c r="G16" s="701"/>
      <c r="H16" s="701"/>
      <c r="I16" s="153"/>
      <c r="J16" s="153"/>
      <c r="K16" s="131" t="s">
        <v>1</v>
      </c>
      <c r="L16" s="132" t="s">
        <v>3</v>
      </c>
      <c r="M16" s="132" t="s">
        <v>4</v>
      </c>
      <c r="N16" s="132" t="s">
        <v>5</v>
      </c>
      <c r="O16" s="132" t="s">
        <v>6</v>
      </c>
      <c r="P16" s="132" t="s">
        <v>8</v>
      </c>
      <c r="Q16" s="132" t="s">
        <v>7</v>
      </c>
      <c r="R16" s="132" t="s">
        <v>9</v>
      </c>
      <c r="S16" s="132" t="s">
        <v>40</v>
      </c>
      <c r="T16" s="133" t="s">
        <v>39</v>
      </c>
      <c r="U16" s="133" t="s">
        <v>10</v>
      </c>
      <c r="V16" s="129" t="s">
        <v>38</v>
      </c>
      <c r="W16" s="201" t="s">
        <v>49</v>
      </c>
      <c r="X16" s="129" t="s">
        <v>36</v>
      </c>
      <c r="Y16" s="200" t="s">
        <v>37</v>
      </c>
      <c r="Z16" s="142"/>
      <c r="AA16" s="142"/>
    </row>
    <row r="17" spans="4:27" ht="21" thickTop="1" thickBot="1" x14ac:dyDescent="0.45">
      <c r="D17" s="142"/>
      <c r="E17" s="153"/>
      <c r="F17" s="838" t="s">
        <v>152</v>
      </c>
      <c r="G17" s="839"/>
      <c r="H17" s="198">
        <f>V17</f>
        <v>95.986547085201792</v>
      </c>
      <c r="I17" s="153"/>
      <c r="J17" s="153"/>
      <c r="K17" s="137">
        <v>13.97</v>
      </c>
      <c r="L17" s="138">
        <v>3.4</v>
      </c>
      <c r="M17" s="138">
        <v>2.16</v>
      </c>
      <c r="N17" s="138">
        <v>42.81</v>
      </c>
      <c r="O17" s="154">
        <v>1.65</v>
      </c>
      <c r="P17" s="154">
        <v>0.26</v>
      </c>
      <c r="Q17" s="154">
        <v>0.49</v>
      </c>
      <c r="R17" s="154">
        <v>0.2</v>
      </c>
      <c r="S17" s="154">
        <v>0.01</v>
      </c>
      <c r="T17" s="155">
        <f>0.786*N17+1.1*O17+0.2</f>
        <v>35.663660000000007</v>
      </c>
      <c r="U17" s="156">
        <f>SUM(K17:T17)</f>
        <v>100.61366000000001</v>
      </c>
      <c r="V17" s="103">
        <f>N17*100/(2.8*K17+1.2*L17+0.65*M17)</f>
        <v>95.986547085201792</v>
      </c>
      <c r="W17" s="156">
        <f>N17/(K17+L17+M17)</f>
        <v>2.1920122887864824</v>
      </c>
      <c r="X17" s="103">
        <f>K17/(L17+M17)</f>
        <v>2.5125899280575537</v>
      </c>
      <c r="Y17" s="157">
        <f>L17/M17</f>
        <v>1.574074074074074</v>
      </c>
      <c r="Z17" s="142"/>
      <c r="AA17" s="142"/>
    </row>
    <row r="18" spans="4:27" ht="21.75" thickTop="1" thickBot="1" x14ac:dyDescent="0.45">
      <c r="D18" s="142"/>
      <c r="E18" s="153"/>
      <c r="F18" s="838" t="s">
        <v>36</v>
      </c>
      <c r="G18" s="839"/>
      <c r="H18" s="199">
        <f>X17</f>
        <v>2.5125899280575537</v>
      </c>
      <c r="I18" s="153"/>
      <c r="J18" s="153"/>
      <c r="K18" s="633" t="s">
        <v>122</v>
      </c>
      <c r="L18" s="634"/>
      <c r="M18" s="634"/>
      <c r="N18" s="634"/>
      <c r="O18" s="634"/>
      <c r="P18" s="634"/>
      <c r="Q18" s="634"/>
      <c r="R18" s="634"/>
      <c r="S18" s="634"/>
      <c r="T18" s="634"/>
      <c r="U18" s="635"/>
      <c r="V18" s="635"/>
      <c r="W18" s="635"/>
      <c r="X18" s="635"/>
      <c r="Y18" s="636"/>
      <c r="Z18" s="142"/>
      <c r="AA18" s="142"/>
    </row>
    <row r="19" spans="4:27" ht="21" thickTop="1" thickBot="1" x14ac:dyDescent="0.45">
      <c r="D19" s="142"/>
      <c r="E19" s="153"/>
      <c r="F19" s="647" t="s">
        <v>45</v>
      </c>
      <c r="G19" s="648"/>
      <c r="H19" s="134">
        <v>2.1000000000000001E-2</v>
      </c>
      <c r="I19" s="153"/>
      <c r="J19" s="153"/>
      <c r="K19" s="139">
        <v>51.910012874140349</v>
      </c>
      <c r="L19" s="140">
        <v>24.189980517995103</v>
      </c>
      <c r="M19" s="140">
        <v>6.7227097100043149</v>
      </c>
      <c r="N19" s="140">
        <v>8.1274517505998443</v>
      </c>
      <c r="O19" s="112">
        <v>1.1075203400231253</v>
      </c>
      <c r="P19" s="112">
        <v>0.2</v>
      </c>
      <c r="Q19" s="112">
        <v>0.9</v>
      </c>
      <c r="R19" s="141">
        <v>4.2</v>
      </c>
      <c r="S19" s="112">
        <v>0.01</v>
      </c>
      <c r="T19" s="112">
        <v>1.5</v>
      </c>
      <c r="U19" s="88">
        <f>SUM(K19:T19)</f>
        <v>98.867675192762746</v>
      </c>
      <c r="V19" s="89">
        <f t="shared" ref="V19" si="5">N19*100/(2.8*K19+1.2*L19+0.65*M19)</f>
        <v>4.5469336530875761</v>
      </c>
      <c r="W19" s="89">
        <f t="shared" ref="W19" si="6">N19/(K19+L19+M19)</f>
        <v>9.8130723173533663E-2</v>
      </c>
      <c r="X19" s="89">
        <f t="shared" ref="X19" si="7">K19/(L19+M19)</f>
        <v>1.6792460472146948</v>
      </c>
      <c r="Y19" s="94">
        <f t="shared" ref="Y19" si="8">L19/M19</f>
        <v>3.5982485577202734</v>
      </c>
      <c r="Z19" s="142"/>
      <c r="AA19" s="142"/>
    </row>
    <row r="20" spans="4:27" ht="21.75" thickTop="1" thickBot="1" x14ac:dyDescent="0.45">
      <c r="D20" s="142"/>
      <c r="E20" s="153"/>
      <c r="F20" s="649" t="s">
        <v>120</v>
      </c>
      <c r="G20" s="650"/>
      <c r="H20" s="119" t="s">
        <v>131</v>
      </c>
      <c r="I20" s="153"/>
      <c r="J20" s="153"/>
      <c r="K20" s="637" t="s">
        <v>121</v>
      </c>
      <c r="L20" s="638"/>
      <c r="M20" s="638"/>
      <c r="N20" s="638"/>
      <c r="O20" s="638"/>
      <c r="P20" s="638"/>
      <c r="Q20" s="638"/>
      <c r="R20" s="638"/>
      <c r="S20" s="638"/>
      <c r="T20" s="638"/>
      <c r="U20" s="638"/>
      <c r="V20" s="638"/>
      <c r="W20" s="638"/>
      <c r="X20" s="638"/>
      <c r="Y20" s="639"/>
      <c r="Z20" s="144"/>
      <c r="AA20" s="142"/>
    </row>
    <row r="21" spans="4:27" ht="20.25" thickBot="1" x14ac:dyDescent="0.45">
      <c r="D21" s="142"/>
      <c r="E21" s="153"/>
      <c r="F21" s="153"/>
      <c r="G21" s="153"/>
      <c r="H21" s="153"/>
      <c r="I21" s="153"/>
      <c r="J21" s="153"/>
      <c r="K21" s="126" t="s">
        <v>1</v>
      </c>
      <c r="L21" s="127" t="s">
        <v>3</v>
      </c>
      <c r="M21" s="127" t="s">
        <v>4</v>
      </c>
      <c r="N21" s="127" t="s">
        <v>5</v>
      </c>
      <c r="O21" s="127" t="s">
        <v>6</v>
      </c>
      <c r="P21" s="127" t="s">
        <v>8</v>
      </c>
      <c r="Q21" s="127" t="s">
        <v>7</v>
      </c>
      <c r="R21" s="127" t="s">
        <v>9</v>
      </c>
      <c r="S21" s="127" t="s">
        <v>40</v>
      </c>
      <c r="T21" s="640" t="s">
        <v>10</v>
      </c>
      <c r="U21" s="640"/>
      <c r="V21" s="129" t="s">
        <v>38</v>
      </c>
      <c r="W21" s="128" t="s">
        <v>49</v>
      </c>
      <c r="X21" s="129" t="s">
        <v>36</v>
      </c>
      <c r="Y21" s="200" t="s">
        <v>37</v>
      </c>
      <c r="Z21" s="142"/>
      <c r="AA21" s="142"/>
    </row>
    <row r="22" spans="4:27" ht="21" thickTop="1" thickBot="1" x14ac:dyDescent="0.45">
      <c r="D22" s="142"/>
      <c r="E22" s="153"/>
      <c r="F22" s="153"/>
      <c r="G22" s="153"/>
      <c r="H22" s="153"/>
      <c r="I22" s="153"/>
      <c r="J22" s="153"/>
      <c r="K22" s="174">
        <f>(1/(1-T17/100))*K17*(1-H19)+K19*H19</f>
        <v>22.348127123662564</v>
      </c>
      <c r="L22" s="136">
        <f>(1/(1-T17/100))*L17*(1-H19)+L19*H19</f>
        <v>5.6817374291913598</v>
      </c>
      <c r="M22" s="136">
        <f>(1/(1-T17/100))*M17*(1-H19)+M19*H19</f>
        <v>3.4280284717798204</v>
      </c>
      <c r="N22" s="136">
        <f>(1/(1-T17/100))*N17*(1-H19)+N19*H19</f>
        <v>65.314248533291831</v>
      </c>
      <c r="O22" s="122">
        <f>(1/(1-T17/100))*O17*(1-H19)+O19*H19</f>
        <v>2.534047319263196</v>
      </c>
      <c r="P22" s="122">
        <f>(1/(1-T17/100))*P17*(1-H19)+P19*H19</f>
        <v>0.3998395405769119</v>
      </c>
      <c r="Q22" s="122">
        <f t="shared" ref="Q22" si="9">(1/(1-Z17/100))*Q17*(1-N24)+Q19*N24</f>
        <v>0.49</v>
      </c>
      <c r="R22" s="122">
        <f>(1/(1-T17/100))*R17*(1-H19)+R19*H19</f>
        <v>0.39253810813608614</v>
      </c>
      <c r="S22" s="122">
        <f>(1/(1-T17/100))*S17*(1-H19)+S19*H19</f>
        <v>1.5426905406804305E-2</v>
      </c>
      <c r="T22" s="845">
        <f>SUM(K22:S22)</f>
        <v>100.60399343130855</v>
      </c>
      <c r="U22" s="846"/>
      <c r="V22" s="101">
        <f>N22*100/(2.8*K22+1.2*L22+0.65*M22)</f>
        <v>91.194194989144691</v>
      </c>
      <c r="W22" s="104">
        <f>N22/(K22+L22+M22)</f>
        <v>2.0762435831969475</v>
      </c>
      <c r="X22" s="101">
        <f>K22/(L22+M22)</f>
        <v>2.4532054244423627</v>
      </c>
      <c r="Y22" s="158">
        <f>L22/M22</f>
        <v>1.657435892369185</v>
      </c>
      <c r="Z22" s="142"/>
      <c r="AA22" s="142"/>
    </row>
    <row r="23" spans="4:27" ht="21.75" thickTop="1" x14ac:dyDescent="0.4">
      <c r="D23" s="142"/>
      <c r="E23" s="153"/>
      <c r="F23" s="153"/>
      <c r="G23" s="153"/>
      <c r="H23" s="153"/>
      <c r="I23" s="153"/>
      <c r="J23" s="153"/>
      <c r="K23" s="643" t="s">
        <v>148</v>
      </c>
      <c r="L23" s="840" t="s">
        <v>50</v>
      </c>
      <c r="M23" s="843" t="s">
        <v>155</v>
      </c>
      <c r="N23" s="840" t="s">
        <v>52</v>
      </c>
      <c r="O23" s="840" t="s">
        <v>53</v>
      </c>
      <c r="P23" s="841" t="s">
        <v>54</v>
      </c>
      <c r="Q23" s="841"/>
      <c r="R23" s="841"/>
      <c r="S23" s="841"/>
      <c r="T23" s="842" t="s">
        <v>156</v>
      </c>
      <c r="U23" s="842" t="s">
        <v>55</v>
      </c>
      <c r="V23" s="842" t="s">
        <v>126</v>
      </c>
      <c r="W23" s="842" t="s">
        <v>56</v>
      </c>
      <c r="X23" s="836" t="s">
        <v>57</v>
      </c>
      <c r="Y23" s="837"/>
      <c r="Z23" s="142"/>
      <c r="AA23" s="142"/>
    </row>
    <row r="24" spans="4:27" ht="20.25" thickBot="1" x14ac:dyDescent="0.45">
      <c r="D24" s="142"/>
      <c r="E24" s="153"/>
      <c r="F24" s="153"/>
      <c r="G24" s="153"/>
      <c r="H24" s="153"/>
      <c r="I24" s="153"/>
      <c r="J24" s="153"/>
      <c r="K24" s="644"/>
      <c r="L24" s="646"/>
      <c r="M24" s="844"/>
      <c r="N24" s="646"/>
      <c r="O24" s="646"/>
      <c r="P24" s="176" t="s">
        <v>58</v>
      </c>
      <c r="Q24" s="176" t="s">
        <v>59</v>
      </c>
      <c r="R24" s="176" t="s">
        <v>60</v>
      </c>
      <c r="S24" s="176" t="s">
        <v>61</v>
      </c>
      <c r="T24" s="842"/>
      <c r="U24" s="842"/>
      <c r="V24" s="842"/>
      <c r="W24" s="842"/>
      <c r="X24" s="123" t="s">
        <v>62</v>
      </c>
      <c r="Y24" s="125" t="s">
        <v>39</v>
      </c>
      <c r="Z24" s="142"/>
      <c r="AA24" s="142"/>
    </row>
    <row r="25" spans="4:27" ht="21" thickTop="1" thickBot="1" x14ac:dyDescent="0.45">
      <c r="D25" s="142"/>
      <c r="E25" s="153"/>
      <c r="F25" s="153"/>
      <c r="G25" s="153"/>
      <c r="H25" s="153"/>
      <c r="I25" s="153"/>
      <c r="J25" s="153"/>
      <c r="K25" s="175">
        <v>1.25</v>
      </c>
      <c r="L25" s="110">
        <v>1.8</v>
      </c>
      <c r="M25" s="115" t="s">
        <v>129</v>
      </c>
      <c r="N25" s="110">
        <f>((O25/100)-(Y25/100))/((O25/100)-(O25/100)*(Y25/100))*100</f>
        <v>96.166062000057735</v>
      </c>
      <c r="O25" s="110">
        <v>34.39</v>
      </c>
      <c r="P25" s="159">
        <f>4.071*(N22-L25)-7.6024*K22-6.718*L22-1.4297*M22</f>
        <v>45.596139778687601</v>
      </c>
      <c r="Q25" s="105">
        <f>8.6024*K22+5.0683*L22+1.0785*M22-3.071*(N22-L25)</f>
        <v>29.689150042040694</v>
      </c>
      <c r="R25" s="105">
        <f>2.65*L22-1.692*M22</f>
        <v>9.2563800131056464</v>
      </c>
      <c r="S25" s="105">
        <f>3.0432*M22</f>
        <v>10.432176245320349</v>
      </c>
      <c r="T25" s="105">
        <f>R22/(Q22+0.5*P22)</f>
        <v>0.56896196491363871</v>
      </c>
      <c r="U25" s="105">
        <f>P22+(0.658*Q22)</f>
        <v>0.72225954057691188</v>
      </c>
      <c r="V25" s="105">
        <f>3*L22+2.25*M22+O22+P22+Q22+R22</f>
        <v>28.57470131705487</v>
      </c>
      <c r="W25" s="160">
        <f>R25+S25+(Q25*0.2)+(2*M22)</f>
        <v>32.482443210393775</v>
      </c>
      <c r="X25" s="110">
        <v>1</v>
      </c>
      <c r="Y25" s="117">
        <v>1.97</v>
      </c>
      <c r="Z25" s="142"/>
      <c r="AA25" s="142"/>
    </row>
    <row r="26" spans="4:27" ht="20.25" thickTop="1" x14ac:dyDescent="0.4">
      <c r="D26" s="142"/>
      <c r="E26" s="142"/>
      <c r="F26" s="142"/>
      <c r="G26" s="142"/>
      <c r="H26" s="144"/>
      <c r="I26" s="144"/>
      <c r="J26" s="144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</row>
    <row r="27" spans="4:27" x14ac:dyDescent="0.4">
      <c r="D27" s="142"/>
      <c r="E27" s="142"/>
      <c r="F27" s="142"/>
      <c r="G27" s="142"/>
      <c r="H27" s="144"/>
      <c r="I27" s="144"/>
      <c r="J27" s="144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</row>
    <row r="28" spans="4:27" x14ac:dyDescent="0.4">
      <c r="D28" s="68"/>
      <c r="E28" s="68"/>
      <c r="F28" s="68"/>
      <c r="G28" s="68"/>
      <c r="H28" s="69"/>
      <c r="I28" s="69"/>
      <c r="J28" s="69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</row>
    <row r="29" spans="4:27" x14ac:dyDescent="0.4">
      <c r="D29" s="2"/>
      <c r="E29" s="2"/>
      <c r="F29" s="2"/>
      <c r="G29" s="2"/>
      <c r="H29" s="37"/>
      <c r="I29" s="37"/>
      <c r="J29" s="3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4:27" x14ac:dyDescent="0.4">
      <c r="D30" s="2"/>
      <c r="E30" s="2" t="s">
        <v>136</v>
      </c>
      <c r="F30" s="2"/>
      <c r="G30" s="2"/>
      <c r="H30" s="37"/>
      <c r="I30" s="37"/>
      <c r="J30" s="3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4:27" x14ac:dyDescent="0.4">
      <c r="D31" s="2"/>
      <c r="E31" s="2"/>
      <c r="F31" s="2"/>
      <c r="G31" s="2"/>
      <c r="H31" s="37"/>
      <c r="I31" s="37"/>
      <c r="J31" s="70"/>
      <c r="K31" s="848" t="s">
        <v>139</v>
      </c>
      <c r="L31" s="2"/>
      <c r="M31" s="57"/>
      <c r="N31" s="847" t="s">
        <v>140</v>
      </c>
      <c r="O31" s="84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4:27" ht="14.25" customHeight="1" x14ac:dyDescent="0.4">
      <c r="D32" s="2"/>
      <c r="E32" s="606" t="s">
        <v>135</v>
      </c>
      <c r="F32" s="607" t="s">
        <v>134</v>
      </c>
      <c r="G32" s="2"/>
      <c r="H32" s="37"/>
      <c r="I32" s="37"/>
      <c r="J32" s="70"/>
      <c r="K32" s="848"/>
      <c r="L32" s="71"/>
      <c r="M32" s="72"/>
      <c r="N32" s="847"/>
      <c r="O32" s="847"/>
      <c r="P32" s="71"/>
      <c r="Q32" s="71"/>
      <c r="R32" s="71"/>
      <c r="S32" s="71"/>
      <c r="T32" s="71"/>
      <c r="U32" s="71"/>
      <c r="V32" s="71"/>
      <c r="W32" s="71"/>
      <c r="X32" s="2"/>
      <c r="Y32" s="2"/>
      <c r="Z32" s="2"/>
      <c r="AA32" s="2"/>
    </row>
    <row r="33" spans="4:27" ht="12.75" customHeight="1" x14ac:dyDescent="0.4">
      <c r="D33" s="2"/>
      <c r="E33" s="606"/>
      <c r="F33" s="607"/>
      <c r="G33" s="2"/>
      <c r="H33" s="2"/>
      <c r="I33" s="2"/>
      <c r="J33" s="2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2"/>
      <c r="Y33" s="2"/>
      <c r="Z33" s="2"/>
      <c r="AA33" s="2"/>
    </row>
    <row r="34" spans="4:27" ht="12.75" customHeight="1" x14ac:dyDescent="0.4">
      <c r="D34" s="2"/>
      <c r="E34" s="2"/>
      <c r="F34" s="2"/>
      <c r="G34" s="2"/>
      <c r="H34" s="2"/>
      <c r="I34" s="2"/>
      <c r="J34" s="2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2"/>
      <c r="Y34" s="2"/>
      <c r="Z34" s="2"/>
      <c r="AA34" s="2"/>
    </row>
    <row r="35" spans="4:27" ht="20.25" thickBot="1" x14ac:dyDescent="0.45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4:27" ht="25.5" thickBot="1" x14ac:dyDescent="0.55000000000000004">
      <c r="D36" s="2"/>
      <c r="E36" s="885" t="s">
        <v>127</v>
      </c>
      <c r="F36" s="885"/>
      <c r="G36" s="885"/>
      <c r="H36" s="885"/>
      <c r="I36" s="885"/>
      <c r="J36" s="885"/>
      <c r="K36" s="885"/>
      <c r="L36" s="885"/>
      <c r="M36" s="885"/>
      <c r="N36" s="885"/>
      <c r="O36" s="885"/>
      <c r="P36" s="885"/>
      <c r="Q36" s="885"/>
      <c r="R36" s="885"/>
      <c r="S36" s="885"/>
      <c r="T36" s="885"/>
      <c r="U36" s="885"/>
      <c r="V36" s="885"/>
      <c r="W36" s="885"/>
      <c r="X36" s="885"/>
      <c r="Y36" s="885"/>
      <c r="Z36" s="2"/>
      <c r="AA36" s="2"/>
    </row>
    <row r="37" spans="4:27" ht="20.25" customHeight="1" thickBot="1" x14ac:dyDescent="0.45">
      <c r="D37" s="2"/>
      <c r="E37" s="625" t="s">
        <v>124</v>
      </c>
      <c r="F37" s="625"/>
      <c r="G37" s="629" t="s">
        <v>10</v>
      </c>
      <c r="H37" s="629" t="s">
        <v>108</v>
      </c>
      <c r="I37" s="629"/>
      <c r="J37" s="629"/>
      <c r="K37" s="629" t="s">
        <v>109</v>
      </c>
      <c r="L37" s="629"/>
      <c r="M37" s="629"/>
      <c r="N37" s="629"/>
      <c r="O37" s="629"/>
      <c r="P37" s="629"/>
      <c r="Q37" s="629"/>
      <c r="R37" s="629"/>
      <c r="S37" s="629"/>
      <c r="T37" s="625" t="s">
        <v>39</v>
      </c>
      <c r="U37" s="625" t="s">
        <v>10</v>
      </c>
      <c r="V37" s="629" t="s">
        <v>101</v>
      </c>
      <c r="W37" s="629"/>
      <c r="X37" s="629"/>
      <c r="Y37" s="629"/>
      <c r="Z37" s="2"/>
      <c r="AA37" s="2"/>
    </row>
    <row r="38" spans="4:27" ht="13.5" customHeight="1" thickBot="1" x14ac:dyDescent="0.45">
      <c r="D38" s="2"/>
      <c r="E38" s="625"/>
      <c r="F38" s="625"/>
      <c r="G38" s="629"/>
      <c r="H38" s="629"/>
      <c r="I38" s="629"/>
      <c r="J38" s="629"/>
      <c r="K38" s="629" t="s">
        <v>1</v>
      </c>
      <c r="L38" s="629" t="s">
        <v>3</v>
      </c>
      <c r="M38" s="629" t="s">
        <v>4</v>
      </c>
      <c r="N38" s="629" t="s">
        <v>5</v>
      </c>
      <c r="O38" s="629" t="s">
        <v>6</v>
      </c>
      <c r="P38" s="629" t="s">
        <v>8</v>
      </c>
      <c r="Q38" s="629" t="s">
        <v>7</v>
      </c>
      <c r="R38" s="629" t="s">
        <v>9</v>
      </c>
      <c r="S38" s="629" t="s">
        <v>40</v>
      </c>
      <c r="T38" s="625"/>
      <c r="U38" s="625"/>
      <c r="V38" s="625" t="s">
        <v>38</v>
      </c>
      <c r="W38" s="625" t="s">
        <v>49</v>
      </c>
      <c r="X38" s="625" t="s">
        <v>36</v>
      </c>
      <c r="Y38" s="625" t="s">
        <v>37</v>
      </c>
      <c r="Z38" s="2"/>
      <c r="AA38" s="2"/>
    </row>
    <row r="39" spans="4:27" ht="13.5" customHeight="1" thickBot="1" x14ac:dyDescent="0.45">
      <c r="D39" s="2"/>
      <c r="E39" s="625"/>
      <c r="F39" s="625"/>
      <c r="G39" s="629"/>
      <c r="H39" s="626" t="s">
        <v>110</v>
      </c>
      <c r="I39" s="627" t="s">
        <v>111</v>
      </c>
      <c r="J39" s="628" t="s">
        <v>141</v>
      </c>
      <c r="K39" s="629"/>
      <c r="L39" s="629"/>
      <c r="M39" s="629"/>
      <c r="N39" s="629"/>
      <c r="O39" s="629"/>
      <c r="P39" s="629"/>
      <c r="Q39" s="629"/>
      <c r="R39" s="629"/>
      <c r="S39" s="629"/>
      <c r="T39" s="625"/>
      <c r="U39" s="625"/>
      <c r="V39" s="625"/>
      <c r="W39" s="625"/>
      <c r="X39" s="625"/>
      <c r="Y39" s="625"/>
      <c r="Z39" s="2"/>
      <c r="AA39" s="2"/>
    </row>
    <row r="40" spans="4:27" ht="13.5" customHeight="1" thickBot="1" x14ac:dyDescent="0.45">
      <c r="D40" s="2"/>
      <c r="E40" s="625"/>
      <c r="F40" s="625"/>
      <c r="G40" s="629"/>
      <c r="H40" s="626"/>
      <c r="I40" s="627"/>
      <c r="J40" s="628"/>
      <c r="K40" s="629"/>
      <c r="L40" s="629"/>
      <c r="M40" s="629"/>
      <c r="N40" s="629"/>
      <c r="O40" s="629"/>
      <c r="P40" s="629"/>
      <c r="Q40" s="630"/>
      <c r="R40" s="629"/>
      <c r="S40" s="629"/>
      <c r="T40" s="625"/>
      <c r="U40" s="625"/>
      <c r="V40" s="625"/>
      <c r="W40" s="625"/>
      <c r="X40" s="625"/>
      <c r="Y40" s="625"/>
      <c r="Z40" s="2"/>
      <c r="AA40" s="2"/>
    </row>
    <row r="41" spans="4:27" ht="20.25" customHeight="1" thickBot="1" x14ac:dyDescent="0.45">
      <c r="D41" s="2"/>
      <c r="E41" s="624" t="s">
        <v>113</v>
      </c>
      <c r="F41" s="624"/>
      <c r="G41" s="3">
        <f>H41+I41+J41</f>
        <v>100</v>
      </c>
      <c r="H41" s="4">
        <v>80</v>
      </c>
      <c r="I41" s="5">
        <v>15</v>
      </c>
      <c r="J41" s="6">
        <f>100-H41-I41</f>
        <v>5</v>
      </c>
      <c r="K41" s="7">
        <v>13.97</v>
      </c>
      <c r="L41" s="7">
        <v>3.4</v>
      </c>
      <c r="M41" s="7">
        <v>2.16</v>
      </c>
      <c r="N41" s="7">
        <v>42.81</v>
      </c>
      <c r="O41" s="7">
        <v>1.65</v>
      </c>
      <c r="P41" s="7">
        <v>0.26</v>
      </c>
      <c r="Q41" s="7">
        <v>0.49</v>
      </c>
      <c r="R41" s="7">
        <v>0.2</v>
      </c>
      <c r="S41" s="7">
        <v>0.01</v>
      </c>
      <c r="T41" s="22">
        <f>0.786*N41+1.1*O41+0.2</f>
        <v>35.663660000000007</v>
      </c>
      <c r="U41" s="22">
        <f>SUM(K41:T41)</f>
        <v>100.61366000000001</v>
      </c>
      <c r="V41" s="22">
        <f>N41*100/(2.8*K41+1.2*L41+0.65*M41)</f>
        <v>95.986547085201792</v>
      </c>
      <c r="W41" s="22">
        <f xml:space="preserve"> N41/(K41+L41+M41)</f>
        <v>2.1920122887864824</v>
      </c>
      <c r="X41" s="22">
        <f xml:space="preserve"> K41/(L41+M41)</f>
        <v>2.5125899280575537</v>
      </c>
      <c r="Y41" s="22">
        <f>L41/M41</f>
        <v>1.574074074074074</v>
      </c>
      <c r="Z41" s="2"/>
      <c r="AA41" s="2"/>
    </row>
    <row r="42" spans="4:27" ht="20.25" customHeight="1" thickBot="1" x14ac:dyDescent="0.45">
      <c r="D42" s="2"/>
      <c r="E42" s="624" t="s">
        <v>125</v>
      </c>
      <c r="F42" s="624"/>
      <c r="G42" s="3">
        <f t="shared" ref="G42:G45" si="10">H42+I42+J42</f>
        <v>100</v>
      </c>
      <c r="H42" s="19">
        <f>H41+N52-N41</f>
        <v>80</v>
      </c>
      <c r="I42" s="20">
        <f>I41+K52-K41</f>
        <v>14.999999999999998</v>
      </c>
      <c r="J42" s="21">
        <f>100-H42-I42</f>
        <v>5.0000000000000018</v>
      </c>
      <c r="K42" s="7">
        <v>13.97</v>
      </c>
      <c r="L42" s="7">
        <v>3.4</v>
      </c>
      <c r="M42" s="7">
        <v>2.16</v>
      </c>
      <c r="N42" s="7">
        <v>42.81</v>
      </c>
      <c r="O42" s="7">
        <v>1.65</v>
      </c>
      <c r="P42" s="7">
        <v>0.26</v>
      </c>
      <c r="Q42" s="7">
        <v>0.49</v>
      </c>
      <c r="R42" s="7">
        <v>0.2</v>
      </c>
      <c r="S42" s="7">
        <v>0.01</v>
      </c>
      <c r="T42" s="22">
        <f>0.786*N42+1.1*O42+0.2</f>
        <v>35.663660000000007</v>
      </c>
      <c r="U42" s="22">
        <f>SUM(K42:T42)</f>
        <v>100.61366000000001</v>
      </c>
      <c r="V42" s="22">
        <f t="shared" ref="V42:V44" si="11">N42*100/(2.8*K42+1.2*L42+0.65*M42)</f>
        <v>95.986547085201792</v>
      </c>
      <c r="W42" s="22">
        <f t="shared" ref="W42:W44" si="12" xml:space="preserve"> N42/(K42+L42+M42)</f>
        <v>2.1920122887864824</v>
      </c>
      <c r="X42" s="22">
        <f t="shared" ref="X42:X44" si="13" xml:space="preserve"> K42/(L42+M42)</f>
        <v>2.5125899280575537</v>
      </c>
      <c r="Y42" s="22">
        <f t="shared" ref="Y42:Y44" si="14">L42/M42</f>
        <v>1.574074074074074</v>
      </c>
      <c r="Z42" s="2"/>
      <c r="AA42" s="2"/>
    </row>
    <row r="43" spans="4:27" ht="20.25" customHeight="1" thickBot="1" x14ac:dyDescent="0.45">
      <c r="D43" s="2"/>
      <c r="E43" s="624" t="s">
        <v>125</v>
      </c>
      <c r="F43" s="624"/>
      <c r="G43" s="3">
        <f t="shared" si="10"/>
        <v>100</v>
      </c>
      <c r="H43" s="19">
        <f>H42+N52-N42</f>
        <v>80</v>
      </c>
      <c r="I43" s="20">
        <f>I42+K52-K42</f>
        <v>14.999999999999998</v>
      </c>
      <c r="J43" s="21">
        <f>100-H43-I43</f>
        <v>5.0000000000000018</v>
      </c>
      <c r="K43" s="7">
        <v>13.97</v>
      </c>
      <c r="L43" s="7">
        <v>3.4</v>
      </c>
      <c r="M43" s="7">
        <v>2.16</v>
      </c>
      <c r="N43" s="7">
        <v>42.81</v>
      </c>
      <c r="O43" s="7">
        <v>1.65</v>
      </c>
      <c r="P43" s="7">
        <v>0.26</v>
      </c>
      <c r="Q43" s="7">
        <v>0.49</v>
      </c>
      <c r="R43" s="7">
        <v>0.2</v>
      </c>
      <c r="S43" s="7">
        <v>0.01</v>
      </c>
      <c r="T43" s="22">
        <f>0.786*N43+1.1*O43+0.2</f>
        <v>35.663660000000007</v>
      </c>
      <c r="U43" s="22">
        <f>SUM(K43:T43)</f>
        <v>100.61366000000001</v>
      </c>
      <c r="V43" s="22">
        <f t="shared" si="11"/>
        <v>95.986547085201792</v>
      </c>
      <c r="W43" s="22">
        <f t="shared" si="12"/>
        <v>2.1920122887864824</v>
      </c>
      <c r="X43" s="22">
        <f t="shared" si="13"/>
        <v>2.5125899280575537</v>
      </c>
      <c r="Y43" s="22">
        <f t="shared" si="14"/>
        <v>1.574074074074074</v>
      </c>
      <c r="Z43" s="2"/>
      <c r="AA43" s="2"/>
    </row>
    <row r="44" spans="4:27" ht="20.25" customHeight="1" thickBot="1" x14ac:dyDescent="0.45">
      <c r="D44" s="2"/>
      <c r="E44" s="624" t="s">
        <v>125</v>
      </c>
      <c r="F44" s="624"/>
      <c r="G44" s="3">
        <f t="shared" si="10"/>
        <v>100</v>
      </c>
      <c r="H44" s="19">
        <f>H43+N52-N43</f>
        <v>80</v>
      </c>
      <c r="I44" s="20">
        <f>I43+K52-K43</f>
        <v>14.999999999999998</v>
      </c>
      <c r="J44" s="21">
        <f>100-H44-I44</f>
        <v>5.0000000000000018</v>
      </c>
      <c r="K44" s="7">
        <v>13.97</v>
      </c>
      <c r="L44" s="7">
        <v>3.4</v>
      </c>
      <c r="M44" s="7">
        <v>2.16</v>
      </c>
      <c r="N44" s="7">
        <v>42.81</v>
      </c>
      <c r="O44" s="7">
        <v>1.65</v>
      </c>
      <c r="P44" s="7">
        <v>0.26</v>
      </c>
      <c r="Q44" s="7">
        <v>0.49</v>
      </c>
      <c r="R44" s="7">
        <v>0.2</v>
      </c>
      <c r="S44" s="7">
        <v>0.01</v>
      </c>
      <c r="T44" s="22">
        <f>0.786*N44+1.1*O44+0.2</f>
        <v>35.663660000000007</v>
      </c>
      <c r="U44" s="22">
        <f>SUM(K44:T44)</f>
        <v>100.61366000000001</v>
      </c>
      <c r="V44" s="22">
        <f t="shared" si="11"/>
        <v>95.986547085201792</v>
      </c>
      <c r="W44" s="22">
        <f t="shared" si="12"/>
        <v>2.1920122887864824</v>
      </c>
      <c r="X44" s="22">
        <f t="shared" si="13"/>
        <v>2.5125899280575537</v>
      </c>
      <c r="Y44" s="22">
        <f t="shared" si="14"/>
        <v>1.574074074074074</v>
      </c>
      <c r="Z44" s="2"/>
      <c r="AA44" s="2"/>
    </row>
    <row r="45" spans="4:27" ht="20.25" customHeight="1" thickBot="1" x14ac:dyDescent="0.45">
      <c r="D45" s="2"/>
      <c r="E45" s="624" t="s">
        <v>125</v>
      </c>
      <c r="F45" s="624"/>
      <c r="G45" s="3">
        <f t="shared" si="10"/>
        <v>100</v>
      </c>
      <c r="H45" s="19">
        <f>H44+N52-N44</f>
        <v>80</v>
      </c>
      <c r="I45" s="20">
        <f>I44+K52-K44</f>
        <v>14.999999999999998</v>
      </c>
      <c r="J45" s="21">
        <f>100-H45-I45</f>
        <v>5.0000000000000018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4:27" ht="23.25" thickBot="1" x14ac:dyDescent="0.45">
      <c r="D46" s="2"/>
      <c r="E46" s="888" t="s">
        <v>114</v>
      </c>
      <c r="F46" s="888"/>
      <c r="G46" s="888"/>
      <c r="H46" s="23">
        <f t="shared" ref="H46:Y46" si="15">AVERAGE(H41:H44)</f>
        <v>80</v>
      </c>
      <c r="I46" s="23">
        <f t="shared" si="15"/>
        <v>15</v>
      </c>
      <c r="J46" s="23">
        <f t="shared" si="15"/>
        <v>5.0000000000000018</v>
      </c>
      <c r="K46" s="24">
        <f t="shared" si="15"/>
        <v>13.97</v>
      </c>
      <c r="L46" s="24">
        <f t="shared" si="15"/>
        <v>3.4</v>
      </c>
      <c r="M46" s="24">
        <f t="shared" si="15"/>
        <v>2.16</v>
      </c>
      <c r="N46" s="24">
        <f t="shared" si="15"/>
        <v>42.81</v>
      </c>
      <c r="O46" s="24">
        <f t="shared" si="15"/>
        <v>1.65</v>
      </c>
      <c r="P46" s="24">
        <f t="shared" si="15"/>
        <v>0.26</v>
      </c>
      <c r="Q46" s="24">
        <f t="shared" si="15"/>
        <v>0.49</v>
      </c>
      <c r="R46" s="24">
        <f t="shared" si="15"/>
        <v>0.2</v>
      </c>
      <c r="S46" s="24">
        <f t="shared" si="15"/>
        <v>0.01</v>
      </c>
      <c r="T46" s="24">
        <f t="shared" si="15"/>
        <v>35.663660000000007</v>
      </c>
      <c r="U46" s="24">
        <f t="shared" si="15"/>
        <v>100.61366000000001</v>
      </c>
      <c r="V46" s="24">
        <f t="shared" si="15"/>
        <v>95.986547085201792</v>
      </c>
      <c r="W46" s="24">
        <f t="shared" si="15"/>
        <v>2.1920122887864824</v>
      </c>
      <c r="X46" s="24">
        <f t="shared" si="15"/>
        <v>2.5125899280575537</v>
      </c>
      <c r="Y46" s="24">
        <f t="shared" si="15"/>
        <v>1.574074074074074</v>
      </c>
      <c r="Z46" s="2"/>
      <c r="AA46" s="2"/>
    </row>
    <row r="47" spans="4:27" ht="23.25" thickBot="1" x14ac:dyDescent="0.45">
      <c r="D47" s="2"/>
      <c r="E47" s="888" t="s">
        <v>115</v>
      </c>
      <c r="F47" s="888"/>
      <c r="G47" s="888"/>
      <c r="H47" s="14"/>
      <c r="I47" s="15"/>
      <c r="J47" s="15"/>
      <c r="K47" s="16"/>
      <c r="L47" s="16"/>
      <c r="M47" s="16"/>
      <c r="N47" s="16"/>
      <c r="O47" s="16"/>
      <c r="P47" s="16"/>
      <c r="Q47" s="16"/>
      <c r="R47" s="16"/>
      <c r="S47" s="17"/>
      <c r="T47" s="24">
        <f t="shared" ref="T47" si="16">STDEV(T41:T44)</f>
        <v>0</v>
      </c>
      <c r="U47" s="13"/>
      <c r="V47" s="24">
        <f t="shared" ref="V47:Y47" si="17">STDEV(V41:V44)</f>
        <v>0</v>
      </c>
      <c r="W47" s="24">
        <f t="shared" si="17"/>
        <v>0</v>
      </c>
      <c r="X47" s="24">
        <f t="shared" si="17"/>
        <v>0</v>
      </c>
      <c r="Y47" s="24">
        <f t="shared" si="17"/>
        <v>0</v>
      </c>
      <c r="Z47" s="2"/>
      <c r="AA47" s="2"/>
    </row>
    <row r="48" spans="4:27" ht="23.25" thickBot="1" x14ac:dyDescent="0.45">
      <c r="D48" s="2"/>
      <c r="E48" s="888" t="s">
        <v>116</v>
      </c>
      <c r="F48" s="888"/>
      <c r="G48" s="888"/>
      <c r="H48" s="23">
        <f t="shared" ref="H48:Y48" si="18">MIN(H41:H44)</f>
        <v>80</v>
      </c>
      <c r="I48" s="23">
        <f t="shared" si="18"/>
        <v>14.999999999999998</v>
      </c>
      <c r="J48" s="23">
        <f t="shared" si="18"/>
        <v>5</v>
      </c>
      <c r="K48" s="24">
        <f t="shared" si="18"/>
        <v>13.97</v>
      </c>
      <c r="L48" s="24">
        <f t="shared" si="18"/>
        <v>3.4</v>
      </c>
      <c r="M48" s="24">
        <f t="shared" si="18"/>
        <v>2.16</v>
      </c>
      <c r="N48" s="24">
        <f t="shared" si="18"/>
        <v>42.81</v>
      </c>
      <c r="O48" s="24">
        <f t="shared" si="18"/>
        <v>1.65</v>
      </c>
      <c r="P48" s="24">
        <f t="shared" si="18"/>
        <v>0.26</v>
      </c>
      <c r="Q48" s="24">
        <f t="shared" si="18"/>
        <v>0.49</v>
      </c>
      <c r="R48" s="24">
        <f t="shared" si="18"/>
        <v>0.2</v>
      </c>
      <c r="S48" s="24">
        <f t="shared" si="18"/>
        <v>0.01</v>
      </c>
      <c r="T48" s="24">
        <f t="shared" si="18"/>
        <v>35.663660000000007</v>
      </c>
      <c r="U48" s="24">
        <f t="shared" si="18"/>
        <v>100.61366000000001</v>
      </c>
      <c r="V48" s="24">
        <f t="shared" si="18"/>
        <v>95.986547085201792</v>
      </c>
      <c r="W48" s="24">
        <f t="shared" si="18"/>
        <v>2.1920122887864824</v>
      </c>
      <c r="X48" s="24">
        <f t="shared" si="18"/>
        <v>2.5125899280575537</v>
      </c>
      <c r="Y48" s="24">
        <f t="shared" si="18"/>
        <v>1.574074074074074</v>
      </c>
      <c r="Z48" s="2"/>
      <c r="AA48" s="2"/>
    </row>
    <row r="49" spans="4:27" ht="23.25" thickBot="1" x14ac:dyDescent="0.45">
      <c r="D49" s="2"/>
      <c r="E49" s="888" t="s">
        <v>117</v>
      </c>
      <c r="F49" s="888"/>
      <c r="G49" s="888"/>
      <c r="H49" s="23">
        <f t="shared" ref="H49:Y49" si="19">MAX(H41:H44)</f>
        <v>80</v>
      </c>
      <c r="I49" s="23">
        <f t="shared" si="19"/>
        <v>15</v>
      </c>
      <c r="J49" s="23">
        <f t="shared" si="19"/>
        <v>5.0000000000000018</v>
      </c>
      <c r="K49" s="25">
        <f t="shared" si="19"/>
        <v>13.97</v>
      </c>
      <c r="L49" s="25">
        <f t="shared" si="19"/>
        <v>3.4</v>
      </c>
      <c r="M49" s="25">
        <f t="shared" si="19"/>
        <v>2.16</v>
      </c>
      <c r="N49" s="25">
        <f t="shared" si="19"/>
        <v>42.81</v>
      </c>
      <c r="O49" s="25">
        <f t="shared" si="19"/>
        <v>1.65</v>
      </c>
      <c r="P49" s="25">
        <f t="shared" si="19"/>
        <v>0.26</v>
      </c>
      <c r="Q49" s="25">
        <f t="shared" si="19"/>
        <v>0.49</v>
      </c>
      <c r="R49" s="25">
        <f t="shared" si="19"/>
        <v>0.2</v>
      </c>
      <c r="S49" s="25">
        <f t="shared" si="19"/>
        <v>0.01</v>
      </c>
      <c r="T49" s="25">
        <f t="shared" si="19"/>
        <v>35.663660000000007</v>
      </c>
      <c r="U49" s="25">
        <f t="shared" si="19"/>
        <v>100.61366000000001</v>
      </c>
      <c r="V49" s="25">
        <f t="shared" si="19"/>
        <v>95.986547085201792</v>
      </c>
      <c r="W49" s="25">
        <f t="shared" si="19"/>
        <v>2.1920122887864824</v>
      </c>
      <c r="X49" s="25">
        <f t="shared" si="19"/>
        <v>2.5125899280575537</v>
      </c>
      <c r="Y49" s="25">
        <f t="shared" si="19"/>
        <v>1.574074074074074</v>
      </c>
      <c r="Z49" s="2"/>
      <c r="AA49" s="2"/>
    </row>
    <row r="50" spans="4:27" ht="24" thickTop="1" thickBot="1" x14ac:dyDescent="0.5">
      <c r="D50" s="2"/>
      <c r="E50" s="2"/>
      <c r="F50" s="2"/>
      <c r="G50" s="2"/>
      <c r="H50" s="2"/>
      <c r="I50" s="2"/>
      <c r="J50" s="2"/>
      <c r="K50" s="893" t="s">
        <v>118</v>
      </c>
      <c r="L50" s="893"/>
      <c r="M50" s="893"/>
      <c r="N50" s="893"/>
      <c r="O50" s="893"/>
      <c r="P50" s="893"/>
      <c r="Q50" s="893"/>
      <c r="R50" s="893"/>
      <c r="S50" s="893"/>
      <c r="T50" s="893"/>
      <c r="U50" s="893"/>
      <c r="V50" s="893"/>
      <c r="W50" s="893"/>
      <c r="X50" s="893"/>
      <c r="Y50" s="893"/>
      <c r="Z50" s="2"/>
      <c r="AA50" s="2"/>
    </row>
    <row r="51" spans="4:27" ht="24" thickTop="1" thickBot="1" x14ac:dyDescent="0.45">
      <c r="D51" s="2"/>
      <c r="E51" s="2"/>
      <c r="F51" s="894" t="s">
        <v>119</v>
      </c>
      <c r="G51" s="894"/>
      <c r="H51" s="894"/>
      <c r="I51" s="2"/>
      <c r="J51" s="2"/>
      <c r="K51" s="31" t="s">
        <v>1</v>
      </c>
      <c r="L51" s="31" t="s">
        <v>3</v>
      </c>
      <c r="M51" s="31" t="s">
        <v>4</v>
      </c>
      <c r="N51" s="31" t="s">
        <v>5</v>
      </c>
      <c r="O51" s="31" t="s">
        <v>6</v>
      </c>
      <c r="P51" s="31" t="s">
        <v>8</v>
      </c>
      <c r="Q51" s="31" t="s">
        <v>7</v>
      </c>
      <c r="R51" s="31" t="s">
        <v>9</v>
      </c>
      <c r="S51" s="31" t="s">
        <v>40</v>
      </c>
      <c r="T51" s="32" t="s">
        <v>39</v>
      </c>
      <c r="U51" s="32" t="s">
        <v>10</v>
      </c>
      <c r="V51" s="32" t="s">
        <v>38</v>
      </c>
      <c r="W51" s="32" t="s">
        <v>49</v>
      </c>
      <c r="X51" s="32" t="s">
        <v>36</v>
      </c>
      <c r="Y51" s="32" t="s">
        <v>37</v>
      </c>
      <c r="Z51" s="2"/>
      <c r="AA51" s="2"/>
    </row>
    <row r="52" spans="4:27" ht="21" thickTop="1" thickBot="1" x14ac:dyDescent="0.45">
      <c r="D52" s="2"/>
      <c r="E52" s="2"/>
      <c r="F52" s="619" t="s">
        <v>38</v>
      </c>
      <c r="G52" s="619"/>
      <c r="H52" s="27">
        <f>V52</f>
        <v>95.986547085201792</v>
      </c>
      <c r="I52" s="2"/>
      <c r="J52" s="2"/>
      <c r="K52" s="8">
        <v>13.97</v>
      </c>
      <c r="L52" s="8">
        <v>3.4</v>
      </c>
      <c r="M52" s="8">
        <v>2.16</v>
      </c>
      <c r="N52" s="8">
        <v>42.81</v>
      </c>
      <c r="O52" s="8">
        <v>1.65</v>
      </c>
      <c r="P52" s="8">
        <v>0.26</v>
      </c>
      <c r="Q52" s="8">
        <v>0.49</v>
      </c>
      <c r="R52" s="8">
        <v>0.2</v>
      </c>
      <c r="S52" s="8">
        <v>0.01</v>
      </c>
      <c r="T52" s="26">
        <f>0.786*N52+1.1*O52+0.2</f>
        <v>35.663660000000007</v>
      </c>
      <c r="U52" s="26">
        <f>SUM(K52:T52)</f>
        <v>100.61366000000001</v>
      </c>
      <c r="V52" s="27">
        <f>N52*100/(2.8*K52+1.2*L52+0.65*M52)</f>
        <v>95.986547085201792</v>
      </c>
      <c r="W52" s="26">
        <f>N52/(K52+L52+M52)</f>
        <v>2.1920122887864824</v>
      </c>
      <c r="X52" s="27">
        <f>K52/(L52+M52)</f>
        <v>2.5125899280575537</v>
      </c>
      <c r="Y52" s="27">
        <f>L52/M52</f>
        <v>1.574074074074074</v>
      </c>
      <c r="Z52" s="2"/>
      <c r="AA52" s="2"/>
    </row>
    <row r="53" spans="4:27" ht="24" thickTop="1" thickBot="1" x14ac:dyDescent="0.45">
      <c r="D53" s="2"/>
      <c r="E53" s="2"/>
      <c r="F53" s="619" t="s">
        <v>36</v>
      </c>
      <c r="G53" s="619"/>
      <c r="H53" s="27">
        <f>X52</f>
        <v>2.5125899280575537</v>
      </c>
      <c r="I53" s="2"/>
      <c r="J53" s="2"/>
      <c r="K53" s="620" t="s">
        <v>122</v>
      </c>
      <c r="L53" s="620"/>
      <c r="M53" s="620"/>
      <c r="N53" s="620"/>
      <c r="O53" s="620"/>
      <c r="P53" s="620"/>
      <c r="Q53" s="620"/>
      <c r="R53" s="620"/>
      <c r="S53" s="620"/>
      <c r="T53" s="620"/>
      <c r="U53" s="620"/>
      <c r="V53" s="620"/>
      <c r="W53" s="620"/>
      <c r="X53" s="620"/>
      <c r="Y53" s="620"/>
      <c r="Z53" s="2"/>
      <c r="AA53" s="2"/>
    </row>
    <row r="54" spans="4:27" ht="24" thickTop="1" thickBot="1" x14ac:dyDescent="0.45">
      <c r="D54" s="2"/>
      <c r="E54" s="2"/>
      <c r="F54" s="621" t="s">
        <v>45</v>
      </c>
      <c r="G54" s="622"/>
      <c r="H54" s="35">
        <v>2.1000000000000001E-2</v>
      </c>
      <c r="I54" s="2"/>
      <c r="J54" s="2"/>
      <c r="K54" s="9">
        <v>51.910012874140349</v>
      </c>
      <c r="L54" s="9">
        <v>24.189980517995103</v>
      </c>
      <c r="M54" s="9">
        <v>6.7227097100043149</v>
      </c>
      <c r="N54" s="9">
        <v>8.1274517505998443</v>
      </c>
      <c r="O54" s="9">
        <v>1.1075203400231253</v>
      </c>
      <c r="P54" s="9">
        <v>0.2</v>
      </c>
      <c r="Q54" s="9">
        <v>0.9</v>
      </c>
      <c r="R54" s="9">
        <v>4.2</v>
      </c>
      <c r="S54" s="9">
        <v>0.01</v>
      </c>
      <c r="T54" s="9">
        <v>1.5</v>
      </c>
      <c r="U54" s="28">
        <f>SUM(K54:T54)</f>
        <v>98.867675192762746</v>
      </c>
      <c r="V54" s="28">
        <f t="shared" ref="V54" si="20">N54*100/(2.8*K54+1.2*L54+0.65*M54)</f>
        <v>4.5469336530875761</v>
      </c>
      <c r="W54" s="28">
        <f t="shared" ref="W54" si="21">N54/(K54+L54+M54)</f>
        <v>9.8130723173533663E-2</v>
      </c>
      <c r="X54" s="28">
        <f t="shared" ref="X54" si="22">K54/(L54+M54)</f>
        <v>1.6792460472146948</v>
      </c>
      <c r="Y54" s="28">
        <f t="shared" ref="Y54" si="23">L54/M54</f>
        <v>3.5982485577202734</v>
      </c>
      <c r="Z54" s="2"/>
      <c r="AA54" s="2"/>
    </row>
    <row r="55" spans="4:27" ht="24" thickTop="1" thickBot="1" x14ac:dyDescent="0.5">
      <c r="D55" s="2"/>
      <c r="E55" s="2"/>
      <c r="F55" s="609" t="s">
        <v>120</v>
      </c>
      <c r="G55" s="609"/>
      <c r="H55" s="34" t="s">
        <v>131</v>
      </c>
      <c r="I55" s="2"/>
      <c r="J55" s="2"/>
      <c r="K55" s="610" t="s">
        <v>121</v>
      </c>
      <c r="L55" s="610"/>
      <c r="M55" s="610"/>
      <c r="N55" s="610"/>
      <c r="O55" s="610"/>
      <c r="P55" s="610"/>
      <c r="Q55" s="610"/>
      <c r="R55" s="610"/>
      <c r="S55" s="610"/>
      <c r="T55" s="610"/>
      <c r="U55" s="610"/>
      <c r="V55" s="610"/>
      <c r="W55" s="610"/>
      <c r="X55" s="610"/>
      <c r="Y55" s="610"/>
      <c r="Z55" s="37"/>
      <c r="AA55" s="2"/>
    </row>
    <row r="56" spans="4:27" ht="24" thickTop="1" thickBot="1" x14ac:dyDescent="0.45">
      <c r="D56" s="2"/>
      <c r="E56" s="2"/>
      <c r="F56" s="2"/>
      <c r="G56" s="2"/>
      <c r="H56" s="2"/>
      <c r="I56" s="2"/>
      <c r="J56" s="2"/>
      <c r="K56" s="31" t="s">
        <v>1</v>
      </c>
      <c r="L56" s="31" t="s">
        <v>3</v>
      </c>
      <c r="M56" s="31" t="s">
        <v>4</v>
      </c>
      <c r="N56" s="31" t="s">
        <v>5</v>
      </c>
      <c r="O56" s="31" t="s">
        <v>6</v>
      </c>
      <c r="P56" s="31" t="s">
        <v>8</v>
      </c>
      <c r="Q56" s="31" t="s">
        <v>7</v>
      </c>
      <c r="R56" s="31" t="s">
        <v>9</v>
      </c>
      <c r="S56" s="31" t="s">
        <v>40</v>
      </c>
      <c r="T56" s="611" t="s">
        <v>10</v>
      </c>
      <c r="U56" s="611"/>
      <c r="V56" s="32" t="s">
        <v>38</v>
      </c>
      <c r="W56" s="32" t="s">
        <v>49</v>
      </c>
      <c r="X56" s="32" t="s">
        <v>36</v>
      </c>
      <c r="Y56" s="32" t="s">
        <v>37</v>
      </c>
      <c r="Z56" s="2"/>
      <c r="AA56" s="2"/>
    </row>
    <row r="57" spans="4:27" ht="21" thickTop="1" thickBot="1" x14ac:dyDescent="0.45">
      <c r="D57" s="2"/>
      <c r="E57" s="2"/>
      <c r="F57" s="2"/>
      <c r="G57" s="2"/>
      <c r="H57" s="2"/>
      <c r="I57" s="2"/>
      <c r="J57" s="2"/>
      <c r="K57" s="26">
        <f>(1/(1-T52/100))*K52*(1-H54)+K54*H54</f>
        <v>22.348127123662564</v>
      </c>
      <c r="L57" s="26">
        <f>(1/(1-T52/100))*L52*(1-H54)+L54*H54</f>
        <v>5.6817374291913598</v>
      </c>
      <c r="M57" s="26">
        <f>(1/(1-T52/100))*M52*(1-H54)+M54*H54</f>
        <v>3.4280284717798204</v>
      </c>
      <c r="N57" s="26">
        <f>(1/(1-T52/100))*N52*(1-H54)+N54*H54</f>
        <v>65.314248533291831</v>
      </c>
      <c r="O57" s="26">
        <f>(1/(1-T52/100))*O52*(1-H54)+O54*H54</f>
        <v>2.534047319263196</v>
      </c>
      <c r="P57" s="26">
        <f>(1/(1-T52/100))*P52*(1-H54)+P54*H54</f>
        <v>0.3998395405769119</v>
      </c>
      <c r="Q57" s="26">
        <f t="shared" ref="Q57" si="24">(1/(1-Z52/100))*Q52*(1-N59)+Q54*N59</f>
        <v>0.49</v>
      </c>
      <c r="R57" s="26">
        <f>(1/(1-T52/100))*R52*(1-H54)+R54*H54</f>
        <v>0.39253810813608614</v>
      </c>
      <c r="S57" s="26">
        <f>(1/(1-T52/100))*S52*(1-H54)+S54*H54</f>
        <v>1.5426905406804305E-2</v>
      </c>
      <c r="T57" s="612">
        <f>SUM(K57:S57)</f>
        <v>100.60399343130855</v>
      </c>
      <c r="U57" s="612"/>
      <c r="V57" s="27">
        <f>N57*100/(2.8*K57+1.2*L57+0.65*M57)</f>
        <v>91.194194989144691</v>
      </c>
      <c r="W57" s="26">
        <f>N57/(K57+L57+M57)</f>
        <v>2.0762435831969475</v>
      </c>
      <c r="X57" s="27">
        <f>K57/(L57+M57)</f>
        <v>2.4532054244423627</v>
      </c>
      <c r="Y57" s="27">
        <f>L57/M57</f>
        <v>1.657435892369185</v>
      </c>
      <c r="Z57" s="2"/>
      <c r="AA57" s="2"/>
    </row>
    <row r="58" spans="4:27" ht="21" customHeight="1" thickTop="1" thickBot="1" x14ac:dyDescent="0.5">
      <c r="D58" s="2"/>
      <c r="E58" s="2"/>
      <c r="F58" s="2"/>
      <c r="G58" s="2"/>
      <c r="H58" s="2"/>
      <c r="I58" s="2"/>
      <c r="J58" s="2"/>
      <c r="K58" s="890" t="s">
        <v>148</v>
      </c>
      <c r="L58" s="890" t="s">
        <v>50</v>
      </c>
      <c r="M58" s="891" t="s">
        <v>146</v>
      </c>
      <c r="N58" s="892" t="s">
        <v>52</v>
      </c>
      <c r="O58" s="892" t="s">
        <v>53</v>
      </c>
      <c r="P58" s="887" t="s">
        <v>54</v>
      </c>
      <c r="Q58" s="887"/>
      <c r="R58" s="887"/>
      <c r="S58" s="887"/>
      <c r="T58" s="886" t="s">
        <v>132</v>
      </c>
      <c r="U58" s="886" t="s">
        <v>55</v>
      </c>
      <c r="V58" s="886" t="s">
        <v>126</v>
      </c>
      <c r="W58" s="886" t="s">
        <v>56</v>
      </c>
      <c r="X58" s="887" t="s">
        <v>57</v>
      </c>
      <c r="Y58" s="887"/>
      <c r="Z58" s="2"/>
      <c r="AA58" s="2"/>
    </row>
    <row r="59" spans="4:27" ht="24" thickTop="1" thickBot="1" x14ac:dyDescent="0.45">
      <c r="D59" s="2"/>
      <c r="E59" s="2"/>
      <c r="F59" s="2"/>
      <c r="G59" s="2"/>
      <c r="H59" s="2"/>
      <c r="I59" s="2"/>
      <c r="J59" s="2"/>
      <c r="K59" s="890"/>
      <c r="L59" s="890"/>
      <c r="M59" s="891"/>
      <c r="N59" s="892"/>
      <c r="O59" s="892"/>
      <c r="P59" s="74" t="s">
        <v>58</v>
      </c>
      <c r="Q59" s="74" t="s">
        <v>59</v>
      </c>
      <c r="R59" s="74" t="s">
        <v>60</v>
      </c>
      <c r="S59" s="74" t="s">
        <v>61</v>
      </c>
      <c r="T59" s="886"/>
      <c r="U59" s="886"/>
      <c r="V59" s="886"/>
      <c r="W59" s="886"/>
      <c r="X59" s="74" t="s">
        <v>62</v>
      </c>
      <c r="Y59" s="74" t="s">
        <v>39</v>
      </c>
      <c r="Z59" s="2"/>
      <c r="AA59" s="2"/>
    </row>
    <row r="60" spans="4:27" ht="21" thickTop="1" thickBot="1" x14ac:dyDescent="0.45">
      <c r="D60" s="2"/>
      <c r="E60" s="2"/>
      <c r="F60" s="2"/>
      <c r="G60" s="2"/>
      <c r="H60" s="2"/>
      <c r="I60" s="2"/>
      <c r="J60" s="2"/>
      <c r="K60" s="10">
        <v>1.25</v>
      </c>
      <c r="L60" s="10">
        <v>1.8</v>
      </c>
      <c r="M60" s="12" t="s">
        <v>129</v>
      </c>
      <c r="N60" s="26">
        <f>((O60/100)-(Y60/100))/((O60/100)-(O60/100)*(Y60/100))*100</f>
        <v>96.166062000057735</v>
      </c>
      <c r="O60" s="11">
        <v>34.39</v>
      </c>
      <c r="P60" s="27">
        <f>4.071*(N57-L60)-7.6024*K57-6.718*L57-1.4297*M57</f>
        <v>45.596139778687601</v>
      </c>
      <c r="Q60" s="27">
        <f>8.6024*K57+5.0683*L57+1.0785*M57-3.071*(N57-L60)</f>
        <v>29.689150042040694</v>
      </c>
      <c r="R60" s="27">
        <f>2.65*L57-1.692*M57</f>
        <v>9.2563800131056464</v>
      </c>
      <c r="S60" s="27">
        <f>3.0432*M57</f>
        <v>10.432176245320349</v>
      </c>
      <c r="T60" s="26">
        <f>R57/(Q57+0.5*P57)</f>
        <v>0.56896196491363871</v>
      </c>
      <c r="U60" s="26">
        <f>P57+(0.658*Q57)</f>
        <v>0.72225954057691188</v>
      </c>
      <c r="V60" s="26">
        <f>3*L57+2.25*M57+O57+P57+Q57+R57</f>
        <v>28.57470131705487</v>
      </c>
      <c r="W60" s="26">
        <f>R60+S60+(Q60*0.2)+(2*M57)</f>
        <v>32.482443210393775</v>
      </c>
      <c r="X60" s="11">
        <v>1</v>
      </c>
      <c r="Y60" s="10">
        <v>1.97</v>
      </c>
      <c r="Z60" s="2"/>
      <c r="AA60" s="2"/>
    </row>
    <row r="61" spans="4:27" ht="20.25" thickTop="1" x14ac:dyDescent="0.4">
      <c r="D61" s="2"/>
      <c r="E61" s="2"/>
      <c r="F61" s="2"/>
      <c r="G61" s="2"/>
      <c r="H61" s="37"/>
      <c r="I61" s="37"/>
      <c r="J61" s="37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4:27" x14ac:dyDescent="0.4">
      <c r="D62" s="2"/>
      <c r="E62" s="2"/>
      <c r="F62" s="2"/>
      <c r="G62" s="2"/>
      <c r="H62" s="37"/>
      <c r="I62" s="37"/>
      <c r="J62" s="37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4:27" x14ac:dyDescent="0.4">
      <c r="D63" s="2"/>
      <c r="E63" s="2"/>
      <c r="F63" s="2"/>
      <c r="G63" s="2"/>
      <c r="H63" s="37"/>
      <c r="I63" s="37"/>
      <c r="J63" s="37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4:27" x14ac:dyDescent="0.4">
      <c r="D64" s="2"/>
      <c r="E64" s="2"/>
      <c r="F64" s="2"/>
      <c r="G64" s="2"/>
      <c r="H64" s="37"/>
      <c r="I64" s="37"/>
      <c r="J64" s="3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</sheetData>
  <mergeCells count="109">
    <mergeCell ref="E3:Y3"/>
    <mergeCell ref="T56:U56"/>
    <mergeCell ref="T57:U57"/>
    <mergeCell ref="K58:K59"/>
    <mergeCell ref="L58:L59"/>
    <mergeCell ref="M58:M59"/>
    <mergeCell ref="N58:N59"/>
    <mergeCell ref="O58:O59"/>
    <mergeCell ref="P58:S58"/>
    <mergeCell ref="T58:T59"/>
    <mergeCell ref="U58:U59"/>
    <mergeCell ref="F53:G53"/>
    <mergeCell ref="K53:Y53"/>
    <mergeCell ref="F54:G54"/>
    <mergeCell ref="F55:G55"/>
    <mergeCell ref="K55:Y55"/>
    <mergeCell ref="E48:G48"/>
    <mergeCell ref="E49:G49"/>
    <mergeCell ref="K50:Y50"/>
    <mergeCell ref="F51:H51"/>
    <mergeCell ref="F52:G52"/>
    <mergeCell ref="E47:G47"/>
    <mergeCell ref="H39:H40"/>
    <mergeCell ref="I39:I40"/>
    <mergeCell ref="J39:J40"/>
    <mergeCell ref="E41:F41"/>
    <mergeCell ref="E42:F42"/>
    <mergeCell ref="V58:V59"/>
    <mergeCell ref="W58:W59"/>
    <mergeCell ref="X58:Y58"/>
    <mergeCell ref="N38:N40"/>
    <mergeCell ref="O38:O40"/>
    <mergeCell ref="P38:P40"/>
    <mergeCell ref="Q38:Q40"/>
    <mergeCell ref="R38:R40"/>
    <mergeCell ref="E43:F43"/>
    <mergeCell ref="E44:F44"/>
    <mergeCell ref="E45:F45"/>
    <mergeCell ref="E46:G46"/>
    <mergeCell ref="H8:H9"/>
    <mergeCell ref="I8:I9"/>
    <mergeCell ref="J8:J9"/>
    <mergeCell ref="E4:Y5"/>
    <mergeCell ref="K6:S7"/>
    <mergeCell ref="K8:K9"/>
    <mergeCell ref="L8:L9"/>
    <mergeCell ref="V6:Y7"/>
    <mergeCell ref="S38:S40"/>
    <mergeCell ref="V38:V40"/>
    <mergeCell ref="W38:W40"/>
    <mergeCell ref="X38:X40"/>
    <mergeCell ref="Y38:Y40"/>
    <mergeCell ref="E36:Y36"/>
    <mergeCell ref="E37:F40"/>
    <mergeCell ref="G37:G40"/>
    <mergeCell ref="H37:J38"/>
    <mergeCell ref="K37:S37"/>
    <mergeCell ref="T37:T40"/>
    <mergeCell ref="U37:U40"/>
    <mergeCell ref="V37:Y37"/>
    <mergeCell ref="K38:K40"/>
    <mergeCell ref="L38:L40"/>
    <mergeCell ref="M38:M40"/>
    <mergeCell ref="K15:Y15"/>
    <mergeCell ref="F19:G19"/>
    <mergeCell ref="F20:G20"/>
    <mergeCell ref="E10:F10"/>
    <mergeCell ref="E11:F11"/>
    <mergeCell ref="E12:F12"/>
    <mergeCell ref="E13:F13"/>
    <mergeCell ref="E14:F14"/>
    <mergeCell ref="M8:M9"/>
    <mergeCell ref="N8:N9"/>
    <mergeCell ref="O8:O9"/>
    <mergeCell ref="P8:P9"/>
    <mergeCell ref="Q8:Q9"/>
    <mergeCell ref="R8:R9"/>
    <mergeCell ref="S8:S9"/>
    <mergeCell ref="V8:V9"/>
    <mergeCell ref="W8:W9"/>
    <mergeCell ref="X8:X9"/>
    <mergeCell ref="Y8:Y9"/>
    <mergeCell ref="E6:F9"/>
    <mergeCell ref="G6:G9"/>
    <mergeCell ref="H6:J7"/>
    <mergeCell ref="T6:T9"/>
    <mergeCell ref="U6:U9"/>
    <mergeCell ref="E32:E33"/>
    <mergeCell ref="F32:F33"/>
    <mergeCell ref="X23:Y23"/>
    <mergeCell ref="F16:H16"/>
    <mergeCell ref="F17:G17"/>
    <mergeCell ref="F18:G18"/>
    <mergeCell ref="O23:O24"/>
    <mergeCell ref="P23:S23"/>
    <mergeCell ref="T23:T24"/>
    <mergeCell ref="U23:U24"/>
    <mergeCell ref="V23:V24"/>
    <mergeCell ref="W23:W24"/>
    <mergeCell ref="K23:K24"/>
    <mergeCell ref="L23:L24"/>
    <mergeCell ref="M23:M24"/>
    <mergeCell ref="N23:N24"/>
    <mergeCell ref="T21:U21"/>
    <mergeCell ref="T22:U22"/>
    <mergeCell ref="K18:Y18"/>
    <mergeCell ref="K20:Y20"/>
    <mergeCell ref="N31:O32"/>
    <mergeCell ref="K31:K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499984740745262"/>
  </sheetPr>
  <dimension ref="B1:AS46"/>
  <sheetViews>
    <sheetView topLeftCell="A5" zoomScale="70" zoomScaleNormal="70" workbookViewId="0">
      <selection activeCell="L14" sqref="L14"/>
    </sheetView>
  </sheetViews>
  <sheetFormatPr defaultRowHeight="19.5" x14ac:dyDescent="0.4"/>
  <cols>
    <col min="1" max="2" width="9.140625" style="36"/>
    <col min="3" max="3" width="11.42578125" style="36" bestFit="1" customWidth="1"/>
    <col min="4" max="4" width="5.28515625" style="36" customWidth="1"/>
    <col min="5" max="5" width="24.7109375" style="36" customWidth="1"/>
    <col min="6" max="6" width="19.85546875" style="36" bestFit="1" customWidth="1"/>
    <col min="7" max="7" width="17.140625" style="36" customWidth="1"/>
    <col min="8" max="8" width="16.7109375" style="36" bestFit="1" customWidth="1"/>
    <col min="9" max="9" width="17.28515625" style="36" bestFit="1" customWidth="1"/>
    <col min="10" max="10" width="17.28515625" style="36" customWidth="1"/>
    <col min="11" max="11" width="9.140625" style="36"/>
    <col min="12" max="12" width="10" style="36" bestFit="1" customWidth="1"/>
    <col min="13" max="13" width="12.42578125" style="36" customWidth="1"/>
    <col min="14" max="16" width="9.140625" style="36"/>
    <col min="17" max="18" width="16.7109375" style="36" bestFit="1" customWidth="1"/>
    <col min="19" max="28" width="9.140625" style="36"/>
    <col min="29" max="29" width="28.5703125" style="36" customWidth="1"/>
    <col min="30" max="31" width="9.140625" style="36"/>
    <col min="32" max="32" width="18.85546875" style="36" customWidth="1"/>
    <col min="33" max="33" width="9.140625" style="36"/>
    <col min="34" max="34" width="17.42578125" style="36" customWidth="1"/>
    <col min="35" max="40" width="9.140625" style="36"/>
    <col min="41" max="41" width="4" style="36" customWidth="1"/>
    <col min="42" max="42" width="16.140625" style="36" customWidth="1"/>
    <col min="43" max="44" width="9.140625" style="36"/>
    <col min="45" max="45" width="20.5703125" style="36" customWidth="1"/>
    <col min="46" max="16384" width="9.140625" style="36"/>
  </cols>
  <sheetData>
    <row r="1" spans="3:45" x14ac:dyDescent="0.4"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67"/>
      <c r="Q1" s="67"/>
      <c r="R1" s="67"/>
    </row>
    <row r="2" spans="3:45" x14ac:dyDescent="0.4">
      <c r="C2" s="143"/>
      <c r="D2" s="143"/>
      <c r="E2" s="889" t="s">
        <v>195</v>
      </c>
      <c r="F2" s="889"/>
      <c r="G2" s="889"/>
      <c r="H2" s="889"/>
      <c r="I2" s="889"/>
      <c r="J2" s="889"/>
      <c r="K2" s="143"/>
      <c r="L2" s="143"/>
      <c r="M2" s="143"/>
      <c r="N2" s="143"/>
      <c r="O2" s="143"/>
      <c r="P2" s="67"/>
      <c r="Q2" s="67"/>
      <c r="R2" s="67"/>
    </row>
    <row r="3" spans="3:45" x14ac:dyDescent="0.4"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67"/>
      <c r="Q3" s="67"/>
      <c r="R3" s="67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67"/>
      <c r="AO3" s="67"/>
      <c r="AP3" s="67"/>
    </row>
    <row r="4" spans="3:45" ht="12.75" customHeight="1" x14ac:dyDescent="0.4">
      <c r="C4" s="143"/>
      <c r="D4" s="143"/>
      <c r="E4" s="927" t="s">
        <v>191</v>
      </c>
      <c r="F4" s="928"/>
      <c r="G4" s="928"/>
      <c r="H4" s="928"/>
      <c r="I4" s="928"/>
      <c r="J4" s="929"/>
      <c r="K4" s="143"/>
      <c r="L4" s="143"/>
      <c r="M4" s="143"/>
      <c r="N4" s="143"/>
      <c r="O4" s="143"/>
      <c r="P4" s="67"/>
      <c r="Q4" s="67"/>
      <c r="R4" s="67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67"/>
      <c r="AO4" s="67"/>
      <c r="AP4" s="67"/>
    </row>
    <row r="5" spans="3:45" ht="12.75" customHeight="1" x14ac:dyDescent="0.4">
      <c r="C5" s="143"/>
      <c r="D5" s="143"/>
      <c r="E5" s="927"/>
      <c r="F5" s="928"/>
      <c r="G5" s="928"/>
      <c r="H5" s="928"/>
      <c r="I5" s="928"/>
      <c r="J5" s="929"/>
      <c r="K5" s="143"/>
      <c r="L5" s="143"/>
      <c r="M5" s="143"/>
      <c r="N5" s="143"/>
      <c r="O5" s="143"/>
      <c r="P5" s="67"/>
      <c r="Q5" s="67"/>
      <c r="R5" s="67"/>
      <c r="AA5" s="143"/>
      <c r="AB5" s="143"/>
      <c r="AC5" s="927" t="s">
        <v>191</v>
      </c>
      <c r="AD5" s="928"/>
      <c r="AE5" s="928"/>
      <c r="AF5" s="928"/>
      <c r="AG5" s="928"/>
      <c r="AH5" s="929"/>
      <c r="AI5" s="143"/>
      <c r="AJ5" s="143"/>
      <c r="AK5" s="143"/>
      <c r="AL5" s="143"/>
      <c r="AM5" s="143"/>
      <c r="AN5" s="67"/>
      <c r="AO5" s="67"/>
      <c r="AP5" s="67"/>
    </row>
    <row r="6" spans="3:45" ht="12.75" customHeight="1" x14ac:dyDescent="0.4">
      <c r="C6" s="143"/>
      <c r="D6" s="143"/>
      <c r="E6" s="927"/>
      <c r="F6" s="928"/>
      <c r="G6" s="928"/>
      <c r="H6" s="928"/>
      <c r="I6" s="928"/>
      <c r="J6" s="929"/>
      <c r="K6" s="143"/>
      <c r="L6" s="143"/>
      <c r="M6" s="143"/>
      <c r="N6" s="143"/>
      <c r="O6" s="143"/>
      <c r="P6" s="67"/>
      <c r="Q6" s="67"/>
      <c r="R6" s="67"/>
      <c r="AA6" s="143"/>
      <c r="AB6" s="143"/>
      <c r="AC6" s="927"/>
      <c r="AD6" s="928"/>
      <c r="AE6" s="928"/>
      <c r="AF6" s="928"/>
      <c r="AG6" s="928"/>
      <c r="AH6" s="929"/>
      <c r="AI6" s="143"/>
      <c r="AJ6" s="143"/>
      <c r="AK6" s="143"/>
      <c r="AL6" s="143"/>
      <c r="AM6" s="143"/>
      <c r="AN6" s="67"/>
      <c r="AO6" s="67"/>
      <c r="AP6" s="67"/>
    </row>
    <row r="7" spans="3:45" ht="32.25" thickBot="1" x14ac:dyDescent="0.45">
      <c r="C7" s="143"/>
      <c r="D7" s="143"/>
      <c r="E7" s="927"/>
      <c r="F7" s="930"/>
      <c r="G7" s="930"/>
      <c r="H7" s="930"/>
      <c r="I7" s="928"/>
      <c r="J7" s="929"/>
      <c r="K7" s="143"/>
      <c r="L7" s="143"/>
      <c r="M7" s="143"/>
      <c r="N7" s="143"/>
      <c r="O7" s="143"/>
      <c r="P7" s="522"/>
      <c r="Q7" s="926" t="s">
        <v>193</v>
      </c>
      <c r="R7" s="926"/>
      <c r="S7" s="926"/>
      <c r="T7" s="926"/>
      <c r="U7" s="926"/>
      <c r="V7" s="522"/>
      <c r="AA7" s="143"/>
      <c r="AB7" s="143"/>
      <c r="AC7" s="927"/>
      <c r="AD7" s="928"/>
      <c r="AE7" s="928"/>
      <c r="AF7" s="928"/>
      <c r="AG7" s="928"/>
      <c r="AH7" s="929"/>
      <c r="AI7" s="143"/>
      <c r="AJ7" s="143"/>
      <c r="AK7" s="143"/>
      <c r="AL7" s="143"/>
      <c r="AM7" s="143"/>
      <c r="AN7" s="67"/>
      <c r="AO7" s="67"/>
      <c r="AP7" s="67"/>
    </row>
    <row r="8" spans="3:45" ht="21.75" thickTop="1" thickBot="1" x14ac:dyDescent="0.45">
      <c r="C8" s="143"/>
      <c r="D8" s="143"/>
      <c r="E8" s="932" t="s">
        <v>174</v>
      </c>
      <c r="F8" s="933" t="s">
        <v>41</v>
      </c>
      <c r="G8" s="933"/>
      <c r="H8" s="934"/>
      <c r="I8" s="945">
        <v>90</v>
      </c>
      <c r="J8" s="946"/>
      <c r="K8" s="143"/>
      <c r="L8" s="143"/>
      <c r="M8" s="143"/>
      <c r="N8" s="143"/>
      <c r="O8" s="143"/>
      <c r="P8" s="522"/>
      <c r="Q8" s="522"/>
      <c r="R8" s="522"/>
      <c r="S8" s="523"/>
      <c r="T8" s="522"/>
      <c r="U8" s="522"/>
      <c r="V8" s="522"/>
      <c r="AA8" s="143"/>
      <c r="AB8" s="143"/>
      <c r="AC8" s="927"/>
      <c r="AD8" s="930"/>
      <c r="AE8" s="930"/>
      <c r="AF8" s="930"/>
      <c r="AG8" s="928"/>
      <c r="AH8" s="929"/>
      <c r="AI8" s="143"/>
      <c r="AJ8" s="143"/>
      <c r="AK8" s="143"/>
      <c r="AL8" s="143"/>
      <c r="AM8" s="143"/>
      <c r="AN8" s="67"/>
      <c r="AO8" s="931" t="s">
        <v>193</v>
      </c>
      <c r="AP8" s="931"/>
      <c r="AQ8" s="931"/>
      <c r="AR8" s="931"/>
      <c r="AS8" s="931"/>
    </row>
    <row r="9" spans="3:45" ht="21.75" thickTop="1" thickBot="1" x14ac:dyDescent="0.45">
      <c r="C9" s="143"/>
      <c r="D9" s="143"/>
      <c r="E9" s="932"/>
      <c r="F9" s="937" t="s">
        <v>43</v>
      </c>
      <c r="G9" s="937"/>
      <c r="H9" s="938"/>
      <c r="I9" s="947">
        <v>2.5</v>
      </c>
      <c r="J9" s="948"/>
      <c r="K9" s="143"/>
      <c r="L9" s="143"/>
      <c r="M9" s="143"/>
      <c r="N9" s="143"/>
      <c r="O9" s="143"/>
      <c r="P9" s="522"/>
      <c r="Q9" s="444"/>
      <c r="R9" s="524"/>
      <c r="S9" s="445"/>
      <c r="T9" s="445"/>
      <c r="U9" s="445"/>
      <c r="V9" s="522"/>
      <c r="AA9" s="143"/>
      <c r="AB9" s="143"/>
      <c r="AC9" s="932" t="s">
        <v>174</v>
      </c>
      <c r="AD9" s="933" t="s">
        <v>41</v>
      </c>
      <c r="AE9" s="933"/>
      <c r="AF9" s="934"/>
      <c r="AG9" s="935">
        <v>90</v>
      </c>
      <c r="AH9" s="936"/>
      <c r="AI9" s="143"/>
      <c r="AJ9" s="143"/>
      <c r="AK9" s="143"/>
      <c r="AL9" s="143"/>
      <c r="AM9" s="143"/>
      <c r="AN9" s="67"/>
      <c r="AO9" s="67"/>
      <c r="AP9" s="67"/>
      <c r="AQ9" s="73"/>
    </row>
    <row r="10" spans="3:45" ht="21.75" thickTop="1" thickBot="1" x14ac:dyDescent="0.45">
      <c r="C10" s="143"/>
      <c r="D10" s="143"/>
      <c r="E10" s="941" t="s">
        <v>2</v>
      </c>
      <c r="F10" s="406" t="s">
        <v>11</v>
      </c>
      <c r="G10" s="407" t="s">
        <v>26</v>
      </c>
      <c r="H10" s="408" t="s">
        <v>27</v>
      </c>
      <c r="I10" s="774" t="s">
        <v>0</v>
      </c>
      <c r="J10" s="775"/>
      <c r="K10" s="143"/>
      <c r="L10" s="143"/>
      <c r="M10" s="143"/>
      <c r="N10" s="143"/>
      <c r="O10" s="143"/>
      <c r="P10" s="522"/>
      <c r="Q10" s="445"/>
      <c r="R10" s="942" t="s">
        <v>12</v>
      </c>
      <c r="S10" s="942"/>
      <c r="T10" s="942"/>
      <c r="U10" s="942"/>
      <c r="V10" s="522"/>
      <c r="AA10" s="143"/>
      <c r="AB10" s="143"/>
      <c r="AC10" s="932"/>
      <c r="AD10" s="937" t="s">
        <v>43</v>
      </c>
      <c r="AE10" s="937"/>
      <c r="AF10" s="938"/>
      <c r="AG10" s="939">
        <v>2.5</v>
      </c>
      <c r="AH10" s="940"/>
      <c r="AI10" s="143"/>
      <c r="AJ10" s="143"/>
      <c r="AK10" s="143"/>
      <c r="AL10" s="143"/>
      <c r="AM10" s="143"/>
      <c r="AN10" s="67"/>
      <c r="AO10" s="373"/>
      <c r="AP10" s="374"/>
      <c r="AQ10" s="375"/>
      <c r="AR10" s="375"/>
      <c r="AS10" s="375"/>
    </row>
    <row r="11" spans="3:45" ht="21.75" thickTop="1" thickBot="1" x14ac:dyDescent="0.45">
      <c r="C11" s="143"/>
      <c r="D11" s="143"/>
      <c r="E11" s="773"/>
      <c r="F11" s="417">
        <v>81.2</v>
      </c>
      <c r="G11" s="418">
        <v>15.8</v>
      </c>
      <c r="H11" s="1252">
        <v>3</v>
      </c>
      <c r="I11" s="962">
        <f>SUM(F11:H11)</f>
        <v>100</v>
      </c>
      <c r="J11" s="963"/>
      <c r="K11" s="143"/>
      <c r="L11" s="143"/>
      <c r="M11" s="143"/>
      <c r="N11" s="143"/>
      <c r="O11" s="143"/>
      <c r="P11" s="522"/>
      <c r="Q11" s="445"/>
      <c r="R11" s="446" t="s">
        <v>13</v>
      </c>
      <c r="S11" s="918">
        <v>1</v>
      </c>
      <c r="T11" s="918"/>
      <c r="U11" s="918"/>
      <c r="V11" s="522"/>
      <c r="AA11" s="143"/>
      <c r="AB11" s="143"/>
      <c r="AC11" s="941" t="s">
        <v>2</v>
      </c>
      <c r="AD11" s="406" t="s">
        <v>11</v>
      </c>
      <c r="AE11" s="407" t="s">
        <v>26</v>
      </c>
      <c r="AF11" s="408" t="s">
        <v>27</v>
      </c>
      <c r="AG11" s="774" t="s">
        <v>0</v>
      </c>
      <c r="AH11" s="775"/>
      <c r="AI11" s="143"/>
      <c r="AJ11" s="143"/>
      <c r="AK11" s="143"/>
      <c r="AL11" s="143"/>
      <c r="AM11" s="143"/>
      <c r="AN11" s="67"/>
      <c r="AO11" s="375"/>
      <c r="AP11" s="942" t="s">
        <v>12</v>
      </c>
      <c r="AQ11" s="942"/>
      <c r="AR11" s="942"/>
      <c r="AS11" s="942"/>
    </row>
    <row r="12" spans="3:45" ht="21.75" thickTop="1" thickBot="1" x14ac:dyDescent="0.45">
      <c r="C12" s="143"/>
      <c r="D12" s="143"/>
      <c r="E12" s="379" t="s">
        <v>1</v>
      </c>
      <c r="F12" s="370">
        <v>3.24</v>
      </c>
      <c r="G12" s="371">
        <v>74.98</v>
      </c>
      <c r="H12" s="372">
        <v>9.16</v>
      </c>
      <c r="I12" s="961">
        <f>(F11*F12+G11*G12+H11*H12)/I11</f>
        <v>14.752520000000002</v>
      </c>
      <c r="J12" s="825"/>
      <c r="K12" s="143"/>
      <c r="L12" s="143"/>
      <c r="M12" s="143"/>
      <c r="N12" s="143"/>
      <c r="O12" s="143"/>
      <c r="P12" s="522"/>
      <c r="Q12" s="445"/>
      <c r="R12" s="446" t="s">
        <v>14</v>
      </c>
      <c r="S12" s="918">
        <v>1</v>
      </c>
      <c r="T12" s="918"/>
      <c r="U12" s="918"/>
      <c r="V12" s="522"/>
      <c r="AA12" s="143"/>
      <c r="AB12" s="143"/>
      <c r="AC12" s="773"/>
      <c r="AD12" s="449">
        <v>81.2</v>
      </c>
      <c r="AE12" s="449">
        <v>15.8</v>
      </c>
      <c r="AF12" s="449">
        <v>3</v>
      </c>
      <c r="AG12" s="943">
        <f>SUM(AD12:AF12)</f>
        <v>100</v>
      </c>
      <c r="AH12" s="944"/>
      <c r="AI12" s="143"/>
      <c r="AJ12" s="143"/>
      <c r="AK12" s="143"/>
      <c r="AL12" s="143"/>
      <c r="AM12" s="143"/>
      <c r="AN12" s="67"/>
      <c r="AO12" s="375"/>
      <c r="AP12" s="446" t="s">
        <v>13</v>
      </c>
      <c r="AQ12" s="918">
        <v>1</v>
      </c>
      <c r="AR12" s="918"/>
      <c r="AS12" s="918"/>
    </row>
    <row r="13" spans="3:45" ht="21.75" thickTop="1" thickBot="1" x14ac:dyDescent="0.45">
      <c r="C13" s="143"/>
      <c r="D13" s="143"/>
      <c r="E13" s="379" t="s">
        <v>3</v>
      </c>
      <c r="F13" s="370">
        <v>0.79</v>
      </c>
      <c r="G13" s="371">
        <v>8.8000000000000007</v>
      </c>
      <c r="H13" s="372">
        <v>2</v>
      </c>
      <c r="I13" s="961">
        <f>(F11*F13+G11*G13+H11*H13)/I11</f>
        <v>2.0918800000000006</v>
      </c>
      <c r="J13" s="825"/>
      <c r="K13" s="143"/>
      <c r="L13" s="143"/>
      <c r="M13" s="143"/>
      <c r="N13" s="143"/>
      <c r="O13" s="143"/>
      <c r="P13" s="522"/>
      <c r="Q13" s="445"/>
      <c r="R13" s="446" t="s">
        <v>15</v>
      </c>
      <c r="S13" s="918">
        <v>1</v>
      </c>
      <c r="T13" s="918"/>
      <c r="U13" s="918"/>
      <c r="V13" s="522"/>
      <c r="AA13" s="143"/>
      <c r="AB13" s="143"/>
      <c r="AC13" s="379" t="s">
        <v>1</v>
      </c>
      <c r="AD13" s="450">
        <v>3.24</v>
      </c>
      <c r="AE13" s="450">
        <v>74.98</v>
      </c>
      <c r="AF13" s="450">
        <v>9.16</v>
      </c>
      <c r="AG13" s="919">
        <f>(AD12*AD13+AE12*AE13+AF12*AF13)/AG12</f>
        <v>14.752520000000002</v>
      </c>
      <c r="AH13" s="751"/>
      <c r="AI13" s="143"/>
      <c r="AJ13" s="143"/>
      <c r="AK13" s="143"/>
      <c r="AL13" s="143"/>
      <c r="AM13" s="143"/>
      <c r="AN13" s="67"/>
      <c r="AO13" s="375"/>
      <c r="AP13" s="446" t="s">
        <v>14</v>
      </c>
      <c r="AQ13" s="918">
        <v>1</v>
      </c>
      <c r="AR13" s="918"/>
      <c r="AS13" s="918"/>
    </row>
    <row r="14" spans="3:45" ht="21.75" thickTop="1" thickBot="1" x14ac:dyDescent="0.45">
      <c r="C14" s="143"/>
      <c r="D14" s="143"/>
      <c r="E14" s="379" t="s">
        <v>4</v>
      </c>
      <c r="F14" s="370">
        <v>0.38</v>
      </c>
      <c r="G14" s="371">
        <v>6.2</v>
      </c>
      <c r="H14" s="372">
        <v>83.04</v>
      </c>
      <c r="I14" s="961">
        <f>(F11*F14+G11*G14+H11*H14)/I11</f>
        <v>3.7793600000000005</v>
      </c>
      <c r="J14" s="825"/>
      <c r="K14" s="143"/>
      <c r="L14" s="143"/>
      <c r="M14" s="143"/>
      <c r="N14" s="143"/>
      <c r="O14" s="143"/>
      <c r="P14" s="522"/>
      <c r="Q14" s="445"/>
      <c r="R14" s="446" t="s">
        <v>16</v>
      </c>
      <c r="S14" s="918">
        <v>100</v>
      </c>
      <c r="T14" s="918"/>
      <c r="U14" s="918"/>
      <c r="V14" s="522"/>
      <c r="AA14" s="143"/>
      <c r="AB14" s="143"/>
      <c r="AC14" s="379" t="s">
        <v>3</v>
      </c>
      <c r="AD14" s="450">
        <v>0.79</v>
      </c>
      <c r="AE14" s="450">
        <v>8.8000000000000007</v>
      </c>
      <c r="AF14" s="450">
        <v>2</v>
      </c>
      <c r="AG14" s="919">
        <f>(AD12*AD14+AE12*AE14+AF12*AF14)/AG12</f>
        <v>2.0918800000000006</v>
      </c>
      <c r="AH14" s="751"/>
      <c r="AI14" s="143"/>
      <c r="AJ14" s="143"/>
      <c r="AK14" s="143"/>
      <c r="AL14" s="143"/>
      <c r="AM14" s="143"/>
      <c r="AN14" s="67"/>
      <c r="AO14" s="375"/>
      <c r="AP14" s="446" t="s">
        <v>15</v>
      </c>
      <c r="AQ14" s="918">
        <v>1</v>
      </c>
      <c r="AR14" s="918"/>
      <c r="AS14" s="918"/>
    </row>
    <row r="15" spans="3:45" ht="21.75" thickTop="1" thickBot="1" x14ac:dyDescent="0.45">
      <c r="C15" s="143"/>
      <c r="D15" s="143"/>
      <c r="E15" s="379" t="s">
        <v>5</v>
      </c>
      <c r="F15" s="402">
        <v>51</v>
      </c>
      <c r="G15" s="403">
        <v>0.98</v>
      </c>
      <c r="H15" s="404">
        <v>0.06</v>
      </c>
      <c r="I15" s="961">
        <f>(F11*F15+G11*G15+H11*H15)/I11</f>
        <v>41.568640000000002</v>
      </c>
      <c r="J15" s="825"/>
      <c r="K15" s="143"/>
      <c r="L15" s="143"/>
      <c r="M15" s="143"/>
      <c r="N15" s="143"/>
      <c r="O15" s="143"/>
      <c r="P15" s="522"/>
      <c r="Q15" s="445"/>
      <c r="R15" s="446" t="s">
        <v>17</v>
      </c>
      <c r="S15" s="918">
        <f>I9*(F13+F14)-F12</f>
        <v>-0.31500000000000039</v>
      </c>
      <c r="T15" s="918"/>
      <c r="U15" s="918"/>
      <c r="V15" s="522"/>
      <c r="AA15" s="143"/>
      <c r="AB15" s="143"/>
      <c r="AC15" s="379" t="s">
        <v>4</v>
      </c>
      <c r="AD15" s="450">
        <v>0.38</v>
      </c>
      <c r="AE15" s="450">
        <v>6.2</v>
      </c>
      <c r="AF15" s="450">
        <v>83.04</v>
      </c>
      <c r="AG15" s="919">
        <f>(AD12*AD15+AE12*AE15+AF12*AF15)/AG12</f>
        <v>3.7793600000000005</v>
      </c>
      <c r="AH15" s="751"/>
      <c r="AI15" s="143"/>
      <c r="AJ15" s="143"/>
      <c r="AK15" s="143"/>
      <c r="AL15" s="143"/>
      <c r="AM15" s="143"/>
      <c r="AN15" s="67"/>
      <c r="AO15" s="375"/>
      <c r="AP15" s="446" t="s">
        <v>16</v>
      </c>
      <c r="AQ15" s="918">
        <v>100</v>
      </c>
      <c r="AR15" s="918"/>
      <c r="AS15" s="918"/>
    </row>
    <row r="16" spans="3:45" ht="21.75" thickTop="1" thickBot="1" x14ac:dyDescent="0.45">
      <c r="C16" s="143"/>
      <c r="D16" s="143"/>
      <c r="E16" s="379" t="s">
        <v>6</v>
      </c>
      <c r="F16" s="399">
        <v>1.24</v>
      </c>
      <c r="G16" s="400">
        <v>0.24</v>
      </c>
      <c r="H16" s="401">
        <v>0.41</v>
      </c>
      <c r="I16" s="964">
        <f>(F11*F16+G11*G16+H11*H16)/I11</f>
        <v>1.0571000000000002</v>
      </c>
      <c r="J16" s="965"/>
      <c r="K16" s="143"/>
      <c r="L16" s="143"/>
      <c r="M16" s="143"/>
      <c r="N16" s="143"/>
      <c r="O16" s="143"/>
      <c r="P16" s="522"/>
      <c r="Q16" s="445"/>
      <c r="R16" s="446" t="s">
        <v>18</v>
      </c>
      <c r="S16" s="918">
        <f>I9*(G13+G14)-G12</f>
        <v>-37.480000000000004</v>
      </c>
      <c r="T16" s="918"/>
      <c r="U16" s="918"/>
      <c r="V16" s="522"/>
      <c r="AA16" s="143"/>
      <c r="AB16" s="143"/>
      <c r="AC16" s="379" t="s">
        <v>5</v>
      </c>
      <c r="AD16" s="451">
        <v>51</v>
      </c>
      <c r="AE16" s="451">
        <v>0.98</v>
      </c>
      <c r="AF16" s="451">
        <v>0.06</v>
      </c>
      <c r="AG16" s="919">
        <f>(AD12*AD16+AE12*AE16+AF12*AF16)/AG12</f>
        <v>41.568640000000002</v>
      </c>
      <c r="AH16" s="751"/>
      <c r="AI16" s="143"/>
      <c r="AJ16" s="143"/>
      <c r="AK16" s="143"/>
      <c r="AL16" s="143"/>
      <c r="AM16" s="143"/>
      <c r="AN16" s="67"/>
      <c r="AO16" s="375"/>
      <c r="AP16" s="446" t="s">
        <v>17</v>
      </c>
      <c r="AQ16" s="918">
        <f>AG10*(AD14+AD15)-AD13</f>
        <v>-0.31500000000000039</v>
      </c>
      <c r="AR16" s="918"/>
      <c r="AS16" s="918"/>
    </row>
    <row r="17" spans="3:45" ht="21.75" thickTop="1" thickBot="1" x14ac:dyDescent="0.45">
      <c r="C17" s="143"/>
      <c r="D17" s="143"/>
      <c r="E17" s="379" t="s">
        <v>8</v>
      </c>
      <c r="F17" s="399">
        <v>0.5</v>
      </c>
      <c r="G17" s="400">
        <v>0.3</v>
      </c>
      <c r="H17" s="401">
        <v>0.2</v>
      </c>
      <c r="I17" s="955">
        <f>(F11*F17+G11*G17+H11*H17)/I11</f>
        <v>0.45940000000000003</v>
      </c>
      <c r="J17" s="956"/>
      <c r="K17" s="143"/>
      <c r="L17" s="143"/>
      <c r="M17" s="143"/>
      <c r="N17" s="143"/>
      <c r="O17" s="143"/>
      <c r="P17" s="522"/>
      <c r="Q17" s="445"/>
      <c r="R17" s="446" t="s">
        <v>19</v>
      </c>
      <c r="S17" s="918">
        <f>I9*(H13+H14)-H12</f>
        <v>203.44000000000003</v>
      </c>
      <c r="T17" s="918"/>
      <c r="U17" s="918"/>
      <c r="V17" s="522"/>
      <c r="AA17" s="143"/>
      <c r="AB17" s="143"/>
      <c r="AC17" s="379" t="s">
        <v>6</v>
      </c>
      <c r="AD17" s="452">
        <v>1.24</v>
      </c>
      <c r="AE17" s="452">
        <v>0.24</v>
      </c>
      <c r="AF17" s="452">
        <v>0.41</v>
      </c>
      <c r="AG17" s="920">
        <f>(AD12*AD17+AE12*AE17+AF12*AF17)/AG12</f>
        <v>1.0571000000000002</v>
      </c>
      <c r="AH17" s="921"/>
      <c r="AI17" s="143"/>
      <c r="AJ17" s="143"/>
      <c r="AK17" s="143"/>
      <c r="AL17" s="143"/>
      <c r="AM17" s="143"/>
      <c r="AN17" s="67"/>
      <c r="AO17" s="375"/>
      <c r="AP17" s="446" t="s">
        <v>18</v>
      </c>
      <c r="AQ17" s="918">
        <f>AG10*(AE14+AE15)-AE13</f>
        <v>-37.480000000000004</v>
      </c>
      <c r="AR17" s="918"/>
      <c r="AS17" s="918"/>
    </row>
    <row r="18" spans="3:45" ht="21.75" thickTop="1" thickBot="1" x14ac:dyDescent="0.45">
      <c r="C18" s="143"/>
      <c r="D18" s="143"/>
      <c r="E18" s="379" t="s">
        <v>7</v>
      </c>
      <c r="F18" s="399">
        <v>0.2</v>
      </c>
      <c r="G18" s="400">
        <v>0.2</v>
      </c>
      <c r="H18" s="401">
        <v>0.1</v>
      </c>
      <c r="I18" s="955">
        <f>(F11*F18+G11*G18+H11*H18)/I11</f>
        <v>0.19700000000000004</v>
      </c>
      <c r="J18" s="956"/>
      <c r="K18" s="143"/>
      <c r="L18" s="143"/>
      <c r="M18" s="143"/>
      <c r="N18" s="143"/>
      <c r="O18" s="143"/>
      <c r="P18" s="522"/>
      <c r="Q18" s="445"/>
      <c r="R18" s="446" t="s">
        <v>20</v>
      </c>
      <c r="S18" s="918">
        <v>0</v>
      </c>
      <c r="T18" s="918"/>
      <c r="U18" s="918"/>
      <c r="V18" s="522"/>
      <c r="AA18" s="143"/>
      <c r="AB18" s="143"/>
      <c r="AC18" s="379" t="s">
        <v>8</v>
      </c>
      <c r="AD18" s="452">
        <v>0.5</v>
      </c>
      <c r="AE18" s="452">
        <v>0.3</v>
      </c>
      <c r="AF18" s="452">
        <v>0.2</v>
      </c>
      <c r="AG18" s="916">
        <f>(AD12*AD18+AE12*AE18+AF12*AF18)/AG12</f>
        <v>0.45940000000000003</v>
      </c>
      <c r="AH18" s="917"/>
      <c r="AI18" s="143"/>
      <c r="AJ18" s="143"/>
      <c r="AK18" s="143"/>
      <c r="AL18" s="143"/>
      <c r="AM18" s="143"/>
      <c r="AN18" s="67"/>
      <c r="AO18" s="375"/>
      <c r="AP18" s="446" t="s">
        <v>19</v>
      </c>
      <c r="AQ18" s="918">
        <f>AG10*(AF14+AF15)-AF13</f>
        <v>203.44000000000003</v>
      </c>
      <c r="AR18" s="918"/>
      <c r="AS18" s="918"/>
    </row>
    <row r="19" spans="3:45" ht="21.75" thickTop="1" thickBot="1" x14ac:dyDescent="0.45">
      <c r="C19" s="143"/>
      <c r="D19" s="143"/>
      <c r="E19" s="379" t="s">
        <v>9</v>
      </c>
      <c r="F19" s="399">
        <v>0.1</v>
      </c>
      <c r="G19" s="400">
        <v>0.2</v>
      </c>
      <c r="H19" s="401">
        <v>7.0000000000000007E-2</v>
      </c>
      <c r="I19" s="955">
        <f>(F11*F19+G11*G19+H11*H19)/I11</f>
        <v>0.11490000000000002</v>
      </c>
      <c r="J19" s="956"/>
      <c r="K19" s="143"/>
      <c r="L19" s="143"/>
      <c r="M19" s="143"/>
      <c r="N19" s="143"/>
      <c r="O19" s="143"/>
      <c r="P19" s="522"/>
      <c r="Q19" s="445"/>
      <c r="R19" s="446" t="s">
        <v>21</v>
      </c>
      <c r="S19" s="918">
        <f>I8*(2.8*F12+1.18*F13+0.65*F14)-100*F15</f>
        <v>-4177.3919999999998</v>
      </c>
      <c r="T19" s="918"/>
      <c r="U19" s="918"/>
      <c r="V19" s="522"/>
      <c r="AA19" s="143"/>
      <c r="AB19" s="143"/>
      <c r="AC19" s="379" t="s">
        <v>7</v>
      </c>
      <c r="AD19" s="452">
        <v>0.2</v>
      </c>
      <c r="AE19" s="452">
        <v>0.2</v>
      </c>
      <c r="AF19" s="452">
        <v>0.1</v>
      </c>
      <c r="AG19" s="916">
        <f>(AD12*AD19+AE12*AE19+AF12*AF19)/AG12</f>
        <v>0.19700000000000004</v>
      </c>
      <c r="AH19" s="917"/>
      <c r="AI19" s="143"/>
      <c r="AJ19" s="143"/>
      <c r="AK19" s="143"/>
      <c r="AL19" s="143"/>
      <c r="AM19" s="143"/>
      <c r="AN19" s="67"/>
      <c r="AO19" s="375"/>
      <c r="AP19" s="446" t="s">
        <v>20</v>
      </c>
      <c r="AQ19" s="918">
        <v>0</v>
      </c>
      <c r="AR19" s="918"/>
      <c r="AS19" s="918"/>
    </row>
    <row r="20" spans="3:45" ht="21.75" thickTop="1" thickBot="1" x14ac:dyDescent="0.45">
      <c r="C20" s="143"/>
      <c r="D20" s="143"/>
      <c r="E20" s="379" t="s">
        <v>40</v>
      </c>
      <c r="F20" s="399">
        <v>0.1</v>
      </c>
      <c r="G20" s="400">
        <v>0.2</v>
      </c>
      <c r="H20" s="401">
        <v>7.0000000000000007E-2</v>
      </c>
      <c r="I20" s="955">
        <f>(F11*F20+G11*G20+H11*H20)/I11</f>
        <v>0.11490000000000002</v>
      </c>
      <c r="J20" s="956"/>
      <c r="K20" s="143"/>
      <c r="L20" s="143"/>
      <c r="M20" s="143"/>
      <c r="N20" s="143"/>
      <c r="O20" s="143"/>
      <c r="P20" s="522"/>
      <c r="Q20" s="445"/>
      <c r="R20" s="446" t="s">
        <v>22</v>
      </c>
      <c r="S20" s="918">
        <f>I8*(2.8*G12+1.18*G13+0.65*G14)-100*G15</f>
        <v>20094.219999999998</v>
      </c>
      <c r="T20" s="918"/>
      <c r="U20" s="918"/>
      <c r="V20" s="522"/>
      <c r="AA20" s="143"/>
      <c r="AB20" s="143"/>
      <c r="AC20" s="379" t="s">
        <v>9</v>
      </c>
      <c r="AD20" s="452">
        <v>0.1</v>
      </c>
      <c r="AE20" s="452">
        <v>0.2</v>
      </c>
      <c r="AF20" s="452">
        <v>7.0000000000000007E-2</v>
      </c>
      <c r="AG20" s="916">
        <f>(AD12*AD20+AE12*AE20+AF12*AF20)/AG12</f>
        <v>0.11490000000000002</v>
      </c>
      <c r="AH20" s="917"/>
      <c r="AI20" s="143"/>
      <c r="AJ20" s="143"/>
      <c r="AK20" s="143"/>
      <c r="AL20" s="143"/>
      <c r="AM20" s="143"/>
      <c r="AN20" s="67"/>
      <c r="AO20" s="375"/>
      <c r="AP20" s="446" t="s">
        <v>21</v>
      </c>
      <c r="AQ20" s="918">
        <f>AG9*(2.8*AD13+1.18*AD14+0.65*AD15)-100*AD16</f>
        <v>-4177.3919999999998</v>
      </c>
      <c r="AR20" s="918"/>
      <c r="AS20" s="918"/>
    </row>
    <row r="21" spans="3:45" ht="21.75" thickTop="1" thickBot="1" x14ac:dyDescent="0.45">
      <c r="C21" s="143"/>
      <c r="D21" s="143"/>
      <c r="E21" s="379" t="s">
        <v>39</v>
      </c>
      <c r="F21" s="399">
        <v>42.48</v>
      </c>
      <c r="G21" s="399">
        <v>8</v>
      </c>
      <c r="H21" s="399">
        <v>4.6500000000000004</v>
      </c>
      <c r="I21" s="968">
        <f>(F11*F21+G11*G21+H11*H21)/I11</f>
        <v>35.897259999999996</v>
      </c>
      <c r="J21" s="969"/>
      <c r="K21" s="143"/>
      <c r="L21" s="143"/>
      <c r="M21" s="143"/>
      <c r="N21" s="143"/>
      <c r="O21" s="143"/>
      <c r="P21" s="522"/>
      <c r="Q21" s="445"/>
      <c r="R21" s="446" t="s">
        <v>23</v>
      </c>
      <c r="S21" s="918">
        <f>I8*(2.8*H12+1.18*H13+0.65*H14)-100*H15</f>
        <v>7372.56</v>
      </c>
      <c r="T21" s="918"/>
      <c r="U21" s="918"/>
      <c r="V21" s="522"/>
      <c r="AA21" s="143"/>
      <c r="AB21" s="143"/>
      <c r="AC21" s="379" t="s">
        <v>40</v>
      </c>
      <c r="AD21" s="452">
        <v>0.1</v>
      </c>
      <c r="AE21" s="452">
        <v>0.2</v>
      </c>
      <c r="AF21" s="452">
        <v>7.0000000000000007E-2</v>
      </c>
      <c r="AG21" s="916">
        <f>(AD12*AD21+AE12*AE21+AF12*AF21)/AG12</f>
        <v>0.11490000000000002</v>
      </c>
      <c r="AH21" s="917"/>
      <c r="AI21" s="143"/>
      <c r="AJ21" s="143"/>
      <c r="AK21" s="143"/>
      <c r="AL21" s="143"/>
      <c r="AM21" s="143"/>
      <c r="AN21" s="67"/>
      <c r="AO21" s="375"/>
      <c r="AP21" s="446" t="s">
        <v>22</v>
      </c>
      <c r="AQ21" s="918">
        <f>AG9*(2.8*AE13+1.18*AE14+0.65*AE15)-100*AE16</f>
        <v>20094.219999999998</v>
      </c>
      <c r="AR21" s="918"/>
      <c r="AS21" s="918"/>
    </row>
    <row r="22" spans="3:45" ht="21.75" thickTop="1" thickBot="1" x14ac:dyDescent="0.45">
      <c r="C22" s="143"/>
      <c r="D22" s="143"/>
      <c r="E22" s="380" t="s">
        <v>10</v>
      </c>
      <c r="F22" s="364">
        <f>SUM(F12:F21)</f>
        <v>100.03</v>
      </c>
      <c r="G22" s="364">
        <f>SUM(G12:G21)</f>
        <v>100.10000000000001</v>
      </c>
      <c r="H22" s="364">
        <f>SUM(H12:H21)</f>
        <v>99.759999999999991</v>
      </c>
      <c r="I22" s="822">
        <f>SUM(I12:I21)</f>
        <v>100.03296</v>
      </c>
      <c r="J22" s="823"/>
      <c r="K22" s="143"/>
      <c r="L22" s="143"/>
      <c r="M22" s="143"/>
      <c r="N22" s="143"/>
      <c r="O22" s="143"/>
      <c r="P22" s="522"/>
      <c r="Q22" s="445"/>
      <c r="R22" s="446" t="s">
        <v>24</v>
      </c>
      <c r="S22" s="918">
        <v>0</v>
      </c>
      <c r="T22" s="918"/>
      <c r="U22" s="918"/>
      <c r="V22" s="522"/>
      <c r="AA22" s="143"/>
      <c r="AB22" s="143"/>
      <c r="AC22" s="379" t="s">
        <v>39</v>
      </c>
      <c r="AD22" s="452">
        <v>42.48</v>
      </c>
      <c r="AE22" s="452">
        <v>8</v>
      </c>
      <c r="AF22" s="452">
        <v>4.6500000000000004</v>
      </c>
      <c r="AG22" s="916">
        <f>(AD12*AD22+AE12*AE22+AF12*AF22)/AG12</f>
        <v>35.897259999999996</v>
      </c>
      <c r="AH22" s="917"/>
      <c r="AI22" s="143"/>
      <c r="AJ22" s="143"/>
      <c r="AK22" s="143"/>
      <c r="AL22" s="143"/>
      <c r="AM22" s="143"/>
      <c r="AN22" s="67"/>
      <c r="AO22" s="375"/>
      <c r="AP22" s="446" t="s">
        <v>23</v>
      </c>
      <c r="AQ22" s="918">
        <f>AG9*(2.8*AF13+1.18*AF14+0.65*AF15)-100*AF16</f>
        <v>7372.56</v>
      </c>
      <c r="AR22" s="918"/>
      <c r="AS22" s="918"/>
    </row>
    <row r="23" spans="3:45" ht="21.75" thickTop="1" thickBot="1" x14ac:dyDescent="0.45">
      <c r="C23" s="143"/>
      <c r="D23" s="143"/>
      <c r="E23" s="381" t="s">
        <v>38</v>
      </c>
      <c r="F23" s="361">
        <f>100*F15/(2.8*F12+1.18*F13+0.65*F14)</f>
        <v>497.50273138754494</v>
      </c>
      <c r="G23" s="361">
        <f>100*G15/(2.8*G12+1.18*G13+0.65*G14)</f>
        <v>0.43680189696823829</v>
      </c>
      <c r="H23" s="361">
        <f>100*H15/(2.8*H12+1.18*H13+0.65*H14)</f>
        <v>7.3185011709601872E-2</v>
      </c>
      <c r="I23" s="834">
        <f>100*I15/(2.8*I12+1.18*I13+0.65*I14)</f>
        <v>89.91302018254936</v>
      </c>
      <c r="J23" s="835"/>
      <c r="K23" s="143"/>
      <c r="L23" s="143"/>
      <c r="M23" s="143"/>
      <c r="N23" s="143"/>
      <c r="O23" s="143"/>
      <c r="P23" s="522"/>
      <c r="Q23" s="445"/>
      <c r="R23" s="446" t="s">
        <v>25</v>
      </c>
      <c r="S23" s="918">
        <f>(S11*S16*S21)+(S12*S17*S19)+(S13*S15*S20)-(S13*S16*S19)-(S11*S17*S20)-(S12*S15*S21)</f>
        <v>-5374716.2691400005</v>
      </c>
      <c r="T23" s="918"/>
      <c r="U23" s="918"/>
      <c r="V23" s="522"/>
      <c r="AA23" s="143"/>
      <c r="AB23" s="143"/>
      <c r="AC23" s="380" t="s">
        <v>10</v>
      </c>
      <c r="AD23" s="422">
        <f>SUM(AD13:AD22)</f>
        <v>100.03</v>
      </c>
      <c r="AE23" s="422">
        <f>SUM(AE13:AE22)</f>
        <v>100.10000000000001</v>
      </c>
      <c r="AF23" s="422">
        <f>SUM(AF13:AF22)</f>
        <v>99.759999999999991</v>
      </c>
      <c r="AG23" s="732">
        <f>SUM(AG13:AG22)</f>
        <v>100.03296</v>
      </c>
      <c r="AH23" s="733"/>
      <c r="AI23" s="143"/>
      <c r="AJ23" s="143"/>
      <c r="AK23" s="143"/>
      <c r="AL23" s="143"/>
      <c r="AM23" s="143"/>
      <c r="AN23" s="67"/>
      <c r="AO23" s="375"/>
      <c r="AP23" s="446" t="s">
        <v>24</v>
      </c>
      <c r="AQ23" s="918">
        <v>0</v>
      </c>
      <c r="AR23" s="918"/>
      <c r="AS23" s="918"/>
    </row>
    <row r="24" spans="3:45" ht="21" thickTop="1" thickBot="1" x14ac:dyDescent="0.45">
      <c r="C24" s="143"/>
      <c r="D24" s="143"/>
      <c r="E24" s="381" t="s">
        <v>36</v>
      </c>
      <c r="F24" s="361">
        <f>F12/(F13+F14)</f>
        <v>2.7692307692307696</v>
      </c>
      <c r="G24" s="361">
        <f>G12/(G13+G14)</f>
        <v>4.9986666666666668</v>
      </c>
      <c r="H24" s="361">
        <f>H12/(H13+H14)</f>
        <v>0.1077140169332079</v>
      </c>
      <c r="I24" s="834">
        <f>I12/(I13+I14)</f>
        <v>2.512675346264162</v>
      </c>
      <c r="J24" s="835"/>
      <c r="K24" s="143"/>
      <c r="L24" s="143"/>
      <c r="M24" s="143"/>
      <c r="N24" s="143"/>
      <c r="O24" s="143"/>
      <c r="P24" s="522"/>
      <c r="Q24" s="445"/>
      <c r="R24" s="447" t="s">
        <v>170</v>
      </c>
      <c r="S24" s="448"/>
      <c r="T24" s="440"/>
      <c r="U24" s="440"/>
      <c r="V24" s="522"/>
      <c r="AA24" s="143"/>
      <c r="AB24" s="143"/>
      <c r="AC24" s="381" t="s">
        <v>38</v>
      </c>
      <c r="AD24" s="420">
        <f>100*AD16/(2.8*AD13+1.18*AD14+0.65*AD15)</f>
        <v>497.50273138754494</v>
      </c>
      <c r="AE24" s="420">
        <f>100*AE16/(2.8*AE13+1.18*AE14+0.65*AE15)</f>
        <v>0.43680189696823829</v>
      </c>
      <c r="AF24" s="420">
        <f>100*AF16/(2.8*AF13+1.18*AF14+0.65*AF15)</f>
        <v>7.3185011709601872E-2</v>
      </c>
      <c r="AG24" s="735">
        <f>100*AG16/(2.8*AG13+1.18*AG14+0.65*AG15)</f>
        <v>89.91302018254936</v>
      </c>
      <c r="AH24" s="736"/>
      <c r="AI24" s="143"/>
      <c r="AJ24" s="143"/>
      <c r="AK24" s="143"/>
      <c r="AL24" s="143"/>
      <c r="AM24" s="143"/>
      <c r="AN24" s="67"/>
      <c r="AO24" s="375"/>
      <c r="AP24" s="446" t="s">
        <v>25</v>
      </c>
      <c r="AQ24" s="918">
        <f>(AQ12*AQ17*AQ22)+(AQ13*AQ18*AQ20)+(AQ14*AQ16*AQ21)-(AQ14*AQ17*AQ20)-(AQ12*AQ18*AQ21)-(AQ13*AQ16*AQ22)</f>
        <v>-5374716.2691400005</v>
      </c>
      <c r="AR24" s="918"/>
      <c r="AS24" s="918"/>
    </row>
    <row r="25" spans="3:45" ht="20.25" thickTop="1" x14ac:dyDescent="0.4">
      <c r="C25" s="143"/>
      <c r="D25" s="143"/>
      <c r="E25" s="382" t="s">
        <v>37</v>
      </c>
      <c r="F25" s="365">
        <f>F13/F14</f>
        <v>2.0789473684210527</v>
      </c>
      <c r="G25" s="365">
        <f>G13/G14</f>
        <v>1.4193548387096775</v>
      </c>
      <c r="H25" s="365">
        <f>H13/H14</f>
        <v>2.4084778420038533E-2</v>
      </c>
      <c r="I25" s="832">
        <f>I13/I14</f>
        <v>0.55350112188307021</v>
      </c>
      <c r="J25" s="833"/>
      <c r="K25" s="143"/>
      <c r="L25" s="143"/>
      <c r="M25" s="143"/>
      <c r="N25" s="143"/>
      <c r="O25" s="143"/>
      <c r="P25" s="522"/>
      <c r="Q25" s="445"/>
      <c r="R25" s="441">
        <f>H27/(1-(J33/100))</f>
        <v>85.474116156134244</v>
      </c>
      <c r="S25" s="448"/>
      <c r="T25" s="440"/>
      <c r="U25" s="440"/>
      <c r="V25" s="522"/>
      <c r="AA25" s="143"/>
      <c r="AB25" s="143"/>
      <c r="AC25" s="381" t="s">
        <v>36</v>
      </c>
      <c r="AD25" s="420">
        <f>AD13/(AD14+AD15)</f>
        <v>2.7692307692307696</v>
      </c>
      <c r="AE25" s="420">
        <f>AE13/(AE14+AE15)</f>
        <v>4.9986666666666668</v>
      </c>
      <c r="AF25" s="420">
        <f>AF13/(AF14+AF15)</f>
        <v>0.1077140169332079</v>
      </c>
      <c r="AG25" s="735">
        <f>AG13/(AG14+AG15)</f>
        <v>2.512675346264162</v>
      </c>
      <c r="AH25" s="736"/>
      <c r="AI25" s="143"/>
      <c r="AJ25" s="143"/>
      <c r="AK25" s="143"/>
      <c r="AL25" s="143"/>
      <c r="AM25" s="143"/>
      <c r="AN25" s="67"/>
      <c r="AO25" s="375"/>
      <c r="AP25" s="447" t="s">
        <v>170</v>
      </c>
      <c r="AQ25" s="448"/>
      <c r="AR25" s="440"/>
      <c r="AS25" s="440"/>
    </row>
    <row r="26" spans="3:45" ht="21.75" x14ac:dyDescent="0.4">
      <c r="C26" s="143"/>
      <c r="D26" s="143"/>
      <c r="E26" s="739" t="s">
        <v>192</v>
      </c>
      <c r="F26" s="740"/>
      <c r="G26" s="740"/>
      <c r="H26" s="740"/>
      <c r="I26" s="740"/>
      <c r="J26" s="741"/>
      <c r="K26" s="143"/>
      <c r="L26" s="143"/>
      <c r="M26" s="143"/>
      <c r="N26" s="143"/>
      <c r="O26" s="143"/>
      <c r="P26" s="522"/>
      <c r="Q26" s="445"/>
      <c r="R26" s="441">
        <f>H28/(1-(J34/100))</f>
        <v>17.233620799124864</v>
      </c>
      <c r="S26" s="448"/>
      <c r="T26" s="440"/>
      <c r="U26" s="440"/>
      <c r="V26" s="522"/>
      <c r="AA26" s="143"/>
      <c r="AB26" s="143"/>
      <c r="AC26" s="382" t="s">
        <v>37</v>
      </c>
      <c r="AD26" s="420">
        <f>AD14/AD15</f>
        <v>2.0789473684210527</v>
      </c>
      <c r="AE26" s="420">
        <f>AE14/AE15</f>
        <v>1.4193548387096775</v>
      </c>
      <c r="AF26" s="420">
        <f>AF14/AF15</f>
        <v>2.4084778420038533E-2</v>
      </c>
      <c r="AG26" s="737">
        <f>AG14/AG15</f>
        <v>0.55350112188307021</v>
      </c>
      <c r="AH26" s="738"/>
      <c r="AI26" s="143"/>
      <c r="AJ26" s="143"/>
      <c r="AK26" s="143"/>
      <c r="AL26" s="143"/>
      <c r="AM26" s="143"/>
      <c r="AN26" s="67"/>
      <c r="AO26" s="375"/>
      <c r="AP26" s="441">
        <f>AF28/(1-(AH34/100))</f>
        <v>85.474116156134244</v>
      </c>
      <c r="AQ26" s="448"/>
      <c r="AR26" s="440"/>
      <c r="AS26" s="440"/>
    </row>
    <row r="27" spans="3:45" ht="21" customHeight="1" x14ac:dyDescent="0.4">
      <c r="C27" s="143"/>
      <c r="D27" s="143"/>
      <c r="E27" s="910" t="str">
        <f>F10</f>
        <v>LIMESTONE</v>
      </c>
      <c r="F27" s="911"/>
      <c r="G27" s="911"/>
      <c r="H27" s="970">
        <f>(S14*S16*S21-S14*S17*S20)/S23</f>
        <v>81.200410348327523</v>
      </c>
      <c r="I27" s="970"/>
      <c r="J27" s="971"/>
      <c r="K27" s="143"/>
      <c r="L27" s="143"/>
      <c r="M27" s="143"/>
      <c r="N27" s="143"/>
      <c r="O27" s="143"/>
      <c r="P27" s="522"/>
      <c r="Q27" s="445"/>
      <c r="R27" s="441">
        <f>H29/(1-(J35/100))</f>
        <v>3.2872306078885254</v>
      </c>
      <c r="S27" s="448"/>
      <c r="T27" s="440"/>
      <c r="U27" s="440"/>
      <c r="V27" s="522"/>
      <c r="AA27" s="143"/>
      <c r="AB27" s="143"/>
      <c r="AC27" s="739" t="s">
        <v>192</v>
      </c>
      <c r="AD27" s="740"/>
      <c r="AE27" s="740"/>
      <c r="AF27" s="740"/>
      <c r="AG27" s="740"/>
      <c r="AH27" s="741"/>
      <c r="AI27" s="143"/>
      <c r="AJ27" s="143"/>
      <c r="AK27" s="143"/>
      <c r="AL27" s="143"/>
      <c r="AM27" s="143"/>
      <c r="AN27" s="67"/>
      <c r="AO27" s="375"/>
      <c r="AP27" s="441">
        <f>AF29/(1-(AH35/100))</f>
        <v>17.233620799124864</v>
      </c>
      <c r="AQ27" s="448"/>
      <c r="AR27" s="440"/>
      <c r="AS27" s="440"/>
    </row>
    <row r="28" spans="3:45" ht="21.75" customHeight="1" x14ac:dyDescent="0.4">
      <c r="C28" s="143"/>
      <c r="D28" s="143"/>
      <c r="E28" s="796" t="str">
        <f>G10</f>
        <v>SHALE</v>
      </c>
      <c r="F28" s="797"/>
      <c r="G28" s="797"/>
      <c r="H28" s="966">
        <f>(S14*S17*S19-S14*S15*S21)/S23</f>
        <v>15.768763031199251</v>
      </c>
      <c r="I28" s="966"/>
      <c r="J28" s="967"/>
      <c r="K28" s="143"/>
      <c r="L28" s="143"/>
      <c r="M28" s="143"/>
      <c r="N28" s="143"/>
      <c r="O28" s="143"/>
      <c r="P28" s="522"/>
      <c r="Q28" s="445"/>
      <c r="R28" s="442">
        <f>SUM(R25:R27)</f>
        <v>105.99496756314764</v>
      </c>
      <c r="S28" s="448"/>
      <c r="T28" s="440"/>
      <c r="U28" s="440"/>
      <c r="V28" s="522"/>
      <c r="AA28" s="143"/>
      <c r="AB28" s="143"/>
      <c r="AC28" s="910" t="str">
        <f>AD11</f>
        <v>LIMESTONE</v>
      </c>
      <c r="AD28" s="911"/>
      <c r="AE28" s="911"/>
      <c r="AF28" s="912">
        <f>(AQ15*AQ17*AQ22-AQ15*AQ18*AQ21)/AQ24</f>
        <v>81.200410348327523</v>
      </c>
      <c r="AG28" s="912"/>
      <c r="AH28" s="913"/>
      <c r="AI28" s="143"/>
      <c r="AJ28" s="143"/>
      <c r="AK28" s="143"/>
      <c r="AL28" s="143"/>
      <c r="AM28" s="143"/>
      <c r="AN28" s="67"/>
      <c r="AO28" s="375"/>
      <c r="AP28" s="441">
        <f>AF30/(1-(AH36/100))</f>
        <v>3.2872306078885254</v>
      </c>
      <c r="AQ28" s="448"/>
      <c r="AR28" s="440"/>
      <c r="AS28" s="440"/>
    </row>
    <row r="29" spans="3:45" ht="21.75" customHeight="1" x14ac:dyDescent="0.4">
      <c r="C29" s="143"/>
      <c r="D29" s="143"/>
      <c r="E29" s="914" t="str">
        <f>H10</f>
        <v>IRON ORE</v>
      </c>
      <c r="F29" s="915"/>
      <c r="G29" s="915"/>
      <c r="H29" s="957">
        <f>100-H28-H27</f>
        <v>3.0308266204732206</v>
      </c>
      <c r="I29" s="957"/>
      <c r="J29" s="958"/>
      <c r="K29" s="143"/>
      <c r="L29" s="143"/>
      <c r="M29" s="143"/>
      <c r="N29" s="143"/>
      <c r="O29" s="143"/>
      <c r="P29" s="522"/>
      <c r="Q29" s="445"/>
      <c r="R29" s="443">
        <f>H30/R28</f>
        <v>0.9434410170503984</v>
      </c>
      <c r="S29" s="448"/>
      <c r="T29" s="440"/>
      <c r="U29" s="440"/>
      <c r="V29" s="522"/>
      <c r="AA29" s="143"/>
      <c r="AB29" s="143"/>
      <c r="AC29" s="796" t="str">
        <f>AE11</f>
        <v>SHALE</v>
      </c>
      <c r="AD29" s="797"/>
      <c r="AE29" s="797"/>
      <c r="AF29" s="912">
        <f>(AQ15*AQ18*AQ20-AQ15*AQ16*AQ22)/AQ24</f>
        <v>15.768763031199251</v>
      </c>
      <c r="AG29" s="912"/>
      <c r="AH29" s="913"/>
      <c r="AI29" s="143"/>
      <c r="AJ29" s="143"/>
      <c r="AK29" s="143"/>
      <c r="AL29" s="143"/>
      <c r="AM29" s="143"/>
      <c r="AN29" s="67"/>
      <c r="AO29" s="375"/>
      <c r="AP29" s="442">
        <f>SUM(AP26:AP28)</f>
        <v>105.99496756314764</v>
      </c>
      <c r="AQ29" s="448"/>
      <c r="AR29" s="440"/>
      <c r="AS29" s="440"/>
    </row>
    <row r="30" spans="3:45" ht="21" thickBot="1" x14ac:dyDescent="0.45">
      <c r="C30" s="143"/>
      <c r="D30" s="143"/>
      <c r="E30" s="897" t="s">
        <v>10</v>
      </c>
      <c r="F30" s="898"/>
      <c r="G30" s="898"/>
      <c r="H30" s="959">
        <f>SUM(F27:H29)</f>
        <v>100</v>
      </c>
      <c r="I30" s="959"/>
      <c r="J30" s="960"/>
      <c r="K30" s="143"/>
      <c r="L30" s="143"/>
      <c r="M30" s="143"/>
      <c r="N30" s="143"/>
      <c r="O30" s="143"/>
      <c r="P30" s="522"/>
      <c r="Q30" s="445"/>
      <c r="R30" s="444"/>
      <c r="S30" s="444"/>
      <c r="T30" s="445"/>
      <c r="U30" s="445"/>
      <c r="V30" s="522"/>
      <c r="AA30" s="143"/>
      <c r="AB30" s="143"/>
      <c r="AC30" s="914" t="str">
        <f>AF11</f>
        <v>IRON ORE</v>
      </c>
      <c r="AD30" s="915"/>
      <c r="AE30" s="915"/>
      <c r="AF30" s="912">
        <f>100-AF29-AF28</f>
        <v>3.0308266204732206</v>
      </c>
      <c r="AG30" s="912"/>
      <c r="AH30" s="913"/>
      <c r="AI30" s="143"/>
      <c r="AJ30" s="143"/>
      <c r="AK30" s="143"/>
      <c r="AL30" s="143"/>
      <c r="AM30" s="143"/>
      <c r="AN30" s="67"/>
      <c r="AO30" s="375"/>
      <c r="AP30" s="443">
        <f>AF31/AP29</f>
        <v>0.9434410170503984</v>
      </c>
      <c r="AQ30" s="448"/>
      <c r="AR30" s="440"/>
      <c r="AS30" s="440"/>
    </row>
    <row r="31" spans="3:45" ht="27.75" thickTop="1" thickBot="1" x14ac:dyDescent="0.45">
      <c r="C31" s="143"/>
      <c r="D31" s="143"/>
      <c r="E31" s="901" t="s">
        <v>179</v>
      </c>
      <c r="F31" s="902"/>
      <c r="G31" s="902"/>
      <c r="H31" s="902"/>
      <c r="I31" s="902"/>
      <c r="J31" s="903"/>
      <c r="K31" s="143"/>
      <c r="L31" s="143"/>
      <c r="M31" s="143"/>
      <c r="N31" s="143"/>
      <c r="O31" s="143"/>
      <c r="P31" s="522"/>
      <c r="Q31" s="522"/>
      <c r="R31" s="522"/>
      <c r="S31" s="522"/>
      <c r="T31" s="522"/>
      <c r="U31" s="522"/>
      <c r="V31" s="522"/>
      <c r="AA31" s="143"/>
      <c r="AB31" s="143"/>
      <c r="AC31" s="897" t="s">
        <v>10</v>
      </c>
      <c r="AD31" s="898"/>
      <c r="AE31" s="898"/>
      <c r="AF31" s="899">
        <f>SUM(AD28:AF30)</f>
        <v>100</v>
      </c>
      <c r="AG31" s="899"/>
      <c r="AH31" s="900"/>
      <c r="AI31" s="143"/>
      <c r="AJ31" s="143"/>
      <c r="AK31" s="143"/>
      <c r="AL31" s="143"/>
      <c r="AM31" s="143"/>
      <c r="AN31" s="67"/>
      <c r="AO31" s="375"/>
      <c r="AP31" s="373"/>
      <c r="AQ31" s="373"/>
      <c r="AR31" s="375"/>
      <c r="AS31" s="375"/>
    </row>
    <row r="32" spans="3:45" ht="27.75" thickTop="1" thickBot="1" x14ac:dyDescent="0.45">
      <c r="C32" s="143"/>
      <c r="D32" s="143"/>
      <c r="E32" s="383" t="s">
        <v>75</v>
      </c>
      <c r="F32" s="922" t="s">
        <v>190</v>
      </c>
      <c r="G32" s="923"/>
      <c r="H32" s="906" t="s">
        <v>151</v>
      </c>
      <c r="I32" s="907"/>
      <c r="J32" s="384" t="s">
        <v>150</v>
      </c>
      <c r="K32" s="143"/>
      <c r="L32" s="143"/>
      <c r="M32" s="143"/>
      <c r="N32" s="143"/>
      <c r="O32" s="143"/>
      <c r="P32" s="67"/>
      <c r="Q32" s="67"/>
      <c r="R32" s="67"/>
      <c r="AA32" s="143"/>
      <c r="AB32" s="143"/>
      <c r="AC32" s="901" t="s">
        <v>179</v>
      </c>
      <c r="AD32" s="902"/>
      <c r="AE32" s="902"/>
      <c r="AF32" s="902"/>
      <c r="AG32" s="902"/>
      <c r="AH32" s="903"/>
      <c r="AI32" s="143"/>
      <c r="AJ32" s="143"/>
      <c r="AK32" s="143"/>
      <c r="AL32" s="143"/>
      <c r="AM32" s="143"/>
      <c r="AN32" s="67"/>
      <c r="AO32" s="67"/>
      <c r="AP32" s="67"/>
    </row>
    <row r="33" spans="2:43" ht="21.75" thickTop="1" thickBot="1" x14ac:dyDescent="0.45">
      <c r="C33" s="143"/>
      <c r="D33" s="143"/>
      <c r="E33" s="377" t="str">
        <f>E27</f>
        <v>LIMESTONE</v>
      </c>
      <c r="F33" s="785">
        <f>R25*R29</f>
        <v>80.639787077827179</v>
      </c>
      <c r="G33" s="786"/>
      <c r="H33" s="949">
        <v>81.2</v>
      </c>
      <c r="I33" s="950"/>
      <c r="J33" s="385">
        <v>5</v>
      </c>
      <c r="K33" s="143"/>
      <c r="L33" s="143"/>
      <c r="M33" s="143"/>
      <c r="N33" s="143"/>
      <c r="O33" s="143"/>
      <c r="P33" s="67"/>
      <c r="Q33" s="67"/>
      <c r="R33" s="67"/>
      <c r="AA33" s="143"/>
      <c r="AB33" s="143"/>
      <c r="AC33" s="383" t="s">
        <v>75</v>
      </c>
      <c r="AD33" s="904" t="s">
        <v>190</v>
      </c>
      <c r="AE33" s="905"/>
      <c r="AF33" s="906" t="s">
        <v>151</v>
      </c>
      <c r="AG33" s="907"/>
      <c r="AH33" s="384" t="s">
        <v>150</v>
      </c>
      <c r="AI33" s="143"/>
      <c r="AJ33" s="143"/>
      <c r="AK33" s="143"/>
      <c r="AL33" s="143"/>
      <c r="AM33" s="143"/>
      <c r="AN33" s="67"/>
      <c r="AO33" s="67"/>
      <c r="AP33" s="67"/>
    </row>
    <row r="34" spans="2:43" ht="21.75" thickTop="1" thickBot="1" x14ac:dyDescent="0.45">
      <c r="B34" s="67"/>
      <c r="C34" s="143"/>
      <c r="D34" s="143"/>
      <c r="E34" s="386" t="str">
        <f>E28</f>
        <v>SHALE</v>
      </c>
      <c r="F34" s="787">
        <f>R26*R29</f>
        <v>16.258904734187261</v>
      </c>
      <c r="G34" s="788"/>
      <c r="H34" s="951">
        <v>15.8</v>
      </c>
      <c r="I34" s="952"/>
      <c r="J34" s="385">
        <v>8.5</v>
      </c>
      <c r="K34" s="143"/>
      <c r="L34" s="143"/>
      <c r="M34" s="143"/>
      <c r="N34" s="143"/>
      <c r="O34" s="143"/>
      <c r="P34" s="67"/>
      <c r="Q34" s="67"/>
      <c r="R34" s="67"/>
      <c r="AA34" s="143"/>
      <c r="AB34" s="143"/>
      <c r="AC34" s="377" t="str">
        <f>AC28</f>
        <v>LIMESTONE</v>
      </c>
      <c r="AD34" s="711">
        <f>AP26*AP30</f>
        <v>80.639787077827179</v>
      </c>
      <c r="AE34" s="712"/>
      <c r="AF34" s="908">
        <v>81.2</v>
      </c>
      <c r="AG34" s="909"/>
      <c r="AH34" s="453">
        <v>5</v>
      </c>
      <c r="AI34" s="143"/>
      <c r="AJ34" s="143"/>
      <c r="AK34" s="143"/>
      <c r="AL34" s="143"/>
      <c r="AM34" s="143"/>
      <c r="AN34" s="67"/>
      <c r="AO34" s="67"/>
      <c r="AP34" s="67"/>
    </row>
    <row r="35" spans="2:43" ht="21.75" thickTop="1" thickBot="1" x14ac:dyDescent="0.45">
      <c r="C35" s="143"/>
      <c r="D35" s="143"/>
      <c r="E35" s="387" t="str">
        <f>E29</f>
        <v>IRON ORE</v>
      </c>
      <c r="F35" s="924">
        <f>R27*R29</f>
        <v>3.1013081879855497</v>
      </c>
      <c r="G35" s="925"/>
      <c r="H35" s="953">
        <v>3</v>
      </c>
      <c r="I35" s="954"/>
      <c r="J35" s="385">
        <v>7.8</v>
      </c>
      <c r="K35" s="143"/>
      <c r="L35" s="143"/>
      <c r="M35" s="143"/>
      <c r="N35" s="143"/>
      <c r="O35" s="143"/>
      <c r="P35" s="67"/>
      <c r="Q35" s="67"/>
      <c r="R35" s="67"/>
      <c r="AA35" s="143"/>
      <c r="AB35" s="143"/>
      <c r="AC35" s="386" t="str">
        <f>AC29</f>
        <v>SHALE</v>
      </c>
      <c r="AD35" s="711">
        <f>AP27*AP30</f>
        <v>16.258904734187261</v>
      </c>
      <c r="AE35" s="712"/>
      <c r="AF35" s="895">
        <v>15.8</v>
      </c>
      <c r="AG35" s="896"/>
      <c r="AH35" s="453">
        <v>8.5</v>
      </c>
      <c r="AI35" s="143"/>
      <c r="AJ35" s="143"/>
      <c r="AK35" s="143"/>
      <c r="AL35" s="143"/>
      <c r="AM35" s="143"/>
      <c r="AN35" s="67"/>
      <c r="AO35" s="67"/>
      <c r="AP35" s="67"/>
    </row>
    <row r="36" spans="2:43" ht="21.75" thickTop="1" thickBot="1" x14ac:dyDescent="0.45">
      <c r="C36" s="143"/>
      <c r="D36" s="143"/>
      <c r="E36" s="366" t="str">
        <f>E30</f>
        <v>TOTAL</v>
      </c>
      <c r="F36" s="811">
        <f>F33+F34+F35</f>
        <v>100</v>
      </c>
      <c r="G36" s="812"/>
      <c r="H36" s="815">
        <f>H33+H34+H35</f>
        <v>100</v>
      </c>
      <c r="I36" s="816"/>
      <c r="J36" s="419">
        <f t="shared" ref="J36" si="0">J33+J34+J35</f>
        <v>21.3</v>
      </c>
      <c r="K36" s="143"/>
      <c r="L36" s="143"/>
      <c r="M36" s="143"/>
      <c r="N36" s="143"/>
      <c r="O36" s="143"/>
      <c r="P36" s="67"/>
      <c r="Q36" s="67"/>
      <c r="R36" s="67"/>
      <c r="AA36" s="143"/>
      <c r="AB36" s="143"/>
      <c r="AC36" s="387" t="str">
        <f>AC30</f>
        <v>IRON ORE</v>
      </c>
      <c r="AD36" s="711">
        <f>AP28*AP30</f>
        <v>3.1013081879855497</v>
      </c>
      <c r="AE36" s="712"/>
      <c r="AF36" s="895">
        <v>3</v>
      </c>
      <c r="AG36" s="896"/>
      <c r="AH36" s="453">
        <v>7.8</v>
      </c>
      <c r="AI36" s="143"/>
      <c r="AJ36" s="143"/>
      <c r="AK36" s="143"/>
      <c r="AL36" s="143"/>
      <c r="AM36" s="143"/>
      <c r="AN36" s="67"/>
      <c r="AO36" s="67"/>
      <c r="AP36" s="67"/>
    </row>
    <row r="37" spans="2:43" ht="21" thickTop="1" thickBot="1" x14ac:dyDescent="0.45"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67"/>
      <c r="Q37" s="67"/>
      <c r="R37" s="67"/>
      <c r="AA37" s="143"/>
      <c r="AB37" s="143"/>
      <c r="AC37" s="366" t="str">
        <f>AC31</f>
        <v>TOTAL</v>
      </c>
      <c r="AD37" s="715">
        <f>AD34+AD35+AD36</f>
        <v>100</v>
      </c>
      <c r="AE37" s="716"/>
      <c r="AF37" s="717">
        <f>AF34+AF35+AF36</f>
        <v>100</v>
      </c>
      <c r="AG37" s="718"/>
      <c r="AH37" s="454">
        <f t="shared" ref="AH37" si="1">AH34+AH35+AH36</f>
        <v>21.3</v>
      </c>
      <c r="AI37" s="143"/>
      <c r="AJ37" s="143"/>
      <c r="AK37" s="143"/>
      <c r="AL37" s="143"/>
      <c r="AM37" s="143"/>
      <c r="AN37" s="67"/>
      <c r="AO37" s="67"/>
      <c r="AP37" s="67"/>
    </row>
    <row r="38" spans="2:43" ht="20.25" thickTop="1" x14ac:dyDescent="0.4"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67"/>
      <c r="Q38" s="67"/>
      <c r="R38" s="67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67"/>
      <c r="AO38" s="67"/>
      <c r="AP38" s="67"/>
    </row>
    <row r="39" spans="2:43" x14ac:dyDescent="0.4">
      <c r="C39" s="67"/>
      <c r="D39" s="67"/>
      <c r="E39" s="67"/>
      <c r="F39" s="67"/>
      <c r="G39" s="67"/>
      <c r="H39" s="67"/>
      <c r="I39" s="67"/>
      <c r="J39" s="67"/>
      <c r="K39" s="67"/>
      <c r="L39" s="78"/>
      <c r="M39" s="77"/>
      <c r="N39" s="67"/>
      <c r="O39" s="67"/>
      <c r="P39" s="67"/>
      <c r="Q39" s="67"/>
      <c r="R39" s="67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67"/>
      <c r="AO39" s="67"/>
      <c r="AP39" s="67"/>
    </row>
    <row r="41" spans="2:43" x14ac:dyDescent="0.4">
      <c r="AC41" s="41"/>
      <c r="AD41" s="41"/>
      <c r="AE41" s="41"/>
      <c r="AF41" s="42"/>
      <c r="AG41" s="41"/>
      <c r="AH41" s="43"/>
      <c r="AI41" s="43"/>
      <c r="AJ41" s="44"/>
      <c r="AK41" s="41"/>
      <c r="AL41" s="41"/>
      <c r="AM41" s="41"/>
      <c r="AN41" s="41"/>
      <c r="AO41" s="41"/>
      <c r="AP41" s="41"/>
      <c r="AQ41" s="41"/>
    </row>
    <row r="42" spans="2:43" x14ac:dyDescent="0.4">
      <c r="AC42" s="41"/>
      <c r="AD42" s="41"/>
      <c r="AE42" s="41"/>
      <c r="AF42" s="42"/>
      <c r="AG42" s="41"/>
      <c r="AH42" s="43"/>
      <c r="AI42" s="43"/>
      <c r="AJ42" s="44"/>
      <c r="AK42" s="41"/>
      <c r="AL42" s="41"/>
      <c r="AM42" s="41"/>
      <c r="AN42" s="41"/>
      <c r="AO42" s="41"/>
      <c r="AP42" s="41"/>
      <c r="AQ42" s="41"/>
    </row>
    <row r="43" spans="2:43" x14ac:dyDescent="0.4">
      <c r="AC43" s="46"/>
      <c r="AD43" s="46"/>
      <c r="AE43" s="47"/>
      <c r="AF43" s="2"/>
      <c r="AG43" s="2"/>
      <c r="AH43" s="48"/>
      <c r="AI43" s="49"/>
      <c r="AJ43" s="49"/>
      <c r="AK43" s="49"/>
      <c r="AL43" s="50"/>
      <c r="AM43" s="51"/>
      <c r="AN43" s="51"/>
      <c r="AO43" s="51"/>
      <c r="AP43" s="52"/>
      <c r="AQ43" s="2"/>
    </row>
    <row r="44" spans="2:43" x14ac:dyDescent="0.4">
      <c r="AC44" s="606" t="s">
        <v>135</v>
      </c>
      <c r="AD44" s="607" t="s">
        <v>134</v>
      </c>
      <c r="AE44" s="608"/>
      <c r="AF44" s="2"/>
      <c r="AG44" s="2"/>
      <c r="AH44" s="54"/>
      <c r="AI44" s="55"/>
      <c r="AJ44" s="673" t="s">
        <v>137</v>
      </c>
      <c r="AK44" s="673"/>
      <c r="AL44" s="56"/>
      <c r="AM44" s="57"/>
      <c r="AN44" s="674" t="s">
        <v>138</v>
      </c>
      <c r="AO44" s="674"/>
      <c r="AP44" s="58"/>
      <c r="AQ44" s="2"/>
    </row>
    <row r="45" spans="2:43" x14ac:dyDescent="0.4">
      <c r="AC45" s="606"/>
      <c r="AD45" s="607"/>
      <c r="AE45" s="608"/>
      <c r="AF45" s="2"/>
      <c r="AG45" s="2"/>
      <c r="AH45" s="54"/>
      <c r="AI45" s="55"/>
      <c r="AJ45" s="673"/>
      <c r="AK45" s="673"/>
      <c r="AL45" s="56"/>
      <c r="AM45" s="57"/>
      <c r="AN45" s="674"/>
      <c r="AO45" s="674"/>
      <c r="AP45" s="58"/>
      <c r="AQ45" s="2"/>
    </row>
    <row r="46" spans="2:43" x14ac:dyDescent="0.4">
      <c r="AC46" s="60"/>
      <c r="AD46" s="60"/>
      <c r="AE46" s="61"/>
      <c r="AF46" s="2"/>
      <c r="AG46" s="2"/>
      <c r="AH46" s="62"/>
      <c r="AI46" s="63"/>
      <c r="AJ46" s="63"/>
      <c r="AK46" s="63"/>
      <c r="AL46" s="64"/>
      <c r="AM46" s="65"/>
      <c r="AN46" s="65"/>
      <c r="AO46" s="65"/>
      <c r="AP46" s="66"/>
      <c r="AQ46" s="2"/>
    </row>
  </sheetData>
  <mergeCells count="121">
    <mergeCell ref="E4:J7"/>
    <mergeCell ref="H28:J28"/>
    <mergeCell ref="E31:J31"/>
    <mergeCell ref="I22:J22"/>
    <mergeCell ref="I21:J21"/>
    <mergeCell ref="I20:J20"/>
    <mergeCell ref="H27:J27"/>
    <mergeCell ref="S22:U22"/>
    <mergeCell ref="S21:U21"/>
    <mergeCell ref="E29:G29"/>
    <mergeCell ref="E28:G28"/>
    <mergeCell ref="E27:G27"/>
    <mergeCell ref="H29:J29"/>
    <mergeCell ref="S23:U23"/>
    <mergeCell ref="E30:G30"/>
    <mergeCell ref="E26:J26"/>
    <mergeCell ref="I25:J25"/>
    <mergeCell ref="I24:J24"/>
    <mergeCell ref="I23:J23"/>
    <mergeCell ref="H30:J30"/>
    <mergeCell ref="S15:U15"/>
    <mergeCell ref="S18:U18"/>
    <mergeCell ref="S19:U19"/>
    <mergeCell ref="S20:U20"/>
    <mergeCell ref="E10:E11"/>
    <mergeCell ref="R10:U10"/>
    <mergeCell ref="S11:U11"/>
    <mergeCell ref="S12:U12"/>
    <mergeCell ref="S13:U13"/>
    <mergeCell ref="S14:U14"/>
    <mergeCell ref="S16:U16"/>
    <mergeCell ref="S17:U17"/>
    <mergeCell ref="I19:J19"/>
    <mergeCell ref="I18:J18"/>
    <mergeCell ref="I12:J12"/>
    <mergeCell ref="I11:J11"/>
    <mergeCell ref="I10:J10"/>
    <mergeCell ref="I17:J17"/>
    <mergeCell ref="I16:J16"/>
    <mergeCell ref="I15:J15"/>
    <mergeCell ref="I14:J14"/>
    <mergeCell ref="I13:J13"/>
    <mergeCell ref="E8:E9"/>
    <mergeCell ref="F8:H8"/>
    <mergeCell ref="F9:H9"/>
    <mergeCell ref="I8:J8"/>
    <mergeCell ref="I9:J9"/>
    <mergeCell ref="H32:I32"/>
    <mergeCell ref="H33:I33"/>
    <mergeCell ref="H34:I34"/>
    <mergeCell ref="H35:I35"/>
    <mergeCell ref="H36:I36"/>
    <mergeCell ref="F32:G32"/>
    <mergeCell ref="F33:G33"/>
    <mergeCell ref="F34:G34"/>
    <mergeCell ref="F35:G35"/>
    <mergeCell ref="F36:G36"/>
    <mergeCell ref="Q7:U7"/>
    <mergeCell ref="AC5:AH8"/>
    <mergeCell ref="AO8:AS8"/>
    <mergeCell ref="AC9:AC10"/>
    <mergeCell ref="AD9:AF9"/>
    <mergeCell ref="AG9:AH9"/>
    <mergeCell ref="AD10:AF10"/>
    <mergeCell ref="AG10:AH10"/>
    <mergeCell ref="AC11:AC12"/>
    <mergeCell ref="AG11:AH11"/>
    <mergeCell ref="AP11:AS11"/>
    <mergeCell ref="AG12:AH12"/>
    <mergeCell ref="AQ12:AS12"/>
    <mergeCell ref="AG13:AH13"/>
    <mergeCell ref="AQ13:AS13"/>
    <mergeCell ref="AG14:AH14"/>
    <mergeCell ref="AQ14:AS14"/>
    <mergeCell ref="AG15:AH15"/>
    <mergeCell ref="AQ15:AS15"/>
    <mergeCell ref="AG16:AH16"/>
    <mergeCell ref="AQ16:AS16"/>
    <mergeCell ref="AG17:AH17"/>
    <mergeCell ref="AQ17:AS17"/>
    <mergeCell ref="AG18:AH18"/>
    <mergeCell ref="AQ18:AS18"/>
    <mergeCell ref="AG19:AH19"/>
    <mergeCell ref="AQ19:AS19"/>
    <mergeCell ref="AF29:AH29"/>
    <mergeCell ref="AC30:AE30"/>
    <mergeCell ref="AF30:AH30"/>
    <mergeCell ref="AG20:AH20"/>
    <mergeCell ref="AQ20:AS20"/>
    <mergeCell ref="AG21:AH21"/>
    <mergeCell ref="AQ21:AS21"/>
    <mergeCell ref="AG22:AH22"/>
    <mergeCell ref="AQ22:AS22"/>
    <mergeCell ref="AG23:AH23"/>
    <mergeCell ref="AQ23:AS23"/>
    <mergeCell ref="AG24:AH24"/>
    <mergeCell ref="AQ24:AS24"/>
    <mergeCell ref="AD36:AE36"/>
    <mergeCell ref="AF36:AG36"/>
    <mergeCell ref="AD37:AE37"/>
    <mergeCell ref="AF37:AG37"/>
    <mergeCell ref="AC44:AC45"/>
    <mergeCell ref="AD44:AE45"/>
    <mergeCell ref="AJ44:AK45"/>
    <mergeCell ref="AN44:AO45"/>
    <mergeCell ref="E2:J2"/>
    <mergeCell ref="AC31:AE31"/>
    <mergeCell ref="AF31:AH31"/>
    <mergeCell ref="AC32:AH32"/>
    <mergeCell ref="AD33:AE33"/>
    <mergeCell ref="AF33:AG33"/>
    <mergeCell ref="AD34:AE34"/>
    <mergeCell ref="AF34:AG34"/>
    <mergeCell ref="AD35:AE35"/>
    <mergeCell ref="AF35:AG35"/>
    <mergeCell ref="AG25:AH25"/>
    <mergeCell ref="AG26:AH26"/>
    <mergeCell ref="AC27:AH27"/>
    <mergeCell ref="AC28:AE28"/>
    <mergeCell ref="AF28:AH28"/>
    <mergeCell ref="AC29:AE29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D2:AC65"/>
  <sheetViews>
    <sheetView zoomScale="55" zoomScaleNormal="55" workbookViewId="0">
      <selection activeCell="N28" sqref="N28"/>
    </sheetView>
  </sheetViews>
  <sheetFormatPr defaultRowHeight="19.5" x14ac:dyDescent="0.4"/>
  <cols>
    <col min="1" max="4" width="9.140625" style="36"/>
    <col min="5" max="5" width="12.140625" style="36" bestFit="1" customWidth="1"/>
    <col min="6" max="6" width="17.85546875" style="36" customWidth="1"/>
    <col min="7" max="7" width="12.7109375" style="36" bestFit="1" customWidth="1"/>
    <col min="8" max="8" width="20.140625" style="36" customWidth="1"/>
    <col min="9" max="9" width="10" style="36" bestFit="1" customWidth="1"/>
    <col min="10" max="10" width="9.140625" style="36" bestFit="1" customWidth="1"/>
    <col min="11" max="11" width="13.7109375" style="36" bestFit="1" customWidth="1"/>
    <col min="12" max="12" width="15" style="36" bestFit="1" customWidth="1"/>
    <col min="13" max="13" width="11.28515625" style="36" bestFit="1" customWidth="1"/>
    <col min="14" max="14" width="18.28515625" style="36" customWidth="1"/>
    <col min="15" max="15" width="9.85546875" style="36" bestFit="1" customWidth="1"/>
    <col min="16" max="16" width="11.7109375" style="36" bestFit="1" customWidth="1"/>
    <col min="17" max="17" width="13.28515625" style="36" bestFit="1" customWidth="1"/>
    <col min="18" max="19" width="8.42578125" style="36" bestFit="1" customWidth="1"/>
    <col min="20" max="20" width="9.5703125" style="36" bestFit="1" customWidth="1"/>
    <col min="21" max="21" width="14.140625" style="36" customWidth="1"/>
    <col min="22" max="22" width="18.85546875" style="36" bestFit="1" customWidth="1"/>
    <col min="23" max="23" width="19" style="36" bestFit="1" customWidth="1"/>
    <col min="24" max="24" width="20.7109375" style="36" customWidth="1"/>
    <col min="25" max="25" width="10.42578125" style="36" bestFit="1" customWidth="1"/>
    <col min="26" max="26" width="8" style="36" bestFit="1" customWidth="1"/>
    <col min="27" max="16384" width="9.140625" style="36"/>
  </cols>
  <sheetData>
    <row r="2" spans="4:28" x14ac:dyDescent="0.4">
      <c r="D2" s="75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75"/>
      <c r="AB2" s="75"/>
    </row>
    <row r="3" spans="4:28" ht="20.25" thickBot="1" x14ac:dyDescent="0.45">
      <c r="D3" s="120"/>
      <c r="E3" s="179"/>
      <c r="F3" s="179"/>
      <c r="G3" s="179"/>
      <c r="H3" s="179"/>
      <c r="I3" s="179"/>
      <c r="J3" s="179"/>
      <c r="K3" s="179"/>
      <c r="L3" s="179"/>
      <c r="M3" s="179"/>
      <c r="N3" s="179" t="s">
        <v>133</v>
      </c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20"/>
      <c r="AB3" s="120"/>
    </row>
    <row r="4" spans="4:28" ht="25.5" customHeight="1" thickTop="1" x14ac:dyDescent="0.4">
      <c r="D4" s="120"/>
      <c r="E4" s="871" t="s">
        <v>100</v>
      </c>
      <c r="F4" s="872"/>
      <c r="G4" s="872"/>
      <c r="H4" s="872"/>
      <c r="I4" s="872"/>
      <c r="J4" s="872"/>
      <c r="K4" s="872"/>
      <c r="L4" s="872"/>
      <c r="M4" s="872"/>
      <c r="N4" s="872"/>
      <c r="O4" s="872"/>
      <c r="P4" s="872"/>
      <c r="Q4" s="872"/>
      <c r="R4" s="872"/>
      <c r="S4" s="872"/>
      <c r="T4" s="872"/>
      <c r="U4" s="872"/>
      <c r="V4" s="872"/>
      <c r="W4" s="872"/>
      <c r="X4" s="872"/>
      <c r="Y4" s="872"/>
      <c r="Z4" s="873"/>
      <c r="AA4" s="120"/>
      <c r="AB4" s="120"/>
    </row>
    <row r="5" spans="4:28" ht="20.25" thickBot="1" x14ac:dyDescent="0.45">
      <c r="D5" s="120"/>
      <c r="E5" s="1014"/>
      <c r="F5" s="1015"/>
      <c r="G5" s="1015"/>
      <c r="H5" s="1015"/>
      <c r="I5" s="1015"/>
      <c r="J5" s="1015"/>
      <c r="K5" s="1015"/>
      <c r="L5" s="1015"/>
      <c r="M5" s="1015"/>
      <c r="N5" s="1015"/>
      <c r="O5" s="1015"/>
      <c r="P5" s="1015"/>
      <c r="Q5" s="1015"/>
      <c r="R5" s="1015"/>
      <c r="S5" s="1015"/>
      <c r="T5" s="1015"/>
      <c r="U5" s="1015"/>
      <c r="V5" s="1015"/>
      <c r="W5" s="1015"/>
      <c r="X5" s="1015"/>
      <c r="Y5" s="1015"/>
      <c r="Z5" s="1016"/>
      <c r="AA5" s="120"/>
      <c r="AB5" s="120"/>
    </row>
    <row r="6" spans="4:28" ht="24" customHeight="1" thickTop="1" x14ac:dyDescent="0.4">
      <c r="D6" s="120"/>
      <c r="E6" s="1040" t="s">
        <v>124</v>
      </c>
      <c r="F6" s="1034"/>
      <c r="G6" s="1037" t="s">
        <v>10</v>
      </c>
      <c r="H6" s="1037" t="s">
        <v>108</v>
      </c>
      <c r="I6" s="1037"/>
      <c r="J6" s="1037"/>
      <c r="K6" s="1037"/>
      <c r="L6" s="1017" t="s">
        <v>149</v>
      </c>
      <c r="M6" s="1018"/>
      <c r="N6" s="1018"/>
      <c r="O6" s="1018"/>
      <c r="P6" s="1018"/>
      <c r="Q6" s="1018"/>
      <c r="R6" s="1018"/>
      <c r="S6" s="1018"/>
      <c r="T6" s="1019"/>
      <c r="U6" s="1034" t="s">
        <v>39</v>
      </c>
      <c r="V6" s="1034" t="s">
        <v>10</v>
      </c>
      <c r="W6" s="1025" t="s">
        <v>101</v>
      </c>
      <c r="X6" s="1026"/>
      <c r="Y6" s="1026"/>
      <c r="Z6" s="1027"/>
      <c r="AA6" s="120"/>
      <c r="AB6" s="120"/>
    </row>
    <row r="7" spans="4:28" ht="19.5" customHeight="1" x14ac:dyDescent="0.4">
      <c r="D7" s="120"/>
      <c r="E7" s="1041"/>
      <c r="F7" s="1039"/>
      <c r="G7" s="1038"/>
      <c r="H7" s="1038"/>
      <c r="I7" s="1038"/>
      <c r="J7" s="1038"/>
      <c r="K7" s="1038"/>
      <c r="L7" s="1020"/>
      <c r="M7" s="1021"/>
      <c r="N7" s="1021"/>
      <c r="O7" s="1021"/>
      <c r="P7" s="1021"/>
      <c r="Q7" s="1021"/>
      <c r="R7" s="1021"/>
      <c r="S7" s="1021"/>
      <c r="T7" s="1022"/>
      <c r="U7" s="1039"/>
      <c r="V7" s="1039"/>
      <c r="W7" s="1028"/>
      <c r="X7" s="1029"/>
      <c r="Y7" s="1029"/>
      <c r="Z7" s="1030"/>
      <c r="AA7" s="120"/>
      <c r="AB7" s="120"/>
    </row>
    <row r="8" spans="4:28" ht="19.5" customHeight="1" x14ac:dyDescent="0.4">
      <c r="D8" s="120"/>
      <c r="E8" s="1041"/>
      <c r="F8" s="1039"/>
      <c r="G8" s="1038"/>
      <c r="H8" s="865" t="s">
        <v>110</v>
      </c>
      <c r="I8" s="867" t="s">
        <v>111</v>
      </c>
      <c r="J8" s="1042" t="s">
        <v>112</v>
      </c>
      <c r="K8" s="1005" t="s">
        <v>141</v>
      </c>
      <c r="L8" s="1023" t="s">
        <v>1</v>
      </c>
      <c r="M8" s="1023" t="s">
        <v>3</v>
      </c>
      <c r="N8" s="1023" t="s">
        <v>4</v>
      </c>
      <c r="O8" s="1023" t="s">
        <v>5</v>
      </c>
      <c r="P8" s="1023" t="s">
        <v>6</v>
      </c>
      <c r="Q8" s="1023" t="s">
        <v>8</v>
      </c>
      <c r="R8" s="1023" t="s">
        <v>7</v>
      </c>
      <c r="S8" s="1023" t="s">
        <v>9</v>
      </c>
      <c r="T8" s="1023" t="s">
        <v>40</v>
      </c>
      <c r="U8" s="1039"/>
      <c r="V8" s="1039"/>
      <c r="W8" s="1031" t="s">
        <v>38</v>
      </c>
      <c r="X8" s="1033" t="s">
        <v>49</v>
      </c>
      <c r="Y8" s="1031" t="s">
        <v>36</v>
      </c>
      <c r="Z8" s="1035" t="s">
        <v>37</v>
      </c>
      <c r="AA8" s="120"/>
      <c r="AB8" s="120"/>
    </row>
    <row r="9" spans="4:28" ht="20.25" customHeight="1" thickBot="1" x14ac:dyDescent="0.45">
      <c r="D9" s="120"/>
      <c r="E9" s="1041"/>
      <c r="F9" s="1039"/>
      <c r="G9" s="1038"/>
      <c r="H9" s="866"/>
      <c r="I9" s="868"/>
      <c r="J9" s="1043"/>
      <c r="K9" s="1006"/>
      <c r="L9" s="1024"/>
      <c r="M9" s="1024"/>
      <c r="N9" s="1024"/>
      <c r="O9" s="1024"/>
      <c r="P9" s="1024"/>
      <c r="Q9" s="1024"/>
      <c r="R9" s="1024"/>
      <c r="S9" s="1024"/>
      <c r="T9" s="1024"/>
      <c r="U9" s="1039"/>
      <c r="V9" s="1039"/>
      <c r="W9" s="1032"/>
      <c r="X9" s="1034"/>
      <c r="Y9" s="1032"/>
      <c r="Z9" s="1036"/>
      <c r="AA9" s="120"/>
      <c r="AB9" s="120"/>
    </row>
    <row r="10" spans="4:28" ht="21" thickTop="1" thickBot="1" x14ac:dyDescent="0.45">
      <c r="D10" s="120"/>
      <c r="E10" s="1007" t="s">
        <v>113</v>
      </c>
      <c r="F10" s="1008"/>
      <c r="G10" s="180">
        <f>H10+I10+J10+K10</f>
        <v>100</v>
      </c>
      <c r="H10" s="161">
        <v>80</v>
      </c>
      <c r="I10" s="163">
        <v>15</v>
      </c>
      <c r="J10" s="181">
        <v>4</v>
      </c>
      <c r="K10" s="182">
        <v>1</v>
      </c>
      <c r="L10" s="169">
        <v>13.97</v>
      </c>
      <c r="M10" s="169">
        <v>3.4</v>
      </c>
      <c r="N10" s="169">
        <v>2.16</v>
      </c>
      <c r="O10" s="169">
        <v>42.81</v>
      </c>
      <c r="P10" s="167">
        <v>1.65</v>
      </c>
      <c r="Q10" s="167">
        <v>0.26</v>
      </c>
      <c r="R10" s="167">
        <v>0.49</v>
      </c>
      <c r="S10" s="167">
        <v>0.2</v>
      </c>
      <c r="T10" s="167">
        <v>0.01</v>
      </c>
      <c r="U10" s="183">
        <f>0.786*O10+1.1*P10+0.2</f>
        <v>35.663660000000007</v>
      </c>
      <c r="V10" s="184">
        <f>SUM(L10:U10)</f>
        <v>100.61366000000001</v>
      </c>
      <c r="W10" s="202">
        <f>O10*100/(2.8*L10+1.2*M10+0.65*N10)</f>
        <v>95.986547085201792</v>
      </c>
      <c r="X10" s="184">
        <f xml:space="preserve"> O10/(L10+M10+N10)</f>
        <v>2.1920122887864824</v>
      </c>
      <c r="Y10" s="202">
        <f xml:space="preserve"> L10/(M10+N10)</f>
        <v>2.5125899280575537</v>
      </c>
      <c r="Z10" s="204">
        <f>M10/N10</f>
        <v>1.574074074074074</v>
      </c>
      <c r="AA10" s="120"/>
      <c r="AB10" s="120"/>
    </row>
    <row r="11" spans="4:28" ht="21" thickTop="1" thickBot="1" x14ac:dyDescent="0.45">
      <c r="D11" s="120"/>
      <c r="E11" s="1007" t="s">
        <v>125</v>
      </c>
      <c r="F11" s="1008"/>
      <c r="G11" s="180">
        <f t="shared" ref="G11:G13" si="0">H11+I11+J11+K11</f>
        <v>100</v>
      </c>
      <c r="H11" s="161">
        <f>100-I11-J11-K11</f>
        <v>80</v>
      </c>
      <c r="I11" s="163">
        <f>I10+M17-M10</f>
        <v>14.999999999999998</v>
      </c>
      <c r="J11" s="181">
        <f>J10+L17-L10</f>
        <v>3.9999999999999982</v>
      </c>
      <c r="K11" s="182">
        <f>K10+N17-N10</f>
        <v>1</v>
      </c>
      <c r="L11" s="169">
        <v>13.97</v>
      </c>
      <c r="M11" s="169">
        <v>3.4</v>
      </c>
      <c r="N11" s="169">
        <v>2.16</v>
      </c>
      <c r="O11" s="169">
        <v>42.81</v>
      </c>
      <c r="P11" s="167">
        <v>1.65</v>
      </c>
      <c r="Q11" s="167">
        <v>0.26</v>
      </c>
      <c r="R11" s="167">
        <v>0.49</v>
      </c>
      <c r="S11" s="167">
        <v>0.2</v>
      </c>
      <c r="T11" s="167">
        <v>0.01</v>
      </c>
      <c r="U11" s="183">
        <f>0.786*O11+1.1*P11+0.2</f>
        <v>35.663660000000007</v>
      </c>
      <c r="V11" s="184">
        <f>SUM(L11:U11)</f>
        <v>100.61366000000001</v>
      </c>
      <c r="W11" s="202">
        <f t="shared" ref="W11:W13" si="1">O11*100/(2.8*L11+1.2*M11+0.65*N11)</f>
        <v>95.986547085201792</v>
      </c>
      <c r="X11" s="184">
        <f t="shared" ref="X11:X13" si="2" xml:space="preserve"> O11/(L11+M11+N11)</f>
        <v>2.1920122887864824</v>
      </c>
      <c r="Y11" s="202">
        <f t="shared" ref="Y11:Y13" si="3" xml:space="preserve"> L11/(M11+N11)</f>
        <v>2.5125899280575537</v>
      </c>
      <c r="Z11" s="204">
        <f t="shared" ref="Z11:Z13" si="4">M11/N11</f>
        <v>1.574074074074074</v>
      </c>
      <c r="AA11" s="120"/>
      <c r="AB11" s="120"/>
    </row>
    <row r="12" spans="4:28" ht="21" thickTop="1" thickBot="1" x14ac:dyDescent="0.45">
      <c r="D12" s="120"/>
      <c r="E12" s="1007" t="s">
        <v>125</v>
      </c>
      <c r="F12" s="1008"/>
      <c r="G12" s="180">
        <f t="shared" si="0"/>
        <v>100</v>
      </c>
      <c r="H12" s="161">
        <f>100-I12-J12-K12</f>
        <v>80</v>
      </c>
      <c r="I12" s="163">
        <f>I11+M17-M11</f>
        <v>14.999999999999998</v>
      </c>
      <c r="J12" s="181">
        <f>J11+L17-L11</f>
        <v>3.9999999999999982</v>
      </c>
      <c r="K12" s="182">
        <f>K11+N17-N11</f>
        <v>1</v>
      </c>
      <c r="L12" s="169">
        <v>13.97</v>
      </c>
      <c r="M12" s="169">
        <v>3.4</v>
      </c>
      <c r="N12" s="169">
        <v>2.16</v>
      </c>
      <c r="O12" s="169">
        <v>42.81</v>
      </c>
      <c r="P12" s="167">
        <v>1.65</v>
      </c>
      <c r="Q12" s="167">
        <v>0.26</v>
      </c>
      <c r="R12" s="167">
        <v>0.49</v>
      </c>
      <c r="S12" s="167">
        <v>0.2</v>
      </c>
      <c r="T12" s="167">
        <v>0.01</v>
      </c>
      <c r="U12" s="183">
        <f>0.786*O12+1.1*P12+0.2</f>
        <v>35.663660000000007</v>
      </c>
      <c r="V12" s="184">
        <f>SUM(L12:U12)</f>
        <v>100.61366000000001</v>
      </c>
      <c r="W12" s="202">
        <f t="shared" si="1"/>
        <v>95.986547085201792</v>
      </c>
      <c r="X12" s="184">
        <f t="shared" si="2"/>
        <v>2.1920122887864824</v>
      </c>
      <c r="Y12" s="202">
        <f t="shared" si="3"/>
        <v>2.5125899280575537</v>
      </c>
      <c r="Z12" s="204">
        <f t="shared" si="4"/>
        <v>1.574074074074074</v>
      </c>
      <c r="AA12" s="120"/>
      <c r="AB12" s="120"/>
    </row>
    <row r="13" spans="4:28" ht="21" thickTop="1" thickBot="1" x14ac:dyDescent="0.45">
      <c r="D13" s="120"/>
      <c r="E13" s="1007" t="s">
        <v>125</v>
      </c>
      <c r="F13" s="1008"/>
      <c r="G13" s="180">
        <f t="shared" si="0"/>
        <v>100</v>
      </c>
      <c r="H13" s="161">
        <f>100-I13-J13-K13</f>
        <v>80</v>
      </c>
      <c r="I13" s="163">
        <f>I12+M17-M12</f>
        <v>14.999999999999998</v>
      </c>
      <c r="J13" s="181">
        <f>J12+L17-L12</f>
        <v>3.9999999999999982</v>
      </c>
      <c r="K13" s="182">
        <f>K12+N17-N12</f>
        <v>1</v>
      </c>
      <c r="L13" s="170">
        <v>13.97</v>
      </c>
      <c r="M13" s="170">
        <v>3.4</v>
      </c>
      <c r="N13" s="170">
        <v>2.16</v>
      </c>
      <c r="O13" s="170">
        <v>42.81</v>
      </c>
      <c r="P13" s="168">
        <v>1.65</v>
      </c>
      <c r="Q13" s="168">
        <v>0.26</v>
      </c>
      <c r="R13" s="168">
        <v>0.49</v>
      </c>
      <c r="S13" s="168">
        <v>0.2</v>
      </c>
      <c r="T13" s="168">
        <v>0.01</v>
      </c>
      <c r="U13" s="185">
        <f>0.786*O13+1.1*P13+0.2</f>
        <v>35.663660000000007</v>
      </c>
      <c r="V13" s="186">
        <f>SUM(L13:U13)</f>
        <v>100.61366000000001</v>
      </c>
      <c r="W13" s="203">
        <f t="shared" si="1"/>
        <v>95.986547085201792</v>
      </c>
      <c r="X13" s="186">
        <f t="shared" si="2"/>
        <v>2.1920122887864824</v>
      </c>
      <c r="Y13" s="203">
        <f t="shared" si="3"/>
        <v>2.5125899280575537</v>
      </c>
      <c r="Z13" s="205">
        <f t="shared" si="4"/>
        <v>1.574074074074074</v>
      </c>
      <c r="AA13" s="120"/>
      <c r="AB13" s="120"/>
    </row>
    <row r="14" spans="4:28" ht="21" thickTop="1" thickBot="1" x14ac:dyDescent="0.45">
      <c r="D14" s="120"/>
      <c r="E14" s="1009" t="s">
        <v>125</v>
      </c>
      <c r="F14" s="1010"/>
      <c r="G14" s="187">
        <f>H14+I14+J14+K14</f>
        <v>100</v>
      </c>
      <c r="H14" s="162">
        <f>100-I14-J14-K14</f>
        <v>80</v>
      </c>
      <c r="I14" s="164">
        <f>I13+M17-M13</f>
        <v>14.999999999999998</v>
      </c>
      <c r="J14" s="188">
        <f>J13+L17-L13</f>
        <v>3.9999999999999982</v>
      </c>
      <c r="K14" s="189">
        <f>K13+N17-N13</f>
        <v>1</v>
      </c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120"/>
      <c r="AB14" s="120"/>
    </row>
    <row r="15" spans="4:28" ht="21.75" thickTop="1" thickBot="1" x14ac:dyDescent="0.45">
      <c r="D15" s="120"/>
      <c r="E15" s="190"/>
      <c r="F15" s="190"/>
      <c r="G15" s="190"/>
      <c r="H15" s="179"/>
      <c r="I15" s="179"/>
      <c r="J15" s="179"/>
      <c r="K15" s="179"/>
      <c r="L15" s="698" t="s">
        <v>118</v>
      </c>
      <c r="M15" s="699"/>
      <c r="N15" s="699"/>
      <c r="O15" s="699"/>
      <c r="P15" s="699"/>
      <c r="Q15" s="699"/>
      <c r="R15" s="699"/>
      <c r="S15" s="699"/>
      <c r="T15" s="699"/>
      <c r="U15" s="699"/>
      <c r="V15" s="699"/>
      <c r="W15" s="699"/>
      <c r="X15" s="699"/>
      <c r="Y15" s="699"/>
      <c r="Z15" s="700"/>
      <c r="AA15" s="120"/>
      <c r="AB15" s="120"/>
    </row>
    <row r="16" spans="4:28" ht="21" thickBot="1" x14ac:dyDescent="0.45">
      <c r="D16" s="120"/>
      <c r="E16" s="179"/>
      <c r="F16" s="179"/>
      <c r="G16" s="1011" t="s">
        <v>119</v>
      </c>
      <c r="H16" s="1012"/>
      <c r="I16" s="1012"/>
      <c r="J16" s="1013"/>
      <c r="K16" s="179"/>
      <c r="L16" s="131" t="s">
        <v>1</v>
      </c>
      <c r="M16" s="132" t="s">
        <v>3</v>
      </c>
      <c r="N16" s="132" t="s">
        <v>4</v>
      </c>
      <c r="O16" s="132" t="s">
        <v>5</v>
      </c>
      <c r="P16" s="132" t="s">
        <v>6</v>
      </c>
      <c r="Q16" s="132" t="s">
        <v>8</v>
      </c>
      <c r="R16" s="132" t="s">
        <v>7</v>
      </c>
      <c r="S16" s="132" t="s">
        <v>9</v>
      </c>
      <c r="T16" s="132" t="s">
        <v>40</v>
      </c>
      <c r="U16" s="133" t="s">
        <v>39</v>
      </c>
      <c r="V16" s="133" t="s">
        <v>10</v>
      </c>
      <c r="W16" s="129" t="s">
        <v>38</v>
      </c>
      <c r="X16" s="201" t="s">
        <v>49</v>
      </c>
      <c r="Y16" s="129" t="s">
        <v>36</v>
      </c>
      <c r="Z16" s="200" t="s">
        <v>37</v>
      </c>
      <c r="AA16" s="120"/>
      <c r="AB16" s="120"/>
    </row>
    <row r="17" spans="4:29" ht="21" thickTop="1" thickBot="1" x14ac:dyDescent="0.45">
      <c r="D17" s="120"/>
      <c r="E17" s="179"/>
      <c r="F17" s="179"/>
      <c r="G17" s="989" t="s">
        <v>38</v>
      </c>
      <c r="H17" s="990"/>
      <c r="I17" s="991">
        <f>W17</f>
        <v>95.986547085201792</v>
      </c>
      <c r="J17" s="992"/>
      <c r="K17" s="179"/>
      <c r="L17" s="207">
        <v>13.97</v>
      </c>
      <c r="M17" s="208">
        <v>3.4</v>
      </c>
      <c r="N17" s="208">
        <v>2.16</v>
      </c>
      <c r="O17" s="208">
        <v>42.81</v>
      </c>
      <c r="P17" s="209">
        <v>1.65</v>
      </c>
      <c r="Q17" s="209">
        <v>0.26</v>
      </c>
      <c r="R17" s="209">
        <v>0.49</v>
      </c>
      <c r="S17" s="209">
        <v>0.2</v>
      </c>
      <c r="T17" s="209">
        <v>0.01</v>
      </c>
      <c r="U17" s="210">
        <f>0.786*O17+1.1*P17+0.2</f>
        <v>35.663660000000007</v>
      </c>
      <c r="V17" s="191">
        <f>SUM(L17:U17)</f>
        <v>100.61366000000001</v>
      </c>
      <c r="W17" s="211">
        <f>O17*100/(2.8*L17+1.2*M17+0.65*N17)</f>
        <v>95.986547085201792</v>
      </c>
      <c r="X17" s="191">
        <f>O17/(L17+M17+N17)</f>
        <v>2.1920122887864824</v>
      </c>
      <c r="Y17" s="211">
        <f>L17/(M17+N17)</f>
        <v>2.5125899280575537</v>
      </c>
      <c r="Z17" s="212">
        <f>M17/N17</f>
        <v>1.574074074074074</v>
      </c>
      <c r="AA17" s="120"/>
      <c r="AB17" s="120"/>
    </row>
    <row r="18" spans="4:29" ht="21.75" thickTop="1" thickBot="1" x14ac:dyDescent="0.45">
      <c r="D18" s="120"/>
      <c r="E18" s="179"/>
      <c r="F18" s="179"/>
      <c r="G18" s="989" t="s">
        <v>36</v>
      </c>
      <c r="H18" s="990"/>
      <c r="I18" s="991">
        <f>Y17</f>
        <v>2.5125899280575537</v>
      </c>
      <c r="J18" s="992"/>
      <c r="K18" s="179"/>
      <c r="L18" s="633" t="s">
        <v>122</v>
      </c>
      <c r="M18" s="634"/>
      <c r="N18" s="634"/>
      <c r="O18" s="634"/>
      <c r="P18" s="634"/>
      <c r="Q18" s="634"/>
      <c r="R18" s="634"/>
      <c r="S18" s="634"/>
      <c r="T18" s="634"/>
      <c r="U18" s="634"/>
      <c r="V18" s="635"/>
      <c r="W18" s="635"/>
      <c r="X18" s="635"/>
      <c r="Y18" s="635"/>
      <c r="Z18" s="636"/>
      <c r="AA18" s="120"/>
      <c r="AB18" s="120"/>
    </row>
    <row r="19" spans="4:29" ht="21" thickTop="1" thickBot="1" x14ac:dyDescent="0.45">
      <c r="D19" s="120"/>
      <c r="E19" s="179"/>
      <c r="F19" s="179"/>
      <c r="G19" s="989" t="s">
        <v>37</v>
      </c>
      <c r="H19" s="990"/>
      <c r="I19" s="993">
        <f>Z17</f>
        <v>1.574074074074074</v>
      </c>
      <c r="J19" s="994"/>
      <c r="K19" s="179"/>
      <c r="L19" s="213">
        <v>51.910012874140349</v>
      </c>
      <c r="M19" s="214">
        <v>24.189980517995103</v>
      </c>
      <c r="N19" s="214">
        <v>6.7227097100043149</v>
      </c>
      <c r="O19" s="214">
        <v>8.1274517505998443</v>
      </c>
      <c r="P19" s="214">
        <v>1.1075203400231253</v>
      </c>
      <c r="Q19" s="214">
        <v>0.2</v>
      </c>
      <c r="R19" s="214">
        <v>0.9</v>
      </c>
      <c r="S19" s="215">
        <v>4.2</v>
      </c>
      <c r="T19" s="214">
        <v>0.01</v>
      </c>
      <c r="U19" s="216">
        <v>1.5</v>
      </c>
      <c r="V19" s="191">
        <f>SUM(L19:U19)</f>
        <v>98.867675192762746</v>
      </c>
      <c r="W19" s="191">
        <f t="shared" ref="W19" si="5">O19*100/(2.8*L19+1.2*M19+0.65*N19)</f>
        <v>4.5469336530875761</v>
      </c>
      <c r="X19" s="191">
        <f t="shared" ref="X19" si="6">O19/(L19+M19+N19)</f>
        <v>9.8130723173533663E-2</v>
      </c>
      <c r="Y19" s="191">
        <f t="shared" ref="Y19" si="7">L19/(M19+N19)</f>
        <v>1.6792460472146948</v>
      </c>
      <c r="Z19" s="192">
        <f t="shared" ref="Z19" si="8">M19/N19</f>
        <v>3.5982485577202734</v>
      </c>
      <c r="AA19" s="120"/>
      <c r="AB19" s="120"/>
    </row>
    <row r="20" spans="4:29" ht="21.75" thickTop="1" thickBot="1" x14ac:dyDescent="0.45">
      <c r="D20" s="120"/>
      <c r="E20" s="179"/>
      <c r="F20" s="179"/>
      <c r="G20" s="647" t="s">
        <v>45</v>
      </c>
      <c r="H20" s="648"/>
      <c r="I20" s="985">
        <v>2.1000000000000001E-2</v>
      </c>
      <c r="J20" s="986"/>
      <c r="K20" s="179"/>
      <c r="L20" s="637" t="s">
        <v>121</v>
      </c>
      <c r="M20" s="638"/>
      <c r="N20" s="638"/>
      <c r="O20" s="638"/>
      <c r="P20" s="638"/>
      <c r="Q20" s="638"/>
      <c r="R20" s="638"/>
      <c r="S20" s="638"/>
      <c r="T20" s="638"/>
      <c r="U20" s="638"/>
      <c r="V20" s="638"/>
      <c r="W20" s="638"/>
      <c r="X20" s="638"/>
      <c r="Y20" s="638"/>
      <c r="Z20" s="639"/>
      <c r="AA20" s="177"/>
      <c r="AB20" s="120"/>
    </row>
    <row r="21" spans="4:29" ht="21" thickTop="1" thickBot="1" x14ac:dyDescent="0.45">
      <c r="D21" s="120"/>
      <c r="E21" s="179"/>
      <c r="F21" s="179"/>
      <c r="G21" s="649" t="s">
        <v>120</v>
      </c>
      <c r="H21" s="650"/>
      <c r="I21" s="987" t="s">
        <v>130</v>
      </c>
      <c r="J21" s="988"/>
      <c r="K21" s="179"/>
      <c r="L21" s="217" t="s">
        <v>1</v>
      </c>
      <c r="M21" s="218" t="s">
        <v>3</v>
      </c>
      <c r="N21" s="218" t="s">
        <v>4</v>
      </c>
      <c r="O21" s="218" t="s">
        <v>5</v>
      </c>
      <c r="P21" s="218" t="s">
        <v>6</v>
      </c>
      <c r="Q21" s="218" t="s">
        <v>8</v>
      </c>
      <c r="R21" s="218" t="s">
        <v>7</v>
      </c>
      <c r="S21" s="218" t="s">
        <v>9</v>
      </c>
      <c r="T21" s="218" t="s">
        <v>40</v>
      </c>
      <c r="U21" s="1004" t="s">
        <v>10</v>
      </c>
      <c r="V21" s="1004"/>
      <c r="W21" s="171" t="s">
        <v>38</v>
      </c>
      <c r="X21" s="219" t="s">
        <v>49</v>
      </c>
      <c r="Y21" s="171" t="s">
        <v>36</v>
      </c>
      <c r="Z21" s="197" t="s">
        <v>37</v>
      </c>
      <c r="AA21" s="120"/>
      <c r="AB21" s="120"/>
    </row>
    <row r="22" spans="4:29" ht="21" thickTop="1" thickBot="1" x14ac:dyDescent="0.45">
      <c r="D22" s="120"/>
      <c r="E22" s="179"/>
      <c r="F22" s="179"/>
      <c r="G22" s="179"/>
      <c r="H22" s="179"/>
      <c r="I22" s="179"/>
      <c r="J22" s="179"/>
      <c r="K22" s="179"/>
      <c r="L22" s="206">
        <f>(1/(1-U17/100))*L17*(1-I20)+L19*I20</f>
        <v>22.348127123662564</v>
      </c>
      <c r="M22" s="169">
        <f>(1/(1-U17/100))*M17*(1-I20)+M19*I20</f>
        <v>5.6817374291913598</v>
      </c>
      <c r="N22" s="169">
        <f>(1/(1-U17/100))*N17*(1-I20)+N19*I20</f>
        <v>3.4280284717798204</v>
      </c>
      <c r="O22" s="169">
        <f>(1/(1-U17/100))*O17*(1-I20)+O19*I20</f>
        <v>65.314248533291831</v>
      </c>
      <c r="P22" s="167">
        <f>(1/(1-U17/100))*P17*(1-I20)+P19*I20</f>
        <v>2.534047319263196</v>
      </c>
      <c r="Q22" s="167">
        <f>(1/(1-U17/100))*Q17*(1-I20)+Q19*I20</f>
        <v>0.3998395405769119</v>
      </c>
      <c r="R22" s="167">
        <f t="shared" ref="R22" si="9">(1/(1-AA17/100))*R17*(1-O24)+R19*O24</f>
        <v>0.49</v>
      </c>
      <c r="S22" s="167">
        <f>(1/(1-U17/100))*S17*(1-I20)+S19*I20</f>
        <v>0.39253810813608614</v>
      </c>
      <c r="T22" s="167">
        <f>(1/(1-U17/100))*T17*(1-I20)+T19*I20</f>
        <v>1.5426905406804305E-2</v>
      </c>
      <c r="U22" s="998">
        <f>SUM(L22:T22)</f>
        <v>100.60399343130855</v>
      </c>
      <c r="V22" s="991"/>
      <c r="W22" s="202">
        <f>O22*100/(2.8*L22+1.2*M22+0.65*N22)</f>
        <v>91.194194989144691</v>
      </c>
      <c r="X22" s="184">
        <f>O22/(L22+M22+N22)</f>
        <v>2.0762435831969475</v>
      </c>
      <c r="Y22" s="202">
        <f>L22/(M22+N22)</f>
        <v>2.4532054244423627</v>
      </c>
      <c r="Z22" s="204">
        <f>M22/N22</f>
        <v>1.657435892369185</v>
      </c>
      <c r="AA22" s="120"/>
      <c r="AB22" s="120"/>
    </row>
    <row r="23" spans="4:29" ht="21" thickTop="1" x14ac:dyDescent="0.4">
      <c r="D23" s="120"/>
      <c r="E23" s="179"/>
      <c r="F23" s="179"/>
      <c r="G23" s="179"/>
      <c r="H23" s="179"/>
      <c r="I23" s="179"/>
      <c r="J23" s="179"/>
      <c r="K23" s="179"/>
      <c r="L23" s="999" t="s">
        <v>148</v>
      </c>
      <c r="M23" s="1001" t="s">
        <v>50</v>
      </c>
      <c r="N23" s="1001" t="s">
        <v>155</v>
      </c>
      <c r="O23" s="1001" t="s">
        <v>52</v>
      </c>
      <c r="P23" s="1001" t="s">
        <v>53</v>
      </c>
      <c r="Q23" s="1003" t="s">
        <v>54</v>
      </c>
      <c r="R23" s="1003"/>
      <c r="S23" s="1003"/>
      <c r="T23" s="1003"/>
      <c r="U23" s="995" t="s">
        <v>156</v>
      </c>
      <c r="V23" s="995" t="s">
        <v>55</v>
      </c>
      <c r="W23" s="995" t="s">
        <v>126</v>
      </c>
      <c r="X23" s="995" t="s">
        <v>56</v>
      </c>
      <c r="Y23" s="996" t="s">
        <v>57</v>
      </c>
      <c r="Z23" s="997"/>
      <c r="AA23" s="120"/>
      <c r="AB23" s="120"/>
    </row>
    <row r="24" spans="4:29" ht="20.25" thickBot="1" x14ac:dyDescent="0.45">
      <c r="D24" s="120"/>
      <c r="E24" s="179"/>
      <c r="F24" s="179"/>
      <c r="G24" s="179"/>
      <c r="H24" s="179"/>
      <c r="I24" s="179"/>
      <c r="J24" s="179"/>
      <c r="K24" s="179"/>
      <c r="L24" s="1000"/>
      <c r="M24" s="1002"/>
      <c r="N24" s="1002"/>
      <c r="O24" s="1002"/>
      <c r="P24" s="1002"/>
      <c r="Q24" s="193" t="s">
        <v>58</v>
      </c>
      <c r="R24" s="193" t="s">
        <v>59</v>
      </c>
      <c r="S24" s="193" t="s">
        <v>60</v>
      </c>
      <c r="T24" s="193" t="s">
        <v>61</v>
      </c>
      <c r="U24" s="995"/>
      <c r="V24" s="995"/>
      <c r="W24" s="995"/>
      <c r="X24" s="995"/>
      <c r="Y24" s="193" t="s">
        <v>62</v>
      </c>
      <c r="Z24" s="194" t="s">
        <v>39</v>
      </c>
      <c r="AA24" s="120"/>
      <c r="AB24" s="120"/>
    </row>
    <row r="25" spans="4:29" ht="21" thickTop="1" thickBot="1" x14ac:dyDescent="0.45">
      <c r="D25" s="120"/>
      <c r="E25" s="179"/>
      <c r="F25" s="179"/>
      <c r="G25" s="179"/>
      <c r="H25" s="179"/>
      <c r="I25" s="179"/>
      <c r="J25" s="179"/>
      <c r="K25" s="179"/>
      <c r="L25" s="220">
        <v>1.25</v>
      </c>
      <c r="M25" s="168">
        <v>1.8</v>
      </c>
      <c r="N25" s="221" t="s">
        <v>128</v>
      </c>
      <c r="O25" s="168">
        <f>((P25/100)-(Z25/100))/((P25/100)-(P25/100)*(Z25/100))*100</f>
        <v>96.166062000057735</v>
      </c>
      <c r="P25" s="168">
        <v>34.39</v>
      </c>
      <c r="Q25" s="185">
        <f>4.071*(O22-M25)-7.6024*L22-6.718*M22-1.4297*N22</f>
        <v>45.596139778687601</v>
      </c>
      <c r="R25" s="186">
        <f>8.6024*L22+5.0683*M22+1.0785*N22-3.071*(O22-M25)</f>
        <v>29.689150042040694</v>
      </c>
      <c r="S25" s="186">
        <f>2.65*M22-1.692*N22</f>
        <v>9.2563800131056464</v>
      </c>
      <c r="T25" s="186">
        <f>3.0432*N22</f>
        <v>10.432176245320349</v>
      </c>
      <c r="U25" s="186">
        <f>S22/(R22+0.5*Q22)</f>
        <v>0.56896196491363871</v>
      </c>
      <c r="V25" s="186">
        <f>Q22+(0.658*R22)</f>
        <v>0.72225954057691188</v>
      </c>
      <c r="W25" s="186">
        <f>3*M22+2.25*N22+P22+Q22+R22+S22</f>
        <v>28.57470131705487</v>
      </c>
      <c r="X25" s="195">
        <f>S25+T25+(R25*0.2)+(2*N22)</f>
        <v>32.482443210393775</v>
      </c>
      <c r="Y25" s="222">
        <v>1</v>
      </c>
      <c r="Z25" s="223">
        <v>1.97</v>
      </c>
      <c r="AA25" s="120"/>
      <c r="AB25" s="120"/>
    </row>
    <row r="26" spans="4:29" ht="20.25" thickTop="1" x14ac:dyDescent="0.4">
      <c r="D26" s="120"/>
      <c r="E26" s="179"/>
      <c r="F26" s="179"/>
      <c r="G26" s="179"/>
      <c r="H26" s="196"/>
      <c r="I26" s="196"/>
      <c r="J26" s="196"/>
      <c r="K26" s="196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20"/>
      <c r="AB26" s="120"/>
    </row>
    <row r="27" spans="4:29" x14ac:dyDescent="0.4">
      <c r="D27" s="120"/>
      <c r="E27" s="179"/>
      <c r="F27" s="179"/>
      <c r="G27" s="179"/>
      <c r="H27" s="196"/>
      <c r="I27" s="196"/>
      <c r="J27" s="196"/>
      <c r="K27" s="196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20"/>
      <c r="AB27" s="120"/>
    </row>
    <row r="28" spans="4:29" x14ac:dyDescent="0.4">
      <c r="D28" s="120"/>
      <c r="E28" s="179"/>
      <c r="F28" s="179"/>
      <c r="G28" s="179"/>
      <c r="H28" s="196"/>
      <c r="I28" s="196"/>
      <c r="J28" s="196"/>
      <c r="K28" s="196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20"/>
      <c r="AB28" s="120"/>
    </row>
    <row r="29" spans="4:29" x14ac:dyDescent="0.4">
      <c r="D29" s="75"/>
      <c r="E29" s="75"/>
      <c r="F29" s="75"/>
      <c r="G29" s="75"/>
      <c r="H29" s="76"/>
      <c r="I29" s="76"/>
      <c r="J29" s="76"/>
      <c r="K29" s="76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</row>
    <row r="30" spans="4:29" x14ac:dyDescent="0.4">
      <c r="D30" s="75"/>
      <c r="E30" s="75"/>
      <c r="F30" s="75"/>
      <c r="G30" s="75"/>
      <c r="H30" s="76"/>
      <c r="I30" s="76"/>
      <c r="J30" s="76"/>
      <c r="K30" s="76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</row>
    <row r="31" spans="4:29" x14ac:dyDescent="0.4">
      <c r="D31" s="68"/>
      <c r="E31" s="68"/>
      <c r="F31" s="68"/>
      <c r="G31" s="68"/>
      <c r="H31" s="69"/>
      <c r="I31" s="69"/>
      <c r="J31" s="69"/>
      <c r="K31" s="69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7"/>
    </row>
    <row r="32" spans="4:29" x14ac:dyDescent="0.4">
      <c r="D32" s="2"/>
      <c r="E32" s="2"/>
      <c r="F32" s="2"/>
      <c r="G32" s="2"/>
      <c r="H32" s="37"/>
      <c r="I32" s="37"/>
      <c r="J32" s="37"/>
      <c r="K32" s="3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4:28" x14ac:dyDescent="0.4">
      <c r="D33" s="2"/>
      <c r="E33" s="2"/>
      <c r="F33" s="2"/>
      <c r="G33" s="2"/>
      <c r="H33" s="37"/>
      <c r="I33" s="37"/>
      <c r="J33" s="37"/>
      <c r="K33" s="37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4:28" x14ac:dyDescent="0.4">
      <c r="D34" s="2"/>
      <c r="E34" s="606" t="s">
        <v>135</v>
      </c>
      <c r="F34" s="607" t="s">
        <v>134</v>
      </c>
      <c r="G34" s="607"/>
      <c r="H34" s="2"/>
      <c r="I34" s="55"/>
      <c r="J34" s="55"/>
      <c r="K34" s="674" t="s">
        <v>142</v>
      </c>
      <c r="L34" s="57"/>
      <c r="M34" s="57"/>
      <c r="N34" s="674" t="s">
        <v>138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4:28" x14ac:dyDescent="0.4">
      <c r="D35" s="2"/>
      <c r="E35" s="606"/>
      <c r="F35" s="607"/>
      <c r="G35" s="607"/>
      <c r="H35" s="2"/>
      <c r="I35" s="55"/>
      <c r="J35" s="55"/>
      <c r="K35" s="674"/>
      <c r="L35" s="57"/>
      <c r="M35" s="57"/>
      <c r="N35" s="67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4:28" ht="20.25" thickBot="1" x14ac:dyDescent="0.4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4:28" ht="25.5" thickBot="1" x14ac:dyDescent="0.55000000000000004">
      <c r="D37" s="2"/>
      <c r="E37" s="983" t="s">
        <v>100</v>
      </c>
      <c r="F37" s="983"/>
      <c r="G37" s="983"/>
      <c r="H37" s="983"/>
      <c r="I37" s="983"/>
      <c r="J37" s="983"/>
      <c r="K37" s="983"/>
      <c r="L37" s="983"/>
      <c r="M37" s="983"/>
      <c r="N37" s="983"/>
      <c r="O37" s="983"/>
      <c r="P37" s="983"/>
      <c r="Q37" s="983"/>
      <c r="R37" s="983"/>
      <c r="S37" s="983"/>
      <c r="T37" s="983"/>
      <c r="U37" s="983"/>
      <c r="V37" s="983"/>
      <c r="W37" s="983"/>
      <c r="X37" s="983"/>
      <c r="Y37" s="983"/>
      <c r="Z37" s="983"/>
      <c r="AA37" s="2"/>
      <c r="AB37" s="2"/>
    </row>
    <row r="38" spans="4:28" ht="20.25" customHeight="1" thickBot="1" x14ac:dyDescent="0.45">
      <c r="D38" s="2"/>
      <c r="E38" s="625" t="s">
        <v>124</v>
      </c>
      <c r="F38" s="625"/>
      <c r="G38" s="629" t="s">
        <v>10</v>
      </c>
      <c r="H38" s="629" t="s">
        <v>108</v>
      </c>
      <c r="I38" s="629"/>
      <c r="J38" s="629"/>
      <c r="K38" s="629"/>
      <c r="L38" s="629" t="s">
        <v>109</v>
      </c>
      <c r="M38" s="629"/>
      <c r="N38" s="629"/>
      <c r="O38" s="629"/>
      <c r="P38" s="629"/>
      <c r="Q38" s="629"/>
      <c r="R38" s="629"/>
      <c r="S38" s="629"/>
      <c r="T38" s="629"/>
      <c r="U38" s="625" t="s">
        <v>39</v>
      </c>
      <c r="V38" s="625" t="s">
        <v>10</v>
      </c>
      <c r="W38" s="629" t="s">
        <v>101</v>
      </c>
      <c r="X38" s="629"/>
      <c r="Y38" s="629"/>
      <c r="Z38" s="629"/>
      <c r="AA38" s="2"/>
      <c r="AB38" s="2"/>
    </row>
    <row r="39" spans="4:28" ht="13.5" customHeight="1" thickBot="1" x14ac:dyDescent="0.45">
      <c r="D39" s="2"/>
      <c r="E39" s="625"/>
      <c r="F39" s="625"/>
      <c r="G39" s="629"/>
      <c r="H39" s="629"/>
      <c r="I39" s="629"/>
      <c r="J39" s="629"/>
      <c r="K39" s="629"/>
      <c r="L39" s="629" t="s">
        <v>1</v>
      </c>
      <c r="M39" s="629" t="s">
        <v>3</v>
      </c>
      <c r="N39" s="629" t="s">
        <v>4</v>
      </c>
      <c r="O39" s="629" t="s">
        <v>5</v>
      </c>
      <c r="P39" s="629" t="s">
        <v>6</v>
      </c>
      <c r="Q39" s="629" t="s">
        <v>8</v>
      </c>
      <c r="R39" s="629" t="s">
        <v>7</v>
      </c>
      <c r="S39" s="629" t="s">
        <v>9</v>
      </c>
      <c r="T39" s="629" t="s">
        <v>40</v>
      </c>
      <c r="U39" s="625"/>
      <c r="V39" s="625"/>
      <c r="W39" s="625" t="s">
        <v>38</v>
      </c>
      <c r="X39" s="625" t="s">
        <v>49</v>
      </c>
      <c r="Y39" s="625" t="s">
        <v>36</v>
      </c>
      <c r="Z39" s="625" t="s">
        <v>37</v>
      </c>
      <c r="AA39" s="2"/>
      <c r="AB39" s="2"/>
    </row>
    <row r="40" spans="4:28" ht="13.5" customHeight="1" thickBot="1" x14ac:dyDescent="0.45">
      <c r="D40" s="2"/>
      <c r="E40" s="625"/>
      <c r="F40" s="625"/>
      <c r="G40" s="629"/>
      <c r="H40" s="626" t="s">
        <v>110</v>
      </c>
      <c r="I40" s="627" t="s">
        <v>111</v>
      </c>
      <c r="J40" s="984" t="s">
        <v>112</v>
      </c>
      <c r="K40" s="628" t="s">
        <v>141</v>
      </c>
      <c r="L40" s="629"/>
      <c r="M40" s="629"/>
      <c r="N40" s="629"/>
      <c r="O40" s="629"/>
      <c r="P40" s="629"/>
      <c r="Q40" s="629"/>
      <c r="R40" s="629"/>
      <c r="S40" s="629"/>
      <c r="T40" s="629"/>
      <c r="U40" s="625"/>
      <c r="V40" s="625"/>
      <c r="W40" s="625"/>
      <c r="X40" s="625"/>
      <c r="Y40" s="625"/>
      <c r="Z40" s="625"/>
      <c r="AA40" s="2"/>
      <c r="AB40" s="2"/>
    </row>
    <row r="41" spans="4:28" ht="13.5" customHeight="1" thickBot="1" x14ac:dyDescent="0.45">
      <c r="D41" s="2"/>
      <c r="E41" s="625"/>
      <c r="F41" s="625"/>
      <c r="G41" s="629"/>
      <c r="H41" s="626"/>
      <c r="I41" s="627"/>
      <c r="J41" s="984"/>
      <c r="K41" s="628"/>
      <c r="L41" s="629"/>
      <c r="M41" s="629"/>
      <c r="N41" s="629"/>
      <c r="O41" s="629"/>
      <c r="P41" s="629"/>
      <c r="Q41" s="629"/>
      <c r="R41" s="630"/>
      <c r="S41" s="629"/>
      <c r="T41" s="629"/>
      <c r="U41" s="625"/>
      <c r="V41" s="625"/>
      <c r="W41" s="625"/>
      <c r="X41" s="625"/>
      <c r="Y41" s="625"/>
      <c r="Z41" s="625"/>
      <c r="AA41" s="2"/>
      <c r="AB41" s="2"/>
    </row>
    <row r="42" spans="4:28" ht="20.25" customHeight="1" thickBot="1" x14ac:dyDescent="0.45">
      <c r="D42" s="2"/>
      <c r="E42" s="624" t="s">
        <v>113</v>
      </c>
      <c r="F42" s="624"/>
      <c r="G42" s="30">
        <f>H42+I42+J42+K42</f>
        <v>100</v>
      </c>
      <c r="H42" s="4">
        <v>80</v>
      </c>
      <c r="I42" s="5">
        <v>15</v>
      </c>
      <c r="J42" s="18">
        <v>4</v>
      </c>
      <c r="K42" s="6">
        <v>1</v>
      </c>
      <c r="L42" s="7">
        <v>13.97</v>
      </c>
      <c r="M42" s="7">
        <v>3.4</v>
      </c>
      <c r="N42" s="7">
        <v>2.16</v>
      </c>
      <c r="O42" s="7">
        <v>42.81</v>
      </c>
      <c r="P42" s="7">
        <v>1.65</v>
      </c>
      <c r="Q42" s="7">
        <v>0.26</v>
      </c>
      <c r="R42" s="7">
        <v>0.49</v>
      </c>
      <c r="S42" s="7">
        <v>0.2</v>
      </c>
      <c r="T42" s="7">
        <v>0.01</v>
      </c>
      <c r="U42" s="22">
        <f>0.786*O42+1.1*P42+0.2</f>
        <v>35.663660000000007</v>
      </c>
      <c r="V42" s="22">
        <f>SUM(L42:U42)</f>
        <v>100.61366000000001</v>
      </c>
      <c r="W42" s="22">
        <f>O42*100/(2.8*L42+1.2*M42+0.65*N42)</f>
        <v>95.986547085201792</v>
      </c>
      <c r="X42" s="22">
        <f xml:space="preserve"> O42/(L42+M42+N42)</f>
        <v>2.1920122887864824</v>
      </c>
      <c r="Y42" s="22">
        <f xml:space="preserve"> L42/(M42+N42)</f>
        <v>2.5125899280575537</v>
      </c>
      <c r="Z42" s="22">
        <f>M42/N42</f>
        <v>1.574074074074074</v>
      </c>
      <c r="AA42" s="2"/>
      <c r="AB42" s="2"/>
    </row>
    <row r="43" spans="4:28" ht="20.25" customHeight="1" thickBot="1" x14ac:dyDescent="0.45">
      <c r="D43" s="2"/>
      <c r="E43" s="624" t="s">
        <v>125</v>
      </c>
      <c r="F43" s="624"/>
      <c r="G43" s="30">
        <f t="shared" ref="G43:G45" si="10">H43+I43+J43+K43</f>
        <v>100</v>
      </c>
      <c r="H43" s="19">
        <f>100-I43-J43-K43</f>
        <v>80</v>
      </c>
      <c r="I43" s="20">
        <f>I42+M53-M42</f>
        <v>14.999999999999998</v>
      </c>
      <c r="J43" s="29">
        <f>J42+L53-L42</f>
        <v>3.9999999999999982</v>
      </c>
      <c r="K43" s="21">
        <f>K42+N53-N42</f>
        <v>1</v>
      </c>
      <c r="L43" s="7">
        <v>13.97</v>
      </c>
      <c r="M43" s="7">
        <v>3.4</v>
      </c>
      <c r="N43" s="7">
        <v>2.16</v>
      </c>
      <c r="O43" s="7">
        <v>42.81</v>
      </c>
      <c r="P43" s="7">
        <v>1.65</v>
      </c>
      <c r="Q43" s="7">
        <v>0.26</v>
      </c>
      <c r="R43" s="7">
        <v>0.49</v>
      </c>
      <c r="S43" s="7">
        <v>0.2</v>
      </c>
      <c r="T43" s="7">
        <v>0.01</v>
      </c>
      <c r="U43" s="22">
        <f>0.786*O43+1.1*P43+0.2</f>
        <v>35.663660000000007</v>
      </c>
      <c r="V43" s="22">
        <f>SUM(L43:U43)</f>
        <v>100.61366000000001</v>
      </c>
      <c r="W43" s="22">
        <f t="shared" ref="W43:W45" si="11">O43*100/(2.8*L43+1.2*M43+0.65*N43)</f>
        <v>95.986547085201792</v>
      </c>
      <c r="X43" s="22">
        <f t="shared" ref="X43:X45" si="12" xml:space="preserve"> O43/(L43+M43+N43)</f>
        <v>2.1920122887864824</v>
      </c>
      <c r="Y43" s="22">
        <f t="shared" ref="Y43:Y45" si="13" xml:space="preserve"> L43/(M43+N43)</f>
        <v>2.5125899280575537</v>
      </c>
      <c r="Z43" s="22">
        <f t="shared" ref="Z43:Z45" si="14">M43/N43</f>
        <v>1.574074074074074</v>
      </c>
      <c r="AA43" s="2"/>
      <c r="AB43" s="2"/>
    </row>
    <row r="44" spans="4:28" ht="20.25" customHeight="1" thickBot="1" x14ac:dyDescent="0.45">
      <c r="D44" s="2"/>
      <c r="E44" s="624" t="s">
        <v>125</v>
      </c>
      <c r="F44" s="624"/>
      <c r="G44" s="30">
        <f t="shared" si="10"/>
        <v>100</v>
      </c>
      <c r="H44" s="19">
        <f>100-I44-J44-K44</f>
        <v>80</v>
      </c>
      <c r="I44" s="20">
        <f>I43+M53-M43</f>
        <v>14.999999999999998</v>
      </c>
      <c r="J44" s="29">
        <f>J43+L53-L43</f>
        <v>3.9999999999999982</v>
      </c>
      <c r="K44" s="21">
        <f>K43+N53-N43</f>
        <v>1</v>
      </c>
      <c r="L44" s="7">
        <v>13.97</v>
      </c>
      <c r="M44" s="7">
        <v>3.4</v>
      </c>
      <c r="N44" s="7">
        <v>2.16</v>
      </c>
      <c r="O44" s="7">
        <v>42.81</v>
      </c>
      <c r="P44" s="7">
        <v>1.65</v>
      </c>
      <c r="Q44" s="7">
        <v>0.26</v>
      </c>
      <c r="R44" s="7">
        <v>0.49</v>
      </c>
      <c r="S44" s="7">
        <v>0.2</v>
      </c>
      <c r="T44" s="7">
        <v>0.01</v>
      </c>
      <c r="U44" s="22">
        <f>0.786*O44+1.1*P44+0.2</f>
        <v>35.663660000000007</v>
      </c>
      <c r="V44" s="22">
        <f>SUM(L44:U44)</f>
        <v>100.61366000000001</v>
      </c>
      <c r="W44" s="22">
        <f t="shared" si="11"/>
        <v>95.986547085201792</v>
      </c>
      <c r="X44" s="22">
        <f t="shared" si="12"/>
        <v>2.1920122887864824</v>
      </c>
      <c r="Y44" s="22">
        <f t="shared" si="13"/>
        <v>2.5125899280575537</v>
      </c>
      <c r="Z44" s="22">
        <f t="shared" si="14"/>
        <v>1.574074074074074</v>
      </c>
      <c r="AA44" s="2"/>
      <c r="AB44" s="2"/>
    </row>
    <row r="45" spans="4:28" ht="20.25" customHeight="1" thickBot="1" x14ac:dyDescent="0.45">
      <c r="D45" s="2"/>
      <c r="E45" s="624" t="s">
        <v>125</v>
      </c>
      <c r="F45" s="624"/>
      <c r="G45" s="30">
        <f t="shared" si="10"/>
        <v>100</v>
      </c>
      <c r="H45" s="19">
        <f>100-I45-J45-K45</f>
        <v>80</v>
      </c>
      <c r="I45" s="20">
        <f>I44+M53-M44</f>
        <v>14.999999999999998</v>
      </c>
      <c r="J45" s="29">
        <f>J44+L53-L44</f>
        <v>3.9999999999999982</v>
      </c>
      <c r="K45" s="21">
        <f>K44+N53-N44</f>
        <v>1</v>
      </c>
      <c r="L45" s="7">
        <v>13.97</v>
      </c>
      <c r="M45" s="7">
        <v>3.4</v>
      </c>
      <c r="N45" s="7">
        <v>2.16</v>
      </c>
      <c r="O45" s="7">
        <v>42.81</v>
      </c>
      <c r="P45" s="7">
        <v>1.65</v>
      </c>
      <c r="Q45" s="7">
        <v>0.26</v>
      </c>
      <c r="R45" s="7">
        <v>0.49</v>
      </c>
      <c r="S45" s="7">
        <v>0.2</v>
      </c>
      <c r="T45" s="7">
        <v>0.01</v>
      </c>
      <c r="U45" s="22">
        <f>0.786*O45+1.1*P45+0.2</f>
        <v>35.663660000000007</v>
      </c>
      <c r="V45" s="22">
        <f>SUM(L45:U45)</f>
        <v>100.61366000000001</v>
      </c>
      <c r="W45" s="22">
        <f t="shared" si="11"/>
        <v>95.986547085201792</v>
      </c>
      <c r="X45" s="22">
        <f t="shared" si="12"/>
        <v>2.1920122887864824</v>
      </c>
      <c r="Y45" s="22">
        <f t="shared" si="13"/>
        <v>2.5125899280575537</v>
      </c>
      <c r="Z45" s="22">
        <f t="shared" si="14"/>
        <v>1.574074074074074</v>
      </c>
      <c r="AA45" s="2"/>
      <c r="AB45" s="2"/>
    </row>
    <row r="46" spans="4:28" ht="20.25" customHeight="1" thickBot="1" x14ac:dyDescent="0.45">
      <c r="D46" s="2"/>
      <c r="E46" s="624" t="s">
        <v>125</v>
      </c>
      <c r="F46" s="624"/>
      <c r="G46" s="30">
        <f>H46+I46+J46+K46</f>
        <v>100</v>
      </c>
      <c r="H46" s="19">
        <f>100-I46-J46-K46</f>
        <v>80</v>
      </c>
      <c r="I46" s="20">
        <f>I45+M53-M45</f>
        <v>14.999999999999998</v>
      </c>
      <c r="J46" s="29">
        <f>J45+L53-L45</f>
        <v>3.9999999999999982</v>
      </c>
      <c r="K46" s="21">
        <f>K45+N53-N45</f>
        <v>1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4:28" ht="23.25" thickBot="1" x14ac:dyDescent="0.45">
      <c r="D47" s="2"/>
      <c r="E47" s="888" t="s">
        <v>114</v>
      </c>
      <c r="F47" s="888"/>
      <c r="G47" s="888"/>
      <c r="H47" s="23">
        <f t="shared" ref="H47:Z47" si="15">AVERAGE(H42:H45)</f>
        <v>80</v>
      </c>
      <c r="I47" s="23">
        <f t="shared" si="15"/>
        <v>15</v>
      </c>
      <c r="J47" s="23">
        <f t="shared" si="15"/>
        <v>3.9999999999999987</v>
      </c>
      <c r="K47" s="23">
        <f t="shared" si="15"/>
        <v>1</v>
      </c>
      <c r="L47" s="24">
        <f t="shared" si="15"/>
        <v>13.97</v>
      </c>
      <c r="M47" s="24">
        <f t="shared" si="15"/>
        <v>3.4</v>
      </c>
      <c r="N47" s="24">
        <f t="shared" si="15"/>
        <v>2.16</v>
      </c>
      <c r="O47" s="24">
        <f t="shared" si="15"/>
        <v>42.81</v>
      </c>
      <c r="P47" s="24">
        <f t="shared" si="15"/>
        <v>1.65</v>
      </c>
      <c r="Q47" s="24">
        <f t="shared" si="15"/>
        <v>0.26</v>
      </c>
      <c r="R47" s="24">
        <f t="shared" si="15"/>
        <v>0.49</v>
      </c>
      <c r="S47" s="24">
        <f t="shared" si="15"/>
        <v>0.2</v>
      </c>
      <c r="T47" s="24">
        <f t="shared" si="15"/>
        <v>0.01</v>
      </c>
      <c r="U47" s="24">
        <f t="shared" si="15"/>
        <v>35.663660000000007</v>
      </c>
      <c r="V47" s="24">
        <f t="shared" si="15"/>
        <v>100.61366000000001</v>
      </c>
      <c r="W47" s="24">
        <f t="shared" si="15"/>
        <v>95.986547085201792</v>
      </c>
      <c r="X47" s="24">
        <f t="shared" si="15"/>
        <v>2.1920122887864824</v>
      </c>
      <c r="Y47" s="24">
        <f t="shared" si="15"/>
        <v>2.5125899280575537</v>
      </c>
      <c r="Z47" s="24">
        <f t="shared" si="15"/>
        <v>1.574074074074074</v>
      </c>
      <c r="AA47" s="2"/>
      <c r="AB47" s="2"/>
    </row>
    <row r="48" spans="4:28" ht="23.25" thickBot="1" x14ac:dyDescent="0.45">
      <c r="D48" s="2"/>
      <c r="E48" s="888" t="s">
        <v>115</v>
      </c>
      <c r="F48" s="888"/>
      <c r="G48" s="888"/>
      <c r="H48" s="14"/>
      <c r="I48" s="15"/>
      <c r="J48" s="15"/>
      <c r="K48" s="15"/>
      <c r="L48" s="16"/>
      <c r="M48" s="16"/>
      <c r="N48" s="16"/>
      <c r="O48" s="16"/>
      <c r="P48" s="16"/>
      <c r="Q48" s="16"/>
      <c r="R48" s="16"/>
      <c r="S48" s="16"/>
      <c r="T48" s="17"/>
      <c r="U48" s="24">
        <f t="shared" ref="U48" si="16">STDEV(U42:U45)</f>
        <v>0</v>
      </c>
      <c r="V48" s="13"/>
      <c r="W48" s="24">
        <f t="shared" ref="W48:Z48" si="17">STDEV(W42:W45)</f>
        <v>0</v>
      </c>
      <c r="X48" s="24">
        <f t="shared" si="17"/>
        <v>0</v>
      </c>
      <c r="Y48" s="24">
        <f t="shared" si="17"/>
        <v>0</v>
      </c>
      <c r="Z48" s="24">
        <f t="shared" si="17"/>
        <v>0</v>
      </c>
      <c r="AA48" s="2"/>
      <c r="AB48" s="2"/>
    </row>
    <row r="49" spans="4:28" ht="23.25" thickBot="1" x14ac:dyDescent="0.45">
      <c r="D49" s="2"/>
      <c r="E49" s="888" t="s">
        <v>116</v>
      </c>
      <c r="F49" s="888"/>
      <c r="G49" s="888"/>
      <c r="H49" s="23">
        <f t="shared" ref="H49:Z49" si="18">MIN(H42:H45)</f>
        <v>80</v>
      </c>
      <c r="I49" s="23">
        <f t="shared" si="18"/>
        <v>14.999999999999998</v>
      </c>
      <c r="J49" s="23">
        <f t="shared" si="18"/>
        <v>3.9999999999999982</v>
      </c>
      <c r="K49" s="23">
        <f t="shared" si="18"/>
        <v>1</v>
      </c>
      <c r="L49" s="24">
        <f t="shared" si="18"/>
        <v>13.97</v>
      </c>
      <c r="M49" s="24">
        <f t="shared" si="18"/>
        <v>3.4</v>
      </c>
      <c r="N49" s="24">
        <f t="shared" si="18"/>
        <v>2.16</v>
      </c>
      <c r="O49" s="24">
        <f t="shared" si="18"/>
        <v>42.81</v>
      </c>
      <c r="P49" s="24">
        <f t="shared" si="18"/>
        <v>1.65</v>
      </c>
      <c r="Q49" s="24">
        <f t="shared" si="18"/>
        <v>0.26</v>
      </c>
      <c r="R49" s="24">
        <f t="shared" si="18"/>
        <v>0.49</v>
      </c>
      <c r="S49" s="24">
        <f t="shared" si="18"/>
        <v>0.2</v>
      </c>
      <c r="T49" s="24">
        <f t="shared" si="18"/>
        <v>0.01</v>
      </c>
      <c r="U49" s="24">
        <f t="shared" si="18"/>
        <v>35.663660000000007</v>
      </c>
      <c r="V49" s="24">
        <f t="shared" si="18"/>
        <v>100.61366000000001</v>
      </c>
      <c r="W49" s="24">
        <f t="shared" si="18"/>
        <v>95.986547085201792</v>
      </c>
      <c r="X49" s="24">
        <f t="shared" si="18"/>
        <v>2.1920122887864824</v>
      </c>
      <c r="Y49" s="24">
        <f t="shared" si="18"/>
        <v>2.5125899280575537</v>
      </c>
      <c r="Z49" s="24">
        <f t="shared" si="18"/>
        <v>1.574074074074074</v>
      </c>
      <c r="AA49" s="2"/>
      <c r="AB49" s="2"/>
    </row>
    <row r="50" spans="4:28" ht="23.25" thickBot="1" x14ac:dyDescent="0.45">
      <c r="D50" s="2"/>
      <c r="E50" s="888" t="s">
        <v>117</v>
      </c>
      <c r="F50" s="888"/>
      <c r="G50" s="888"/>
      <c r="H50" s="23">
        <f t="shared" ref="H50:Z50" si="19">MAX(H42:H45)</f>
        <v>80</v>
      </c>
      <c r="I50" s="23">
        <f t="shared" si="19"/>
        <v>15</v>
      </c>
      <c r="J50" s="23">
        <f t="shared" si="19"/>
        <v>4</v>
      </c>
      <c r="K50" s="23">
        <f t="shared" si="19"/>
        <v>1</v>
      </c>
      <c r="L50" s="25">
        <f t="shared" si="19"/>
        <v>13.97</v>
      </c>
      <c r="M50" s="25">
        <f t="shared" si="19"/>
        <v>3.4</v>
      </c>
      <c r="N50" s="25">
        <f t="shared" si="19"/>
        <v>2.16</v>
      </c>
      <c r="O50" s="25">
        <f t="shared" si="19"/>
        <v>42.81</v>
      </c>
      <c r="P50" s="25">
        <f t="shared" si="19"/>
        <v>1.65</v>
      </c>
      <c r="Q50" s="25">
        <f t="shared" si="19"/>
        <v>0.26</v>
      </c>
      <c r="R50" s="25">
        <f t="shared" si="19"/>
        <v>0.49</v>
      </c>
      <c r="S50" s="25">
        <f t="shared" si="19"/>
        <v>0.2</v>
      </c>
      <c r="T50" s="25">
        <f t="shared" si="19"/>
        <v>0.01</v>
      </c>
      <c r="U50" s="25">
        <f t="shared" si="19"/>
        <v>35.663660000000007</v>
      </c>
      <c r="V50" s="25">
        <f t="shared" si="19"/>
        <v>100.61366000000001</v>
      </c>
      <c r="W50" s="25">
        <f t="shared" si="19"/>
        <v>95.986547085201792</v>
      </c>
      <c r="X50" s="25">
        <f t="shared" si="19"/>
        <v>2.1920122887864824</v>
      </c>
      <c r="Y50" s="25">
        <f t="shared" si="19"/>
        <v>2.5125899280575537</v>
      </c>
      <c r="Z50" s="25">
        <f t="shared" si="19"/>
        <v>1.574074074074074</v>
      </c>
      <c r="AA50" s="2"/>
      <c r="AB50" s="2"/>
    </row>
    <row r="51" spans="4:28" ht="24" thickTop="1" thickBot="1" x14ac:dyDescent="0.5">
      <c r="D51" s="2"/>
      <c r="E51" s="2"/>
      <c r="F51" s="2"/>
      <c r="G51" s="2"/>
      <c r="H51" s="2"/>
      <c r="I51" s="2"/>
      <c r="J51" s="2"/>
      <c r="K51" s="2"/>
      <c r="L51" s="893" t="s">
        <v>118</v>
      </c>
      <c r="M51" s="893"/>
      <c r="N51" s="893"/>
      <c r="O51" s="893"/>
      <c r="P51" s="893"/>
      <c r="Q51" s="893"/>
      <c r="R51" s="893"/>
      <c r="S51" s="893"/>
      <c r="T51" s="893"/>
      <c r="U51" s="893"/>
      <c r="V51" s="893"/>
      <c r="W51" s="893"/>
      <c r="X51" s="893"/>
      <c r="Y51" s="893"/>
      <c r="Z51" s="893"/>
      <c r="AA51" s="2"/>
      <c r="AB51" s="2"/>
    </row>
    <row r="52" spans="4:28" ht="24" thickTop="1" thickBot="1" x14ac:dyDescent="0.45">
      <c r="D52" s="2"/>
      <c r="E52" s="2"/>
      <c r="F52" s="2"/>
      <c r="G52" s="982" t="s">
        <v>119</v>
      </c>
      <c r="H52" s="982"/>
      <c r="I52" s="982"/>
      <c r="J52" s="982"/>
      <c r="K52" s="2"/>
      <c r="L52" s="31" t="s">
        <v>1</v>
      </c>
      <c r="M52" s="31" t="s">
        <v>3</v>
      </c>
      <c r="N52" s="31" t="s">
        <v>4</v>
      </c>
      <c r="O52" s="31" t="s">
        <v>5</v>
      </c>
      <c r="P52" s="31" t="s">
        <v>6</v>
      </c>
      <c r="Q52" s="31" t="s">
        <v>8</v>
      </c>
      <c r="R52" s="31" t="s">
        <v>7</v>
      </c>
      <c r="S52" s="31" t="s">
        <v>9</v>
      </c>
      <c r="T52" s="31" t="s">
        <v>40</v>
      </c>
      <c r="U52" s="32" t="s">
        <v>39</v>
      </c>
      <c r="V52" s="32" t="s">
        <v>10</v>
      </c>
      <c r="W52" s="32" t="s">
        <v>38</v>
      </c>
      <c r="X52" s="32" t="s">
        <v>49</v>
      </c>
      <c r="Y52" s="32" t="s">
        <v>36</v>
      </c>
      <c r="Z52" s="32" t="s">
        <v>37</v>
      </c>
      <c r="AA52" s="2"/>
      <c r="AB52" s="2"/>
    </row>
    <row r="53" spans="4:28" ht="21" thickTop="1" thickBot="1" x14ac:dyDescent="0.45">
      <c r="D53" s="2"/>
      <c r="E53" s="2"/>
      <c r="F53" s="2"/>
      <c r="G53" s="975" t="s">
        <v>38</v>
      </c>
      <c r="H53" s="975"/>
      <c r="I53" s="976">
        <f>W53</f>
        <v>95.986547085201792</v>
      </c>
      <c r="J53" s="977"/>
      <c r="K53" s="2"/>
      <c r="L53" s="8">
        <v>13.97</v>
      </c>
      <c r="M53" s="8">
        <v>3.4</v>
      </c>
      <c r="N53" s="8">
        <v>2.16</v>
      </c>
      <c r="O53" s="8">
        <v>42.81</v>
      </c>
      <c r="P53" s="8">
        <v>1.65</v>
      </c>
      <c r="Q53" s="8">
        <v>0.26</v>
      </c>
      <c r="R53" s="8">
        <v>0.49</v>
      </c>
      <c r="S53" s="8">
        <v>0.2</v>
      </c>
      <c r="T53" s="8">
        <v>0.01</v>
      </c>
      <c r="U53" s="26">
        <f>0.786*O53+1.1*P53+0.2</f>
        <v>35.663660000000007</v>
      </c>
      <c r="V53" s="26">
        <f>SUM(L53:U53)</f>
        <v>100.61366000000001</v>
      </c>
      <c r="W53" s="27">
        <f>O53*100/(2.8*L53+1.2*M53+0.65*N53)</f>
        <v>95.986547085201792</v>
      </c>
      <c r="X53" s="26">
        <f>O53/(L53+M53+N53)</f>
        <v>2.1920122887864824</v>
      </c>
      <c r="Y53" s="27">
        <f>L53/(M53+N53)</f>
        <v>2.5125899280575537</v>
      </c>
      <c r="Z53" s="27">
        <f>M53/N53</f>
        <v>1.574074074074074</v>
      </c>
      <c r="AA53" s="2"/>
      <c r="AB53" s="2"/>
    </row>
    <row r="54" spans="4:28" ht="24" thickTop="1" thickBot="1" x14ac:dyDescent="0.45">
      <c r="D54" s="2"/>
      <c r="E54" s="2"/>
      <c r="F54" s="2"/>
      <c r="G54" s="975" t="s">
        <v>36</v>
      </c>
      <c r="H54" s="975"/>
      <c r="I54" s="976">
        <f>Y53</f>
        <v>2.5125899280575537</v>
      </c>
      <c r="J54" s="977"/>
      <c r="K54" s="2"/>
      <c r="L54" s="620" t="s">
        <v>122</v>
      </c>
      <c r="M54" s="620"/>
      <c r="N54" s="620"/>
      <c r="O54" s="620"/>
      <c r="P54" s="620"/>
      <c r="Q54" s="620"/>
      <c r="R54" s="620"/>
      <c r="S54" s="620"/>
      <c r="T54" s="620"/>
      <c r="U54" s="620"/>
      <c r="V54" s="620"/>
      <c r="W54" s="620"/>
      <c r="X54" s="620"/>
      <c r="Y54" s="620"/>
      <c r="Z54" s="620"/>
      <c r="AA54" s="2"/>
      <c r="AB54" s="2"/>
    </row>
    <row r="55" spans="4:28" ht="21" thickTop="1" thickBot="1" x14ac:dyDescent="0.45">
      <c r="D55" s="2"/>
      <c r="E55" s="2"/>
      <c r="F55" s="2"/>
      <c r="G55" s="975" t="s">
        <v>37</v>
      </c>
      <c r="H55" s="975"/>
      <c r="I55" s="976">
        <f>Z53</f>
        <v>1.574074074074074</v>
      </c>
      <c r="J55" s="977"/>
      <c r="K55" s="2"/>
      <c r="L55" s="9">
        <v>51.910012874140349</v>
      </c>
      <c r="M55" s="9">
        <v>24.189980517995103</v>
      </c>
      <c r="N55" s="9">
        <v>6.7227097100043149</v>
      </c>
      <c r="O55" s="9">
        <v>8.1274517505998443</v>
      </c>
      <c r="P55" s="9">
        <v>1.1075203400231253</v>
      </c>
      <c r="Q55" s="9">
        <v>0.2</v>
      </c>
      <c r="R55" s="9">
        <v>0.9</v>
      </c>
      <c r="S55" s="9">
        <v>4.2</v>
      </c>
      <c r="T55" s="9">
        <v>0.01</v>
      </c>
      <c r="U55" s="9">
        <v>1.5</v>
      </c>
      <c r="V55" s="28">
        <f>SUM(L55:U55)</f>
        <v>98.867675192762746</v>
      </c>
      <c r="W55" s="28">
        <f t="shared" ref="W55" si="20">O55*100/(2.8*L55+1.2*M55+0.65*N55)</f>
        <v>4.5469336530875761</v>
      </c>
      <c r="X55" s="28">
        <f t="shared" ref="X55" si="21">O55/(L55+M55+N55)</f>
        <v>9.8130723173533663E-2</v>
      </c>
      <c r="Y55" s="28">
        <f t="shared" ref="Y55" si="22">L55/(M55+N55)</f>
        <v>1.6792460472146948</v>
      </c>
      <c r="Z55" s="28">
        <f t="shared" ref="Z55" si="23">M55/N55</f>
        <v>3.5982485577202734</v>
      </c>
      <c r="AA55" s="2"/>
      <c r="AB55" s="2"/>
    </row>
    <row r="56" spans="4:28" ht="24" thickTop="1" thickBot="1" x14ac:dyDescent="0.45">
      <c r="D56" s="2"/>
      <c r="E56" s="2"/>
      <c r="F56" s="2"/>
      <c r="G56" s="978" t="s">
        <v>45</v>
      </c>
      <c r="H56" s="979"/>
      <c r="I56" s="980">
        <v>2.1000000000000001E-2</v>
      </c>
      <c r="J56" s="981"/>
      <c r="K56" s="2"/>
      <c r="L56" s="618" t="s">
        <v>121</v>
      </c>
      <c r="M56" s="618"/>
      <c r="N56" s="618"/>
      <c r="O56" s="618"/>
      <c r="P56" s="618"/>
      <c r="Q56" s="618"/>
      <c r="R56" s="618"/>
      <c r="S56" s="618"/>
      <c r="T56" s="618"/>
      <c r="U56" s="618"/>
      <c r="V56" s="618"/>
      <c r="W56" s="618"/>
      <c r="X56" s="618"/>
      <c r="Y56" s="618"/>
      <c r="Z56" s="618"/>
      <c r="AA56" s="37"/>
      <c r="AB56" s="2"/>
    </row>
    <row r="57" spans="4:28" ht="24" thickTop="1" thickBot="1" x14ac:dyDescent="0.45">
      <c r="D57" s="2"/>
      <c r="E57" s="2"/>
      <c r="F57" s="2"/>
      <c r="G57" s="972" t="s">
        <v>120</v>
      </c>
      <c r="H57" s="972"/>
      <c r="I57" s="973" t="s">
        <v>130</v>
      </c>
      <c r="J57" s="974"/>
      <c r="K57" s="2"/>
      <c r="L57" s="31" t="s">
        <v>1</v>
      </c>
      <c r="M57" s="31" t="s">
        <v>3</v>
      </c>
      <c r="N57" s="31" t="s">
        <v>4</v>
      </c>
      <c r="O57" s="31" t="s">
        <v>5</v>
      </c>
      <c r="P57" s="31" t="s">
        <v>6</v>
      </c>
      <c r="Q57" s="31" t="s">
        <v>8</v>
      </c>
      <c r="R57" s="31" t="s">
        <v>7</v>
      </c>
      <c r="S57" s="31" t="s">
        <v>9</v>
      </c>
      <c r="T57" s="31" t="s">
        <v>40</v>
      </c>
      <c r="U57" s="611" t="s">
        <v>10</v>
      </c>
      <c r="V57" s="611"/>
      <c r="W57" s="32" t="s">
        <v>38</v>
      </c>
      <c r="X57" s="32" t="s">
        <v>49</v>
      </c>
      <c r="Y57" s="32" t="s">
        <v>36</v>
      </c>
      <c r="Z57" s="32" t="s">
        <v>37</v>
      </c>
      <c r="AA57" s="2"/>
      <c r="AB57" s="2"/>
    </row>
    <row r="58" spans="4:28" ht="21" thickTop="1" thickBot="1" x14ac:dyDescent="0.45">
      <c r="D58" s="2"/>
      <c r="E58" s="2"/>
      <c r="F58" s="2"/>
      <c r="G58" s="2"/>
      <c r="H58" s="2"/>
      <c r="I58" s="2"/>
      <c r="J58" s="2"/>
      <c r="K58" s="2"/>
      <c r="L58" s="26">
        <f>(1/(1-U53/100))*L53*(1-I56)+L55*I56</f>
        <v>22.348127123662564</v>
      </c>
      <c r="M58" s="26">
        <f>(1/(1-U53/100))*M53*(1-I56)+M55*I56</f>
        <v>5.6817374291913598</v>
      </c>
      <c r="N58" s="26">
        <f>(1/(1-U53/100))*N53*(1-I56)+N55*I56</f>
        <v>3.4280284717798204</v>
      </c>
      <c r="O58" s="26">
        <f>(1/(1-U53/100))*O53*(1-I56)+O55*I56</f>
        <v>65.314248533291831</v>
      </c>
      <c r="P58" s="26">
        <f>(1/(1-U53/100))*P53*(1-I56)+P55*I56</f>
        <v>2.534047319263196</v>
      </c>
      <c r="Q58" s="26">
        <f>(1/(1-U53/100))*Q53*(1-I56)+Q55*I56</f>
        <v>0.3998395405769119</v>
      </c>
      <c r="R58" s="26">
        <f t="shared" ref="R58" si="24">(1/(1-AA53/100))*R53*(1-O60)+R55*O60</f>
        <v>0.49</v>
      </c>
      <c r="S58" s="26">
        <f>(1/(1-U53/100))*S53*(1-I56)+S55*I56</f>
        <v>0.39253810813608614</v>
      </c>
      <c r="T58" s="26">
        <f>(1/(1-U53/100))*T53*(1-I56)+T55*I56</f>
        <v>1.5426905406804305E-2</v>
      </c>
      <c r="U58" s="612">
        <f>SUM(L58:T58)</f>
        <v>100.60399343130855</v>
      </c>
      <c r="V58" s="612"/>
      <c r="W58" s="27">
        <f>O58*100/(2.8*L58+1.2*M58+0.65*N58)</f>
        <v>91.194194989144691</v>
      </c>
      <c r="X58" s="26">
        <f>O58/(L58+M58+N58)</f>
        <v>2.0762435831969475</v>
      </c>
      <c r="Y58" s="27">
        <f>L58/(M58+N58)</f>
        <v>2.4532054244423627</v>
      </c>
      <c r="Z58" s="27">
        <f>M58/N58</f>
        <v>1.657435892369185</v>
      </c>
      <c r="AA58" s="2"/>
      <c r="AB58" s="2"/>
    </row>
    <row r="59" spans="4:28" ht="21" customHeight="1" thickTop="1" thickBot="1" x14ac:dyDescent="0.5">
      <c r="D59" s="2"/>
      <c r="E59" s="2"/>
      <c r="F59" s="2"/>
      <c r="G59" s="2"/>
      <c r="H59" s="2"/>
      <c r="I59" s="2"/>
      <c r="J59" s="2"/>
      <c r="K59" s="2"/>
      <c r="L59" s="615" t="s">
        <v>123</v>
      </c>
      <c r="M59" s="615" t="s">
        <v>50</v>
      </c>
      <c r="N59" s="615" t="s">
        <v>51</v>
      </c>
      <c r="O59" s="615" t="s">
        <v>52</v>
      </c>
      <c r="P59" s="615" t="s">
        <v>53</v>
      </c>
      <c r="Q59" s="616" t="s">
        <v>54</v>
      </c>
      <c r="R59" s="616"/>
      <c r="S59" s="616"/>
      <c r="T59" s="616"/>
      <c r="U59" s="617" t="s">
        <v>132</v>
      </c>
      <c r="V59" s="617" t="s">
        <v>55</v>
      </c>
      <c r="W59" s="617" t="s">
        <v>126</v>
      </c>
      <c r="X59" s="617" t="s">
        <v>56</v>
      </c>
      <c r="Y59" s="616" t="s">
        <v>57</v>
      </c>
      <c r="Z59" s="616"/>
      <c r="AA59" s="2"/>
      <c r="AB59" s="2"/>
    </row>
    <row r="60" spans="4:28" ht="24" thickTop="1" thickBot="1" x14ac:dyDescent="0.45">
      <c r="D60" s="2"/>
      <c r="E60" s="2"/>
      <c r="F60" s="2"/>
      <c r="G60" s="2"/>
      <c r="H60" s="2"/>
      <c r="I60" s="2"/>
      <c r="J60" s="2"/>
      <c r="K60" s="2"/>
      <c r="L60" s="615"/>
      <c r="M60" s="615"/>
      <c r="N60" s="615"/>
      <c r="O60" s="615"/>
      <c r="P60" s="615"/>
      <c r="Q60" s="33" t="s">
        <v>58</v>
      </c>
      <c r="R60" s="33" t="s">
        <v>59</v>
      </c>
      <c r="S60" s="33" t="s">
        <v>60</v>
      </c>
      <c r="T60" s="33" t="s">
        <v>61</v>
      </c>
      <c r="U60" s="617"/>
      <c r="V60" s="617"/>
      <c r="W60" s="617"/>
      <c r="X60" s="617"/>
      <c r="Y60" s="33" t="s">
        <v>62</v>
      </c>
      <c r="Z60" s="33" t="s">
        <v>39</v>
      </c>
      <c r="AA60" s="2"/>
      <c r="AB60" s="2"/>
    </row>
    <row r="61" spans="4:28" ht="21" thickTop="1" thickBot="1" x14ac:dyDescent="0.45">
      <c r="D61" s="2"/>
      <c r="E61" s="2"/>
      <c r="F61" s="2"/>
      <c r="G61" s="2"/>
      <c r="H61" s="2"/>
      <c r="I61" s="2"/>
      <c r="J61" s="2"/>
      <c r="K61" s="2"/>
      <c r="L61" s="11">
        <v>1.25</v>
      </c>
      <c r="M61" s="11">
        <v>1.8</v>
      </c>
      <c r="N61" s="12" t="s">
        <v>128</v>
      </c>
      <c r="O61" s="26">
        <f>((P61/100)-(Z61/100))/((P61/100)-(P61/100)*(Z61/100))*100</f>
        <v>96.166062000057735</v>
      </c>
      <c r="P61" s="11">
        <v>34.39</v>
      </c>
      <c r="Q61" s="27">
        <f>4.071*(O58-M61)-7.6024*L58-6.718*M58-1.4297*N58</f>
        <v>45.596139778687601</v>
      </c>
      <c r="R61" s="27">
        <f>8.6024*L58+5.0683*M58+1.0785*N58-3.071*(O58-M61)</f>
        <v>29.689150042040694</v>
      </c>
      <c r="S61" s="27">
        <f>2.65*M58-1.692*N58</f>
        <v>9.2563800131056464</v>
      </c>
      <c r="T61" s="27">
        <f>3.0432*N58</f>
        <v>10.432176245320349</v>
      </c>
      <c r="U61" s="26">
        <f>S58/(R58+0.5*Q58)</f>
        <v>0.56896196491363871</v>
      </c>
      <c r="V61" s="26">
        <f>Q58+(0.658*R58)</f>
        <v>0.72225954057691188</v>
      </c>
      <c r="W61" s="26">
        <f>3*M58+2.25*N58+P58+Q58+R58+S58</f>
        <v>28.57470131705487</v>
      </c>
      <c r="X61" s="26">
        <f>S61+T61+(R61*0.2)+(2*N58)</f>
        <v>32.482443210393775</v>
      </c>
      <c r="Y61" s="11">
        <v>1</v>
      </c>
      <c r="Z61" s="10">
        <v>1.97</v>
      </c>
      <c r="AA61" s="2"/>
      <c r="AB61" s="2"/>
    </row>
    <row r="62" spans="4:28" ht="20.25" thickTop="1" x14ac:dyDescent="0.4">
      <c r="D62" s="2"/>
      <c r="E62" s="2"/>
      <c r="F62" s="2"/>
      <c r="G62" s="2"/>
      <c r="H62" s="37"/>
      <c r="I62" s="37"/>
      <c r="J62" s="37"/>
      <c r="K62" s="37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4:28" x14ac:dyDescent="0.4">
      <c r="D63" s="2"/>
      <c r="E63" s="2"/>
      <c r="F63" s="2"/>
      <c r="G63" s="2"/>
      <c r="H63" s="37"/>
      <c r="I63" s="37"/>
      <c r="J63" s="37"/>
      <c r="K63" s="37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4:28" x14ac:dyDescent="0.4">
      <c r="D64" s="2"/>
      <c r="E64" s="2"/>
      <c r="F64" s="2"/>
      <c r="G64" s="2"/>
      <c r="H64" s="37"/>
      <c r="I64" s="37"/>
      <c r="J64" s="37"/>
      <c r="K64" s="37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4:28" x14ac:dyDescent="0.4">
      <c r="D65" s="2"/>
      <c r="E65" s="2"/>
      <c r="F65" s="2"/>
      <c r="G65" s="2"/>
      <c r="H65" s="37"/>
      <c r="I65" s="37"/>
      <c r="J65" s="37"/>
      <c r="K65" s="37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</sheetData>
  <mergeCells count="122">
    <mergeCell ref="E4:Z5"/>
    <mergeCell ref="L6:T7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W6:Z7"/>
    <mergeCell ref="W8:W9"/>
    <mergeCell ref="X8:X9"/>
    <mergeCell ref="Y8:Y9"/>
    <mergeCell ref="Z8:Z9"/>
    <mergeCell ref="G6:G9"/>
    <mergeCell ref="H6:K7"/>
    <mergeCell ref="U6:U9"/>
    <mergeCell ref="V6:V9"/>
    <mergeCell ref="E6:F9"/>
    <mergeCell ref="H8:H9"/>
    <mergeCell ref="I8:I9"/>
    <mergeCell ref="J8:J9"/>
    <mergeCell ref="K8:K9"/>
    <mergeCell ref="L18:Z18"/>
    <mergeCell ref="E10:F10"/>
    <mergeCell ref="E11:F11"/>
    <mergeCell ref="E12:F12"/>
    <mergeCell ref="E13:F13"/>
    <mergeCell ref="L15:Z15"/>
    <mergeCell ref="E14:F14"/>
    <mergeCell ref="G16:J16"/>
    <mergeCell ref="G17:H17"/>
    <mergeCell ref="W23:W24"/>
    <mergeCell ref="X23:X24"/>
    <mergeCell ref="Y23:Z23"/>
    <mergeCell ref="L20:Z20"/>
    <mergeCell ref="U22:V22"/>
    <mergeCell ref="L23:L24"/>
    <mergeCell ref="M23:M24"/>
    <mergeCell ref="N23:N24"/>
    <mergeCell ref="O23:O24"/>
    <mergeCell ref="P23:P24"/>
    <mergeCell ref="Q23:T23"/>
    <mergeCell ref="U23:U24"/>
    <mergeCell ref="V23:V24"/>
    <mergeCell ref="U21:V21"/>
    <mergeCell ref="I20:J20"/>
    <mergeCell ref="I21:J21"/>
    <mergeCell ref="G20:H20"/>
    <mergeCell ref="G19:H19"/>
    <mergeCell ref="I17:J17"/>
    <mergeCell ref="I18:J18"/>
    <mergeCell ref="I19:J19"/>
    <mergeCell ref="G21:H21"/>
    <mergeCell ref="G18:H18"/>
    <mergeCell ref="E37:Z37"/>
    <mergeCell ref="E38:F41"/>
    <mergeCell ref="G38:G41"/>
    <mergeCell ref="H38:K39"/>
    <mergeCell ref="L38:T38"/>
    <mergeCell ref="U38:U41"/>
    <mergeCell ref="V38:V41"/>
    <mergeCell ref="W38:Z38"/>
    <mergeCell ref="L39:L41"/>
    <mergeCell ref="M39:M41"/>
    <mergeCell ref="N39:N41"/>
    <mergeCell ref="O39:O41"/>
    <mergeCell ref="P39:P41"/>
    <mergeCell ref="Q39:Q41"/>
    <mergeCell ref="R39:R41"/>
    <mergeCell ref="S39:S41"/>
    <mergeCell ref="H40:H41"/>
    <mergeCell ref="I40:I41"/>
    <mergeCell ref="J40:J41"/>
    <mergeCell ref="K40:K41"/>
    <mergeCell ref="G53:H53"/>
    <mergeCell ref="I53:J53"/>
    <mergeCell ref="E42:F42"/>
    <mergeCell ref="T39:T41"/>
    <mergeCell ref="W39:W41"/>
    <mergeCell ref="X39:X41"/>
    <mergeCell ref="Y39:Y41"/>
    <mergeCell ref="G54:H54"/>
    <mergeCell ref="I54:J54"/>
    <mergeCell ref="L54:Z54"/>
    <mergeCell ref="E48:G48"/>
    <mergeCell ref="E49:G49"/>
    <mergeCell ref="E50:G50"/>
    <mergeCell ref="L51:Z51"/>
    <mergeCell ref="G52:J52"/>
    <mergeCell ref="E43:F43"/>
    <mergeCell ref="E44:F44"/>
    <mergeCell ref="E45:F45"/>
    <mergeCell ref="E46:F46"/>
    <mergeCell ref="E47:G47"/>
    <mergeCell ref="Z39:Z41"/>
    <mergeCell ref="K34:K35"/>
    <mergeCell ref="N34:N35"/>
    <mergeCell ref="W59:W60"/>
    <mergeCell ref="X59:X60"/>
    <mergeCell ref="Y59:Z59"/>
    <mergeCell ref="E34:E35"/>
    <mergeCell ref="F34:G35"/>
    <mergeCell ref="G57:H57"/>
    <mergeCell ref="I57:J57"/>
    <mergeCell ref="U57:V57"/>
    <mergeCell ref="U58:V58"/>
    <mergeCell ref="L59:L60"/>
    <mergeCell ref="M59:M60"/>
    <mergeCell ref="N59:N60"/>
    <mergeCell ref="O59:O60"/>
    <mergeCell ref="P59:P60"/>
    <mergeCell ref="Q59:T59"/>
    <mergeCell ref="U59:U60"/>
    <mergeCell ref="V59:V60"/>
    <mergeCell ref="G55:H55"/>
    <mergeCell ref="I55:J55"/>
    <mergeCell ref="G56:H56"/>
    <mergeCell ref="I56:J56"/>
    <mergeCell ref="L56:Z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2199-EBF4-420C-92AB-0FE7F1B31E29}">
  <dimension ref="D3:V80"/>
  <sheetViews>
    <sheetView topLeftCell="A4" zoomScale="55" zoomScaleNormal="55" workbookViewId="0">
      <selection activeCell="I9" sqref="I9:J9"/>
    </sheetView>
  </sheetViews>
  <sheetFormatPr defaultRowHeight="12.75" x14ac:dyDescent="0.2"/>
  <cols>
    <col min="3" max="3" width="9.7109375" bestFit="1" customWidth="1"/>
    <col min="4" max="4" width="22" customWidth="1"/>
    <col min="5" max="5" width="22.85546875" bestFit="1" customWidth="1"/>
    <col min="6" max="6" width="13.42578125" bestFit="1" customWidth="1"/>
    <col min="7" max="7" width="11.5703125" bestFit="1" customWidth="1"/>
    <col min="8" max="8" width="19.5703125" bestFit="1" customWidth="1"/>
    <col min="9" max="9" width="19.7109375" bestFit="1" customWidth="1"/>
    <col min="10" max="10" width="19.7109375" customWidth="1"/>
    <col min="13" max="13" width="20.28515625" bestFit="1" customWidth="1"/>
    <col min="14" max="14" width="11.140625" bestFit="1" customWidth="1"/>
    <col min="15" max="15" width="4.7109375" customWidth="1"/>
    <col min="16" max="16" width="9.7109375" customWidth="1"/>
    <col min="17" max="17" width="22.140625" customWidth="1"/>
  </cols>
  <sheetData>
    <row r="3" spans="4:19" ht="36.75" x14ac:dyDescent="0.2">
      <c r="F3" s="455" t="s">
        <v>133</v>
      </c>
      <c r="G3" s="456"/>
    </row>
    <row r="5" spans="4:19" ht="13.5" thickBot="1" x14ac:dyDescent="0.25"/>
    <row r="6" spans="4:19" ht="31.5" customHeight="1" thickTop="1" x14ac:dyDescent="0.2">
      <c r="D6" s="1075" t="s">
        <v>100</v>
      </c>
      <c r="E6" s="1076"/>
      <c r="F6" s="1076"/>
      <c r="G6" s="1076"/>
      <c r="H6" s="1076"/>
      <c r="I6" s="1076"/>
      <c r="J6" s="1077"/>
    </row>
    <row r="7" spans="4:19" ht="13.5" thickBot="1" x14ac:dyDescent="0.25">
      <c r="D7" s="1078"/>
      <c r="E7" s="1079"/>
      <c r="F7" s="1079"/>
      <c r="G7" s="1079"/>
      <c r="H7" s="1079"/>
      <c r="I7" s="1079"/>
      <c r="J7" s="1080"/>
    </row>
    <row r="8" spans="4:19" ht="21.75" thickTop="1" thickBot="1" x14ac:dyDescent="0.25">
      <c r="D8" s="1081" t="s">
        <v>174</v>
      </c>
      <c r="E8" s="1082"/>
      <c r="F8" s="1087" t="s">
        <v>41</v>
      </c>
      <c r="G8" s="1088"/>
      <c r="H8" s="1089"/>
      <c r="I8" s="1100">
        <v>100</v>
      </c>
      <c r="J8" s="1101"/>
    </row>
    <row r="9" spans="4:19" ht="24.75" thickTop="1" thickBot="1" x14ac:dyDescent="0.4">
      <c r="D9" s="1083"/>
      <c r="E9" s="1084"/>
      <c r="F9" s="1092" t="s">
        <v>43</v>
      </c>
      <c r="G9" s="1093"/>
      <c r="H9" s="1094"/>
      <c r="I9" s="1102">
        <v>2.5</v>
      </c>
      <c r="J9" s="1103"/>
      <c r="L9" s="511"/>
      <c r="M9" s="1044" t="s">
        <v>194</v>
      </c>
      <c r="N9" s="1044"/>
      <c r="O9" s="1044"/>
      <c r="P9" s="1044"/>
      <c r="Q9" s="1044"/>
      <c r="R9" s="511"/>
    </row>
    <row r="10" spans="4:19" ht="21.75" thickTop="1" thickBot="1" x14ac:dyDescent="0.25">
      <c r="D10" s="1085"/>
      <c r="E10" s="1086"/>
      <c r="F10" s="1097" t="s">
        <v>42</v>
      </c>
      <c r="G10" s="1098"/>
      <c r="H10" s="1099"/>
      <c r="I10" s="1102">
        <v>1.5</v>
      </c>
      <c r="J10" s="1103"/>
      <c r="L10" s="511"/>
      <c r="M10" s="511"/>
      <c r="N10" s="511"/>
      <c r="O10" s="511"/>
      <c r="P10" s="511"/>
      <c r="Q10" s="511"/>
      <c r="R10" s="511"/>
    </row>
    <row r="11" spans="4:19" ht="21.75" thickTop="1" thickBot="1" x14ac:dyDescent="0.25">
      <c r="D11" s="941" t="s">
        <v>2</v>
      </c>
      <c r="E11" s="460" t="s">
        <v>11</v>
      </c>
      <c r="F11" s="407" t="s">
        <v>26</v>
      </c>
      <c r="G11" s="474" t="s">
        <v>74</v>
      </c>
      <c r="H11" s="475" t="s">
        <v>27</v>
      </c>
      <c r="I11" s="1128" t="s">
        <v>0</v>
      </c>
      <c r="J11" s="1129"/>
      <c r="L11" s="511"/>
      <c r="M11" s="1063" t="s">
        <v>76</v>
      </c>
      <c r="N11" s="1063"/>
      <c r="O11" s="511"/>
      <c r="P11" s="1063" t="s">
        <v>77</v>
      </c>
      <c r="Q11" s="1063"/>
      <c r="R11" s="511"/>
    </row>
    <row r="12" spans="4:19" ht="21.75" thickTop="1" thickBot="1" x14ac:dyDescent="0.35">
      <c r="D12" s="773"/>
      <c r="E12" s="464">
        <f>H28</f>
        <v>82.835507884845413</v>
      </c>
      <c r="F12" s="462">
        <f>H29</f>
        <v>2.636281158730621</v>
      </c>
      <c r="G12" s="463">
        <f>H30</f>
        <v>13.8120725010771</v>
      </c>
      <c r="H12" s="1254">
        <f>H31</f>
        <v>0.71613845534689502</v>
      </c>
      <c r="I12" s="1161">
        <f>SUM(E12:H12)</f>
        <v>100.00000000000003</v>
      </c>
      <c r="J12" s="1162"/>
      <c r="L12" s="511"/>
      <c r="M12" s="505" t="s">
        <v>78</v>
      </c>
      <c r="N12" s="505">
        <v>1</v>
      </c>
      <c r="O12" s="511"/>
      <c r="P12" s="506" t="s">
        <v>79</v>
      </c>
      <c r="Q12" s="507">
        <f>(N16*N18*N23*N28)+(N16*N19*N24*N26)+(N16*N20*N22*N27)-(N16*N20*N23*N26)-(N16*N18*N24*N27)-(N16*N19*N22*N28)</f>
        <v>59469391216.800011</v>
      </c>
      <c r="R12" s="511"/>
      <c r="S12" s="457"/>
    </row>
    <row r="13" spans="4:19" ht="20.25" thickTop="1" thickBot="1" x14ac:dyDescent="0.35">
      <c r="D13" s="476" t="s">
        <v>1</v>
      </c>
      <c r="E13" s="360">
        <v>3.24</v>
      </c>
      <c r="F13" s="368">
        <v>9</v>
      </c>
      <c r="G13" s="461">
        <v>74.98</v>
      </c>
      <c r="H13" s="369">
        <v>9.16</v>
      </c>
      <c r="I13" s="1157">
        <f t="shared" ref="I13:I22" si="0">($E$12*E13+$G$12*G13+$H$12*H13+$F$12*F13)/$I$12</f>
        <v>13.343026003572129</v>
      </c>
      <c r="J13" s="1158"/>
      <c r="L13" s="511"/>
      <c r="M13" s="505" t="s">
        <v>80</v>
      </c>
      <c r="N13" s="505">
        <v>1</v>
      </c>
      <c r="O13" s="511"/>
      <c r="P13" s="506" t="s">
        <v>81</v>
      </c>
      <c r="Q13" s="507">
        <f>-N17*N16*N23*N28+N17*N16*N24*N27+N21*N16*N19*N28-N21*N16*N20*N27-N25*N16*N19*N24+N25*N16*N20*N23</f>
        <v>9915983665.1599998</v>
      </c>
      <c r="R13" s="511"/>
    </row>
    <row r="14" spans="4:19" ht="20.25" thickTop="1" thickBot="1" x14ac:dyDescent="0.35">
      <c r="D14" s="476" t="s">
        <v>3</v>
      </c>
      <c r="E14" s="360">
        <v>0.79</v>
      </c>
      <c r="F14" s="368">
        <v>50</v>
      </c>
      <c r="G14" s="461">
        <v>8.8000000000000007</v>
      </c>
      <c r="H14" s="369">
        <v>2</v>
      </c>
      <c r="I14" s="1157">
        <f t="shared" si="0"/>
        <v>3.2023262408573108</v>
      </c>
      <c r="J14" s="1158"/>
      <c r="L14" s="511"/>
      <c r="M14" s="505" t="s">
        <v>82</v>
      </c>
      <c r="N14" s="505">
        <v>1</v>
      </c>
      <c r="O14" s="511"/>
      <c r="P14" s="506" t="s">
        <v>83</v>
      </c>
      <c r="Q14" s="507">
        <f>-N17*N16*N24*N26+N17*N16*N22*N28+N21*N16*N20*N26-N21*N16*N18*N28-N25*N16*N20*N22+N25*N16*N18*N24</f>
        <v>514131186.66000009</v>
      </c>
      <c r="R14" s="511"/>
    </row>
    <row r="15" spans="4:19" ht="20.25" thickTop="1" thickBot="1" x14ac:dyDescent="0.35">
      <c r="D15" s="476" t="s">
        <v>4</v>
      </c>
      <c r="E15" s="360">
        <v>0.38</v>
      </c>
      <c r="F15" s="368">
        <v>14</v>
      </c>
      <c r="G15" s="461">
        <v>6.2</v>
      </c>
      <c r="H15" s="369">
        <v>83.04</v>
      </c>
      <c r="I15" s="1157">
        <f t="shared" si="0"/>
        <v>2.1348841605715405</v>
      </c>
      <c r="J15" s="1158"/>
      <c r="L15" s="511"/>
      <c r="M15" s="505" t="s">
        <v>84</v>
      </c>
      <c r="N15" s="505">
        <v>1</v>
      </c>
      <c r="O15" s="511"/>
      <c r="P15" s="506" t="s">
        <v>85</v>
      </c>
      <c r="Q15" s="507">
        <f>-N17*N16*N22*N27+N17*N16*N23*N26+N21*N16*N18*N27-N21*N16*N19*N26-N25*N16*N18*N23+N25*N16*N19*N22</f>
        <v>1892642896.6184003</v>
      </c>
      <c r="R15" s="511"/>
    </row>
    <row r="16" spans="4:19" ht="20.25" thickTop="1" thickBot="1" x14ac:dyDescent="0.35">
      <c r="D16" s="476" t="s">
        <v>5</v>
      </c>
      <c r="E16" s="466">
        <v>51</v>
      </c>
      <c r="F16" s="467">
        <v>5.5</v>
      </c>
      <c r="G16" s="468">
        <v>0.98</v>
      </c>
      <c r="H16" s="469">
        <v>0.06</v>
      </c>
      <c r="I16" s="1157">
        <f t="shared" si="0"/>
        <v>42.52689247858509</v>
      </c>
      <c r="J16" s="1158"/>
      <c r="L16" s="511"/>
      <c r="M16" s="505" t="s">
        <v>86</v>
      </c>
      <c r="N16" s="505">
        <v>100</v>
      </c>
      <c r="O16" s="511"/>
      <c r="P16" s="506" t="s">
        <v>16</v>
      </c>
      <c r="Q16" s="507">
        <f>(N18*N23*N28)+(N19*N24*N26)+(N20*N22*N27)-(N20*N23*N26)-(N18*N24*N27)-(N19*N22*N28)-(N17*N23*N28)-(N17*N24*N26)-(N17*N22*N27)+(N17*N23*N26)+(N17*N24*N27)+(N17*N22*N28)+(N21*N19*N28)+(N21*N20*N26)+(N21*N18*N27)-(N21*N19*N26)-(N21*N20*N27)-(N21*N18*N28)-(N25*N19*N24)-(N25*N20*N22)-(N25*N18*N23)+(N25*N19*N22)+(N25*N20*N23)+(N25*N18*N24)</f>
        <v>717921489.65238392</v>
      </c>
      <c r="R16" s="511"/>
    </row>
    <row r="17" spans="4:18" ht="20.25" thickTop="1" thickBot="1" x14ac:dyDescent="0.35">
      <c r="D17" s="476" t="s">
        <v>6</v>
      </c>
      <c r="E17" s="470">
        <v>1.24</v>
      </c>
      <c r="F17" s="471">
        <v>0.5</v>
      </c>
      <c r="G17" s="472">
        <v>0.24</v>
      </c>
      <c r="H17" s="473">
        <v>0.41</v>
      </c>
      <c r="I17" s="1159">
        <f t="shared" si="0"/>
        <v>1.076426845235243</v>
      </c>
      <c r="J17" s="1160"/>
      <c r="L17" s="511"/>
      <c r="M17" s="505" t="s">
        <v>87</v>
      </c>
      <c r="N17" s="505">
        <f>I10*E15-E14</f>
        <v>-0.21999999999999997</v>
      </c>
      <c r="O17" s="511"/>
      <c r="P17" s="511"/>
      <c r="Q17" s="511"/>
      <c r="R17" s="511"/>
    </row>
    <row r="18" spans="4:18" ht="20.25" thickTop="1" thickBot="1" x14ac:dyDescent="0.35">
      <c r="D18" s="476" t="s">
        <v>7</v>
      </c>
      <c r="E18" s="470">
        <v>0.5</v>
      </c>
      <c r="F18" s="471">
        <v>0.1</v>
      </c>
      <c r="G18" s="472">
        <v>0.3</v>
      </c>
      <c r="H18" s="473">
        <v>0.2</v>
      </c>
      <c r="I18" s="1155">
        <f t="shared" si="0"/>
        <v>0.45968231499688261</v>
      </c>
      <c r="J18" s="1156"/>
      <c r="L18" s="511"/>
      <c r="M18" s="505" t="s">
        <v>88</v>
      </c>
      <c r="N18" s="505">
        <f>I10*G15-G14</f>
        <v>0.5</v>
      </c>
      <c r="O18" s="511"/>
      <c r="P18" s="511"/>
      <c r="Q18" s="511"/>
      <c r="R18" s="511"/>
    </row>
    <row r="19" spans="4:18" ht="20.25" thickTop="1" thickBot="1" x14ac:dyDescent="0.35">
      <c r="D19" s="476" t="s">
        <v>8</v>
      </c>
      <c r="E19" s="470">
        <v>0.2</v>
      </c>
      <c r="F19" s="471">
        <v>0.1</v>
      </c>
      <c r="G19" s="472">
        <v>0.2</v>
      </c>
      <c r="H19" s="473">
        <v>0.1</v>
      </c>
      <c r="I19" s="1155">
        <f t="shared" si="0"/>
        <v>0.19664758038592248</v>
      </c>
      <c r="J19" s="1156"/>
      <c r="L19" s="511"/>
      <c r="M19" s="505" t="s">
        <v>89</v>
      </c>
      <c r="N19" s="505">
        <f>I10*H15-H14</f>
        <v>122.56</v>
      </c>
      <c r="O19" s="511"/>
      <c r="P19" s="511"/>
      <c r="Q19" s="511"/>
      <c r="R19" s="511"/>
    </row>
    <row r="20" spans="4:18" ht="20.25" thickTop="1" thickBot="1" x14ac:dyDescent="0.35">
      <c r="D20" s="476" t="s">
        <v>9</v>
      </c>
      <c r="E20" s="470">
        <v>0.1</v>
      </c>
      <c r="F20" s="471">
        <v>0.05</v>
      </c>
      <c r="G20" s="472">
        <v>0.2</v>
      </c>
      <c r="H20" s="473">
        <v>7.0000000000000007E-2</v>
      </c>
      <c r="I20" s="1155">
        <f t="shared" si="0"/>
        <v>0.11227909038510772</v>
      </c>
      <c r="J20" s="1156"/>
      <c r="L20" s="511"/>
      <c r="M20" s="505" t="s">
        <v>90</v>
      </c>
      <c r="N20" s="505">
        <f>I10*F15-F14</f>
        <v>-29</v>
      </c>
      <c r="O20" s="511"/>
      <c r="P20" s="511"/>
      <c r="Q20" s="511"/>
      <c r="R20" s="511"/>
    </row>
    <row r="21" spans="4:18" ht="20.25" thickTop="1" thickBot="1" x14ac:dyDescent="0.35">
      <c r="D21" s="476" t="s">
        <v>40</v>
      </c>
      <c r="E21" s="470">
        <v>0.01</v>
      </c>
      <c r="F21" s="471">
        <v>0.01</v>
      </c>
      <c r="G21" s="472">
        <v>0.01</v>
      </c>
      <c r="H21" s="473">
        <v>0.01</v>
      </c>
      <c r="I21" s="1155">
        <f t="shared" si="0"/>
        <v>0.01</v>
      </c>
      <c r="J21" s="1156"/>
      <c r="L21" s="511"/>
      <c r="M21" s="505" t="s">
        <v>92</v>
      </c>
      <c r="N21" s="505">
        <f>I9*E14+I9*E15-E13</f>
        <v>-0.31500000000000039</v>
      </c>
      <c r="O21" s="511"/>
      <c r="P21" s="511"/>
      <c r="Q21" s="511"/>
      <c r="R21" s="511"/>
    </row>
    <row r="22" spans="4:18" ht="20.25" thickTop="1" thickBot="1" x14ac:dyDescent="0.35">
      <c r="D22" s="476" t="s">
        <v>39</v>
      </c>
      <c r="E22" s="470">
        <v>42.48</v>
      </c>
      <c r="F22" s="471">
        <v>21</v>
      </c>
      <c r="G22" s="472">
        <v>8</v>
      </c>
      <c r="H22" s="473">
        <v>4.6500000000000004</v>
      </c>
      <c r="I22" s="1155">
        <f t="shared" si="0"/>
        <v>36.880409031075551</v>
      </c>
      <c r="J22" s="1156"/>
      <c r="L22" s="511"/>
      <c r="M22" s="505" t="s">
        <v>93</v>
      </c>
      <c r="N22" s="505">
        <f>I9*G14+I9*G15-G13</f>
        <v>-37.480000000000004</v>
      </c>
      <c r="O22" s="511"/>
      <c r="P22" s="511"/>
      <c r="Q22" s="511"/>
      <c r="R22" s="511"/>
    </row>
    <row r="23" spans="4:18" ht="20.25" thickTop="1" thickBot="1" x14ac:dyDescent="0.35">
      <c r="D23" s="382" t="s">
        <v>10</v>
      </c>
      <c r="E23" s="364">
        <f>SUM(E13:E22)</f>
        <v>99.94</v>
      </c>
      <c r="F23" s="364">
        <f>SUM(F13:F22)</f>
        <v>100.25999999999999</v>
      </c>
      <c r="G23" s="364">
        <f>SUM(G13:G22)</f>
        <v>99.910000000000011</v>
      </c>
      <c r="H23" s="364">
        <f>SUM(H13:H22)</f>
        <v>99.7</v>
      </c>
      <c r="I23" s="822">
        <f>SUM(I13:I22)</f>
        <v>99.942573745664774</v>
      </c>
      <c r="J23" s="823"/>
      <c r="L23" s="511"/>
      <c r="M23" s="505" t="s">
        <v>94</v>
      </c>
      <c r="N23" s="505">
        <f>I9*H14+I9*H15-H13</f>
        <v>203.44000000000003</v>
      </c>
      <c r="O23" s="511"/>
      <c r="P23" s="511"/>
      <c r="Q23" s="511"/>
      <c r="R23" s="511"/>
    </row>
    <row r="24" spans="4:18" ht="21.75" thickTop="1" thickBot="1" x14ac:dyDescent="0.35">
      <c r="D24" s="465" t="s">
        <v>38</v>
      </c>
      <c r="E24" s="378">
        <f>100*E16/(2.8*E13+1.18*E14+0.65*E15)</f>
        <v>497.50273138754494</v>
      </c>
      <c r="F24" s="378">
        <f>100*F16/(2.8*F13+1.18*F14+0.65*F15)</f>
        <v>5.894962486602358</v>
      </c>
      <c r="G24" s="378">
        <f>100*G16/(2.8*G13+1.18*G14+0.65*G15)</f>
        <v>0.43680189696823829</v>
      </c>
      <c r="H24" s="378">
        <f>100*H16/(2.8*H13+1.18*H14+0.65*H15)</f>
        <v>7.3185011709601872E-2</v>
      </c>
      <c r="I24" s="1149">
        <f>100*I16/(2.8*I13+1.18*I14+0.65*I15)</f>
        <v>100.00000000000001</v>
      </c>
      <c r="J24" s="1150"/>
      <c r="L24" s="511"/>
      <c r="M24" s="505" t="s">
        <v>95</v>
      </c>
      <c r="N24" s="505">
        <f>I9*F14+I9*F15-F13</f>
        <v>151</v>
      </c>
      <c r="O24" s="511"/>
      <c r="P24" s="511"/>
      <c r="Q24" s="511"/>
      <c r="R24" s="511"/>
    </row>
    <row r="25" spans="4:18" ht="21.75" thickTop="1" thickBot="1" x14ac:dyDescent="0.35">
      <c r="D25" s="465" t="s">
        <v>36</v>
      </c>
      <c r="E25" s="378">
        <f>E13/(E14+E15)</f>
        <v>2.7692307692307696</v>
      </c>
      <c r="F25" s="378">
        <f>F13/(F14+F15)</f>
        <v>0.140625</v>
      </c>
      <c r="G25" s="378">
        <f>G13/(G14+G15)</f>
        <v>4.9986666666666668</v>
      </c>
      <c r="H25" s="378">
        <f>H13/(H14+H15)</f>
        <v>0.1077140169332079</v>
      </c>
      <c r="I25" s="1149">
        <f>I13/(I14+I15)</f>
        <v>2.5</v>
      </c>
      <c r="J25" s="1150"/>
      <c r="L25" s="511"/>
      <c r="M25" s="505" t="s">
        <v>96</v>
      </c>
      <c r="N25" s="505">
        <f>I8*2.8*E13+I8*1.18*E14+I8*0.65*E15-100*E16</f>
        <v>-4074.88</v>
      </c>
      <c r="O25" s="511"/>
      <c r="P25" s="511"/>
      <c r="Q25" s="511"/>
      <c r="R25" s="511"/>
    </row>
    <row r="26" spans="4:18" ht="21.75" thickTop="1" thickBot="1" x14ac:dyDescent="0.35">
      <c r="D26" s="465" t="s">
        <v>37</v>
      </c>
      <c r="E26" s="378">
        <f>E14/E15</f>
        <v>2.0789473684210527</v>
      </c>
      <c r="F26" s="378">
        <f>F14/F15</f>
        <v>3.5714285714285716</v>
      </c>
      <c r="G26" s="378">
        <f>G14/G15</f>
        <v>1.4193548387096775</v>
      </c>
      <c r="H26" s="378">
        <f>H14/H15</f>
        <v>2.4084778420038533E-2</v>
      </c>
      <c r="I26" s="1149">
        <f>I14/I15</f>
        <v>1.5</v>
      </c>
      <c r="J26" s="1150"/>
      <c r="L26" s="511"/>
      <c r="M26" s="505" t="s">
        <v>97</v>
      </c>
      <c r="N26" s="505">
        <f>I8*2.8*G13+I8*1.18*G14+I8*0.65*G15-100*G16</f>
        <v>22337.800000000003</v>
      </c>
      <c r="O26" s="511"/>
      <c r="P26" s="511"/>
      <c r="Q26" s="511"/>
      <c r="R26" s="511"/>
    </row>
    <row r="27" spans="4:18" ht="24.75" thickTop="1" thickBot="1" x14ac:dyDescent="0.4">
      <c r="D27" s="1068" t="s">
        <v>145</v>
      </c>
      <c r="E27" s="1069"/>
      <c r="F27" s="1069"/>
      <c r="G27" s="1069"/>
      <c r="H27" s="1069"/>
      <c r="I27" s="1069"/>
      <c r="J27" s="1070"/>
      <c r="L27" s="511"/>
      <c r="M27" s="505" t="s">
        <v>98</v>
      </c>
      <c r="N27" s="505">
        <f>I8*2.8*H13+I8*1.18*H14+I8*0.65*H15-100*H16</f>
        <v>8192.4000000000015</v>
      </c>
      <c r="O27" s="511"/>
      <c r="P27" s="511"/>
      <c r="Q27" s="511"/>
      <c r="R27" s="511"/>
    </row>
    <row r="28" spans="4:18" ht="21.75" thickTop="1" thickBot="1" x14ac:dyDescent="0.35">
      <c r="D28" s="1055" t="s">
        <v>11</v>
      </c>
      <c r="E28" s="1056"/>
      <c r="F28" s="1056"/>
      <c r="G28" s="1056"/>
      <c r="H28" s="1151">
        <f>Q12/Q16</f>
        <v>82.835507884845413</v>
      </c>
      <c r="I28" s="1151"/>
      <c r="J28" s="1152"/>
      <c r="L28" s="511"/>
      <c r="M28" s="512" t="s">
        <v>99</v>
      </c>
      <c r="N28" s="505">
        <f>I8*2.8*F13+I8*1.18*F14+I8*0.65*F15-100*F16</f>
        <v>8780</v>
      </c>
      <c r="O28" s="511"/>
      <c r="P28" s="511"/>
      <c r="Q28" s="511"/>
      <c r="R28" s="511"/>
    </row>
    <row r="29" spans="4:18" ht="21.75" thickTop="1" thickBot="1" x14ac:dyDescent="0.35">
      <c r="D29" s="1059" t="s">
        <v>26</v>
      </c>
      <c r="E29" s="1060"/>
      <c r="F29" s="1060"/>
      <c r="G29" s="1060"/>
      <c r="H29" s="1153">
        <f>Q15/Q16</f>
        <v>2.636281158730621</v>
      </c>
      <c r="I29" s="1153"/>
      <c r="J29" s="1154"/>
      <c r="L29" s="511"/>
      <c r="M29" s="513" t="s">
        <v>144</v>
      </c>
      <c r="N29" s="511"/>
      <c r="O29" s="511"/>
      <c r="P29" s="511"/>
      <c r="Q29" s="511"/>
      <c r="R29" s="511"/>
    </row>
    <row r="30" spans="4:18" ht="21.75" thickTop="1" thickBot="1" x14ac:dyDescent="0.35">
      <c r="D30" s="1061" t="s">
        <v>74</v>
      </c>
      <c r="E30" s="1062"/>
      <c r="F30" s="1062"/>
      <c r="G30" s="1062"/>
      <c r="H30" s="1145">
        <f>Q13/Q16</f>
        <v>13.8120725010771</v>
      </c>
      <c r="I30" s="1145"/>
      <c r="J30" s="1146"/>
      <c r="L30" s="511"/>
      <c r="M30" s="514">
        <f>H35/(1-(J35/100))</f>
        <v>88.122880728558954</v>
      </c>
      <c r="N30" s="511"/>
      <c r="O30" s="511"/>
      <c r="P30" s="511"/>
      <c r="Q30" s="511"/>
      <c r="R30" s="511"/>
    </row>
    <row r="31" spans="4:18" ht="20.25" thickTop="1" thickBot="1" x14ac:dyDescent="0.35">
      <c r="D31" s="1114" t="s">
        <v>27</v>
      </c>
      <c r="E31" s="1115"/>
      <c r="F31" s="1115"/>
      <c r="G31" s="1115"/>
      <c r="H31" s="1147">
        <f>Q14/Q16</f>
        <v>0.71613845534689502</v>
      </c>
      <c r="I31" s="1147"/>
      <c r="J31" s="1148"/>
      <c r="L31" s="511"/>
      <c r="M31" s="514">
        <f>H36/(1-(J36/100))</f>
        <v>2.7750327986638115</v>
      </c>
      <c r="N31" s="511"/>
      <c r="O31" s="511"/>
      <c r="P31" s="511"/>
      <c r="Q31" s="511"/>
      <c r="R31" s="511"/>
    </row>
    <row r="32" spans="4:18" ht="17.25" thickTop="1" thickBot="1" x14ac:dyDescent="0.3">
      <c r="D32" s="1110" t="s">
        <v>10</v>
      </c>
      <c r="E32" s="1111"/>
      <c r="F32" s="1111"/>
      <c r="G32" s="1111"/>
      <c r="H32" s="1112">
        <f>SUM(H28:I31)</f>
        <v>100.00000000000003</v>
      </c>
      <c r="I32" s="1112"/>
      <c r="J32" s="1113"/>
      <c r="L32" s="511"/>
      <c r="M32" s="514">
        <f>H37/(1-(J37/100))</f>
        <v>15.095161203362951</v>
      </c>
      <c r="N32" s="511"/>
      <c r="O32" s="511"/>
      <c r="P32" s="511"/>
      <c r="Q32" s="511"/>
      <c r="R32" s="511"/>
    </row>
    <row r="33" spans="4:22" ht="24.75" thickTop="1" thickBot="1" x14ac:dyDescent="0.25">
      <c r="D33" s="1118" t="s">
        <v>179</v>
      </c>
      <c r="E33" s="1119"/>
      <c r="F33" s="1119"/>
      <c r="G33" s="1119"/>
      <c r="H33" s="1119"/>
      <c r="I33" s="1119"/>
      <c r="J33" s="1120"/>
      <c r="L33" s="511"/>
      <c r="M33" s="514">
        <f>H38/(1-(J38/100))</f>
        <v>0.77672283660183838</v>
      </c>
      <c r="N33" s="511"/>
      <c r="O33" s="511"/>
      <c r="P33" s="511"/>
      <c r="Q33" s="511"/>
      <c r="R33" s="511"/>
    </row>
    <row r="34" spans="4:22" ht="20.25" thickTop="1" thickBot="1" x14ac:dyDescent="0.35">
      <c r="D34" s="481" t="s">
        <v>75</v>
      </c>
      <c r="E34" s="1105" t="s">
        <v>196</v>
      </c>
      <c r="F34" s="1105"/>
      <c r="G34" s="1105"/>
      <c r="H34" s="1106" t="s">
        <v>151</v>
      </c>
      <c r="I34" s="1107"/>
      <c r="J34" s="482" t="s">
        <v>143</v>
      </c>
      <c r="L34" s="511"/>
      <c r="M34" s="514">
        <f>M31+M32+M33+M30</f>
        <v>106.76979756718755</v>
      </c>
      <c r="N34" s="511"/>
      <c r="O34" s="511"/>
      <c r="P34" s="511"/>
      <c r="Q34" s="511"/>
      <c r="R34" s="511"/>
    </row>
    <row r="35" spans="4:22" ht="21.75" thickTop="1" thickBot="1" x14ac:dyDescent="0.35">
      <c r="D35" s="477" t="s">
        <v>11</v>
      </c>
      <c r="E35" s="1131">
        <f>M30*M35</f>
        <v>82.535401149473429</v>
      </c>
      <c r="F35" s="1131"/>
      <c r="G35" s="1132"/>
      <c r="H35" s="1139">
        <v>82.835507884845413</v>
      </c>
      <c r="I35" s="1140"/>
      <c r="J35" s="480">
        <v>6</v>
      </c>
      <c r="L35" s="511"/>
      <c r="M35" s="515">
        <f>H32/M34</f>
        <v>0.93659445160109567</v>
      </c>
      <c r="N35" s="511"/>
      <c r="O35" s="511"/>
      <c r="P35" s="511"/>
      <c r="Q35" s="511"/>
      <c r="R35" s="511"/>
    </row>
    <row r="36" spans="4:22" ht="21.75" thickTop="1" thickBot="1" x14ac:dyDescent="0.25">
      <c r="D36" s="405" t="str">
        <f>D29</f>
        <v>SHALE</v>
      </c>
      <c r="E36" s="1133">
        <f>M31*M35</f>
        <v>2.5990803222395864</v>
      </c>
      <c r="F36" s="1133"/>
      <c r="G36" s="1134"/>
      <c r="H36" s="1141">
        <v>2.636281158730621</v>
      </c>
      <c r="I36" s="1142"/>
      <c r="J36" s="480">
        <v>5</v>
      </c>
      <c r="L36" s="511"/>
      <c r="M36" s="511"/>
      <c r="N36" s="511"/>
      <c r="O36" s="511"/>
      <c r="P36" s="511"/>
      <c r="Q36" s="511"/>
      <c r="R36" s="511"/>
    </row>
    <row r="37" spans="4:22" ht="21.75" thickTop="1" thickBot="1" x14ac:dyDescent="0.25">
      <c r="D37" s="478" t="str">
        <f>D30</f>
        <v>SAND</v>
      </c>
      <c r="E37" s="1135">
        <f>M32*M35</f>
        <v>14.138044229093857</v>
      </c>
      <c r="F37" s="1135"/>
      <c r="G37" s="1136"/>
      <c r="H37" s="1143">
        <v>13.8120725010771</v>
      </c>
      <c r="I37" s="1144"/>
      <c r="J37" s="480">
        <v>8.5</v>
      </c>
      <c r="S37" s="458"/>
    </row>
    <row r="38" spans="4:22" ht="21.75" thickTop="1" thickBot="1" x14ac:dyDescent="0.25">
      <c r="D38" s="479" t="str">
        <f>D31</f>
        <v>IRON ORE</v>
      </c>
      <c r="E38" s="1137">
        <f>M33*M35</f>
        <v>0.72747429919314621</v>
      </c>
      <c r="F38" s="1137"/>
      <c r="G38" s="1138"/>
      <c r="H38" s="1071">
        <v>0.71613845534689502</v>
      </c>
      <c r="I38" s="1072"/>
      <c r="J38" s="480">
        <v>7.8</v>
      </c>
    </row>
    <row r="39" spans="4:22" ht="17.25" thickTop="1" thickBot="1" x14ac:dyDescent="0.25">
      <c r="D39" s="366" t="str">
        <f>D32</f>
        <v>TOTAL</v>
      </c>
      <c r="E39" s="1130">
        <f>E36+E37+E38+E35</f>
        <v>100.00000000000003</v>
      </c>
      <c r="F39" s="1130"/>
      <c r="G39" s="1130"/>
      <c r="H39" s="1073">
        <f>H36+H37+H38+H35</f>
        <v>100.00000000000003</v>
      </c>
      <c r="I39" s="1074"/>
      <c r="J39" s="419">
        <f>J36+J37+J38+J35</f>
        <v>27.3</v>
      </c>
    </row>
    <row r="40" spans="4:22" ht="13.5" thickTop="1" x14ac:dyDescent="0.2"/>
    <row r="43" spans="4:22" ht="19.5" x14ac:dyDescent="0.4">
      <c r="L43" s="2"/>
      <c r="M43" s="2"/>
      <c r="N43" s="2"/>
      <c r="O43" s="37"/>
      <c r="P43" s="37"/>
      <c r="Q43" s="37"/>
      <c r="R43" s="2"/>
      <c r="S43" s="2"/>
      <c r="T43" s="2"/>
      <c r="U43" s="2"/>
      <c r="V43" s="2"/>
    </row>
    <row r="44" spans="4:22" ht="19.5" x14ac:dyDescent="0.4">
      <c r="L44" s="2" t="s">
        <v>136</v>
      </c>
      <c r="M44" s="2"/>
      <c r="N44" s="2"/>
      <c r="O44" s="37"/>
      <c r="P44" s="37"/>
      <c r="Q44" s="37"/>
      <c r="R44" s="2"/>
      <c r="S44" s="2"/>
      <c r="T44" s="2"/>
      <c r="U44" s="2"/>
      <c r="V44" s="2"/>
    </row>
    <row r="45" spans="4:22" ht="20.25" thickBot="1" x14ac:dyDescent="0.45">
      <c r="L45" s="2"/>
      <c r="M45" s="2"/>
      <c r="N45" s="2"/>
      <c r="O45" s="37"/>
      <c r="P45" s="37"/>
      <c r="Q45" s="70"/>
      <c r="R45" s="848" t="s">
        <v>139</v>
      </c>
      <c r="S45" s="2"/>
      <c r="T45" s="57"/>
      <c r="U45" s="847" t="s">
        <v>140</v>
      </c>
      <c r="V45" s="847"/>
    </row>
    <row r="46" spans="4:22" ht="20.25" thickTop="1" x14ac:dyDescent="0.4">
      <c r="D46" s="1075" t="s">
        <v>100</v>
      </c>
      <c r="E46" s="1076"/>
      <c r="F46" s="1076"/>
      <c r="G46" s="1076"/>
      <c r="H46" s="1076"/>
      <c r="I46" s="1076"/>
      <c r="J46" s="1077"/>
      <c r="L46" s="606" t="s">
        <v>135</v>
      </c>
      <c r="M46" s="607" t="s">
        <v>134</v>
      </c>
      <c r="N46" s="2"/>
      <c r="O46" s="37"/>
      <c r="P46" s="37"/>
      <c r="Q46" s="70"/>
      <c r="R46" s="848"/>
      <c r="S46" s="71"/>
      <c r="T46" s="72"/>
      <c r="U46" s="847"/>
      <c r="V46" s="847"/>
    </row>
    <row r="47" spans="4:22" ht="20.25" thickBot="1" x14ac:dyDescent="0.45">
      <c r="D47" s="1078"/>
      <c r="E47" s="1079"/>
      <c r="F47" s="1079"/>
      <c r="G47" s="1079"/>
      <c r="H47" s="1079"/>
      <c r="I47" s="1079"/>
      <c r="J47" s="1080"/>
      <c r="L47" s="606"/>
      <c r="M47" s="607"/>
      <c r="N47" s="2"/>
      <c r="O47" s="2"/>
      <c r="P47" s="2"/>
      <c r="Q47" s="2"/>
      <c r="R47" s="71"/>
      <c r="S47" s="71"/>
      <c r="T47" s="71"/>
      <c r="U47" s="71"/>
      <c r="V47" s="71"/>
    </row>
    <row r="48" spans="4:22" ht="21.75" thickTop="1" thickBot="1" x14ac:dyDescent="0.3">
      <c r="D48" s="1081" t="s">
        <v>174</v>
      </c>
      <c r="E48" s="1082"/>
      <c r="F48" s="1087" t="s">
        <v>41</v>
      </c>
      <c r="G48" s="1088"/>
      <c r="H48" s="1089"/>
      <c r="I48" s="1090">
        <v>100</v>
      </c>
      <c r="J48" s="1091"/>
      <c r="L48" s="459"/>
      <c r="M48" s="459"/>
      <c r="N48" s="459"/>
      <c r="O48" s="459"/>
      <c r="P48" s="459"/>
      <c r="Q48" s="459"/>
      <c r="R48" s="1"/>
    </row>
    <row r="49" spans="4:18" ht="21.75" thickTop="1" thickBot="1" x14ac:dyDescent="0.3">
      <c r="D49" s="1083"/>
      <c r="E49" s="1084"/>
      <c r="F49" s="1092" t="s">
        <v>43</v>
      </c>
      <c r="G49" s="1093"/>
      <c r="H49" s="1094"/>
      <c r="I49" s="1095">
        <v>2.5</v>
      </c>
      <c r="J49" s="1096"/>
      <c r="L49" s="459"/>
      <c r="M49" s="459"/>
      <c r="N49" s="459"/>
      <c r="O49" s="459"/>
      <c r="P49" s="459"/>
      <c r="Q49" s="459"/>
      <c r="R49" s="1"/>
    </row>
    <row r="50" spans="4:18" ht="21.75" thickTop="1" thickBot="1" x14ac:dyDescent="0.3">
      <c r="D50" s="1085"/>
      <c r="E50" s="1086"/>
      <c r="F50" s="1097" t="s">
        <v>42</v>
      </c>
      <c r="G50" s="1098"/>
      <c r="H50" s="1099"/>
      <c r="I50" s="1095">
        <v>1.5</v>
      </c>
      <c r="J50" s="1096"/>
      <c r="L50" s="459"/>
      <c r="M50" s="504"/>
      <c r="N50" s="504"/>
      <c r="O50" s="504"/>
      <c r="P50" s="504"/>
      <c r="Q50" s="504"/>
      <c r="R50" s="1"/>
    </row>
    <row r="51" spans="4:18" ht="21.75" thickTop="1" thickBot="1" x14ac:dyDescent="0.3">
      <c r="D51" s="941" t="s">
        <v>2</v>
      </c>
      <c r="E51" s="460" t="s">
        <v>11</v>
      </c>
      <c r="F51" s="407" t="s">
        <v>26</v>
      </c>
      <c r="G51" s="474" t="s">
        <v>74</v>
      </c>
      <c r="H51" s="475" t="s">
        <v>27</v>
      </c>
      <c r="I51" s="1128" t="s">
        <v>0</v>
      </c>
      <c r="J51" s="1129"/>
      <c r="L51" s="459"/>
      <c r="M51" s="1063" t="s">
        <v>76</v>
      </c>
      <c r="N51" s="1063"/>
      <c r="O51" s="504"/>
      <c r="P51" s="1063" t="s">
        <v>77</v>
      </c>
      <c r="Q51" s="1063"/>
      <c r="R51" s="1"/>
    </row>
    <row r="52" spans="4:18" ht="21.75" thickTop="1" thickBot="1" x14ac:dyDescent="0.35">
      <c r="D52" s="773"/>
      <c r="E52" s="483">
        <f>H68</f>
        <v>82.835507884845413</v>
      </c>
      <c r="F52" s="484">
        <f>H69</f>
        <v>2.636281158730621</v>
      </c>
      <c r="G52" s="485">
        <f>H70</f>
        <v>13.8120725010771</v>
      </c>
      <c r="H52" s="486">
        <f>H71</f>
        <v>0.71613845534689502</v>
      </c>
      <c r="I52" s="1064">
        <f>SUM(E52:H52)</f>
        <v>100.00000000000003</v>
      </c>
      <c r="J52" s="1065"/>
      <c r="L52" s="459"/>
      <c r="M52" s="505" t="s">
        <v>78</v>
      </c>
      <c r="N52" s="505">
        <v>1</v>
      </c>
      <c r="O52" s="504"/>
      <c r="P52" s="506" t="s">
        <v>79</v>
      </c>
      <c r="Q52" s="507">
        <f>(N56*N58*N63*N68)+(N56*N59*N64*N66)+(N56*N60*N62*N67)-(N56*N60*N63*N66)-(N56*N58*N64*N67)-(N56*N59*N62*N68)</f>
        <v>59469391216.800011</v>
      </c>
      <c r="R52" s="1"/>
    </row>
    <row r="53" spans="4:18" ht="20.25" thickTop="1" thickBot="1" x14ac:dyDescent="0.35">
      <c r="D53" s="476" t="s">
        <v>1</v>
      </c>
      <c r="E53" s="487">
        <v>3.24</v>
      </c>
      <c r="F53" s="488">
        <v>9</v>
      </c>
      <c r="G53" s="489">
        <v>74.98</v>
      </c>
      <c r="H53" s="490">
        <v>9.16</v>
      </c>
      <c r="I53" s="1066">
        <f t="shared" ref="I53:I62" si="1">($E$12*E53+$G$12*G53+$H$12*H53+$F$12*F53)/$I$12</f>
        <v>13.343026003572129</v>
      </c>
      <c r="J53" s="1067"/>
      <c r="L53" s="459"/>
      <c r="M53" s="505" t="s">
        <v>80</v>
      </c>
      <c r="N53" s="505">
        <v>1</v>
      </c>
      <c r="O53" s="504"/>
      <c r="P53" s="506" t="s">
        <v>81</v>
      </c>
      <c r="Q53" s="507">
        <f>-N57*N56*N63*N68+N57*N56*N64*N67+N61*N56*N59*N68-N61*N56*N60*N67-N65*N56*N59*N64+N65*N56*N60*N63</f>
        <v>9915983665.1599998</v>
      </c>
      <c r="R53" s="1"/>
    </row>
    <row r="54" spans="4:18" ht="20.25" thickTop="1" thickBot="1" x14ac:dyDescent="0.35">
      <c r="D54" s="476" t="s">
        <v>3</v>
      </c>
      <c r="E54" s="487">
        <v>0.79</v>
      </c>
      <c r="F54" s="488">
        <v>50</v>
      </c>
      <c r="G54" s="489">
        <v>8.8000000000000007</v>
      </c>
      <c r="H54" s="490">
        <v>2</v>
      </c>
      <c r="I54" s="1066">
        <f t="shared" si="1"/>
        <v>3.2023262408573108</v>
      </c>
      <c r="J54" s="1067"/>
      <c r="L54" s="459"/>
      <c r="M54" s="505" t="s">
        <v>82</v>
      </c>
      <c r="N54" s="505">
        <v>1</v>
      </c>
      <c r="O54" s="504"/>
      <c r="P54" s="506" t="s">
        <v>83</v>
      </c>
      <c r="Q54" s="507">
        <f>-N57*N56*N64*N66+N57*N56*N62*N68+N61*N56*N60*N66-N61*N56*N58*N68-N65*N56*N60*N62+N65*N56*N58*N64</f>
        <v>514131186.66000009</v>
      </c>
      <c r="R54" s="1"/>
    </row>
    <row r="55" spans="4:18" ht="20.25" thickTop="1" thickBot="1" x14ac:dyDescent="0.35">
      <c r="D55" s="476" t="s">
        <v>4</v>
      </c>
      <c r="E55" s="487">
        <v>0.38</v>
      </c>
      <c r="F55" s="488">
        <v>14</v>
      </c>
      <c r="G55" s="489">
        <v>6.2</v>
      </c>
      <c r="H55" s="490">
        <v>83.04</v>
      </c>
      <c r="I55" s="1066">
        <f t="shared" si="1"/>
        <v>2.1348841605715405</v>
      </c>
      <c r="J55" s="1067"/>
      <c r="L55" s="459"/>
      <c r="M55" s="505" t="s">
        <v>84</v>
      </c>
      <c r="N55" s="505">
        <v>1</v>
      </c>
      <c r="O55" s="504"/>
      <c r="P55" s="506" t="s">
        <v>85</v>
      </c>
      <c r="Q55" s="507">
        <f>-N57*N56*N62*N67+N57*N56*N63*N66+N61*N56*N58*N67-N61*N56*N59*N66-N65*N56*N58*N63+N65*N56*N59*N62</f>
        <v>1892642896.6184003</v>
      </c>
      <c r="R55" s="1"/>
    </row>
    <row r="56" spans="4:18" ht="20.25" thickTop="1" thickBot="1" x14ac:dyDescent="0.35">
      <c r="D56" s="476" t="s">
        <v>5</v>
      </c>
      <c r="E56" s="491">
        <v>51</v>
      </c>
      <c r="F56" s="492">
        <v>5.5</v>
      </c>
      <c r="G56" s="493">
        <v>0.98</v>
      </c>
      <c r="H56" s="494">
        <v>0.06</v>
      </c>
      <c r="I56" s="1066">
        <f t="shared" si="1"/>
        <v>42.52689247858509</v>
      </c>
      <c r="J56" s="1067"/>
      <c r="L56" s="459"/>
      <c r="M56" s="505" t="s">
        <v>86</v>
      </c>
      <c r="N56" s="505">
        <v>100</v>
      </c>
      <c r="O56" s="504"/>
      <c r="P56" s="506" t="s">
        <v>16</v>
      </c>
      <c r="Q56" s="507">
        <f>(N58*N63*N68)+(N59*N64*N66)+(N60*N62*N67)-(N60*N63*N66)-(N58*N64*N67)-(N59*N62*N68)-(N57*N63*N68)-(N57*N64*N66)-(N57*N62*N67)+(N57*N63*N66)+(N57*N64*N67)+(N57*N62*N68)+(N61*N59*N68)+(N61*N60*N66)+(N61*N58*N67)-(N61*N59*N66)-(N61*N60*N67)-(N61*N58*N68)-(N65*N59*N64)-(N65*N60*N62)-(N65*N58*N63)+(N65*N59*N62)+(N65*N60*N63)+(N65*N58*N64)</f>
        <v>717921489.65238392</v>
      </c>
      <c r="R56" s="1"/>
    </row>
    <row r="57" spans="4:18" ht="20.25" thickTop="1" thickBot="1" x14ac:dyDescent="0.35">
      <c r="D57" s="476" t="s">
        <v>6</v>
      </c>
      <c r="E57" s="495">
        <v>1.24</v>
      </c>
      <c r="F57" s="496">
        <v>0.5</v>
      </c>
      <c r="G57" s="497">
        <v>0.24</v>
      </c>
      <c r="H57" s="498">
        <v>0.41</v>
      </c>
      <c r="I57" s="1126">
        <f t="shared" si="1"/>
        <v>1.076426845235243</v>
      </c>
      <c r="J57" s="1127"/>
      <c r="L57" s="459"/>
      <c r="M57" s="505" t="s">
        <v>87</v>
      </c>
      <c r="N57" s="505">
        <f>I50*E55-E54</f>
        <v>-0.21999999999999997</v>
      </c>
      <c r="O57" s="504"/>
      <c r="P57" s="504"/>
      <c r="Q57" s="504"/>
      <c r="R57" s="1"/>
    </row>
    <row r="58" spans="4:18" ht="20.25" thickTop="1" thickBot="1" x14ac:dyDescent="0.35">
      <c r="D58" s="476" t="s">
        <v>7</v>
      </c>
      <c r="E58" s="495">
        <v>0.5</v>
      </c>
      <c r="F58" s="496">
        <v>0.1</v>
      </c>
      <c r="G58" s="497">
        <v>0.3</v>
      </c>
      <c r="H58" s="498">
        <v>0.2</v>
      </c>
      <c r="I58" s="1123">
        <f t="shared" si="1"/>
        <v>0.45968231499688261</v>
      </c>
      <c r="J58" s="1124"/>
      <c r="L58" s="459"/>
      <c r="M58" s="505" t="s">
        <v>88</v>
      </c>
      <c r="N58" s="505">
        <f>I50*G55-G54</f>
        <v>0.5</v>
      </c>
      <c r="O58" s="504"/>
      <c r="P58" s="504"/>
      <c r="Q58" s="504"/>
      <c r="R58" s="1"/>
    </row>
    <row r="59" spans="4:18" ht="20.25" thickTop="1" thickBot="1" x14ac:dyDescent="0.35">
      <c r="D59" s="476" t="s">
        <v>8</v>
      </c>
      <c r="E59" s="495">
        <v>0.2</v>
      </c>
      <c r="F59" s="496">
        <v>0.1</v>
      </c>
      <c r="G59" s="497">
        <v>0.2</v>
      </c>
      <c r="H59" s="498">
        <v>0.1</v>
      </c>
      <c r="I59" s="1123">
        <f t="shared" si="1"/>
        <v>0.19664758038592248</v>
      </c>
      <c r="J59" s="1124"/>
      <c r="L59" s="459"/>
      <c r="M59" s="505" t="s">
        <v>89</v>
      </c>
      <c r="N59" s="505">
        <f>I50*H55-H54</f>
        <v>122.56</v>
      </c>
      <c r="O59" s="504"/>
      <c r="P59" s="504"/>
      <c r="Q59" s="504"/>
      <c r="R59" s="1"/>
    </row>
    <row r="60" spans="4:18" ht="20.25" thickTop="1" thickBot="1" x14ac:dyDescent="0.35">
      <c r="D60" s="476" t="s">
        <v>9</v>
      </c>
      <c r="E60" s="495">
        <v>0.1</v>
      </c>
      <c r="F60" s="496">
        <v>0.05</v>
      </c>
      <c r="G60" s="497">
        <v>0.2</v>
      </c>
      <c r="H60" s="498">
        <v>7.0000000000000007E-2</v>
      </c>
      <c r="I60" s="1123">
        <f t="shared" si="1"/>
        <v>0.11227909038510772</v>
      </c>
      <c r="J60" s="1124"/>
      <c r="L60" s="459"/>
      <c r="M60" s="505" t="s">
        <v>90</v>
      </c>
      <c r="N60" s="505">
        <f>I50*F55-F54</f>
        <v>-29</v>
      </c>
      <c r="O60" s="504"/>
      <c r="P60" s="504"/>
      <c r="Q60" s="504"/>
      <c r="R60" s="1"/>
    </row>
    <row r="61" spans="4:18" ht="20.25" thickTop="1" thickBot="1" x14ac:dyDescent="0.35">
      <c r="D61" s="476" t="s">
        <v>40</v>
      </c>
      <c r="E61" s="495">
        <v>0.01</v>
      </c>
      <c r="F61" s="496">
        <v>0.01</v>
      </c>
      <c r="G61" s="497">
        <v>0.01</v>
      </c>
      <c r="H61" s="498">
        <v>0.01</v>
      </c>
      <c r="I61" s="1123">
        <f t="shared" si="1"/>
        <v>0.01</v>
      </c>
      <c r="J61" s="1124"/>
      <c r="L61" s="459"/>
      <c r="M61" s="505" t="s">
        <v>92</v>
      </c>
      <c r="N61" s="505">
        <f>I49*E54+I49*E55-E53</f>
        <v>-0.31500000000000039</v>
      </c>
      <c r="O61" s="504"/>
      <c r="P61" s="504"/>
      <c r="Q61" s="504"/>
      <c r="R61" s="1"/>
    </row>
    <row r="62" spans="4:18" ht="20.25" thickTop="1" thickBot="1" x14ac:dyDescent="0.35">
      <c r="D62" s="476" t="s">
        <v>39</v>
      </c>
      <c r="E62" s="495">
        <v>42.48</v>
      </c>
      <c r="F62" s="496">
        <v>21</v>
      </c>
      <c r="G62" s="497">
        <v>8</v>
      </c>
      <c r="H62" s="498">
        <v>4.6500000000000004</v>
      </c>
      <c r="I62" s="1123">
        <f t="shared" si="1"/>
        <v>36.880409031075551</v>
      </c>
      <c r="J62" s="1124"/>
      <c r="L62" s="459"/>
      <c r="M62" s="505" t="s">
        <v>93</v>
      </c>
      <c r="N62" s="505">
        <f>I49*G54+I49*G55-G53</f>
        <v>-37.480000000000004</v>
      </c>
      <c r="O62" s="504"/>
      <c r="P62" s="504"/>
      <c r="Q62" s="504"/>
      <c r="R62" s="1"/>
    </row>
    <row r="63" spans="4:18" ht="20.25" thickTop="1" thickBot="1" x14ac:dyDescent="0.35">
      <c r="D63" s="382" t="s">
        <v>10</v>
      </c>
      <c r="E63" s="501">
        <f>SUM(E53:E62)</f>
        <v>99.94</v>
      </c>
      <c r="F63" s="501">
        <f>SUM(F53:F62)</f>
        <v>100.25999999999999</v>
      </c>
      <c r="G63" s="501">
        <f>SUM(G53:G62)</f>
        <v>99.910000000000011</v>
      </c>
      <c r="H63" s="501">
        <f>SUM(H53:H62)</f>
        <v>99.7</v>
      </c>
      <c r="I63" s="1125">
        <f>SUM(I53:I62)</f>
        <v>99.942573745664774</v>
      </c>
      <c r="J63" s="1124"/>
      <c r="L63" s="459"/>
      <c r="M63" s="505" t="s">
        <v>94</v>
      </c>
      <c r="N63" s="505">
        <f>I49*H54+I49*H55-H53</f>
        <v>203.44000000000003</v>
      </c>
      <c r="O63" s="504"/>
      <c r="P63" s="504"/>
      <c r="Q63" s="504"/>
      <c r="R63" s="1"/>
    </row>
    <row r="64" spans="4:18" ht="21.75" thickTop="1" thickBot="1" x14ac:dyDescent="0.35">
      <c r="D64" s="465" t="s">
        <v>38</v>
      </c>
      <c r="E64" s="500">
        <f>100*E56/(2.8*E53+1.18*E54+0.65*E55)</f>
        <v>497.50273138754494</v>
      </c>
      <c r="F64" s="500">
        <f>100*F56/(2.8*F53+1.18*F54+0.65*F55)</f>
        <v>5.894962486602358</v>
      </c>
      <c r="G64" s="500">
        <f>100*G56/(2.8*G53+1.18*G54+0.65*G55)</f>
        <v>0.43680189696823829</v>
      </c>
      <c r="H64" s="500">
        <f>100*H56/(2.8*H53+1.18*H54+0.65*H55)</f>
        <v>7.3185011709601872E-2</v>
      </c>
      <c r="I64" s="1121">
        <f>100*I56/(2.8*I53+1.18*I54+0.65*I55)</f>
        <v>100.00000000000001</v>
      </c>
      <c r="J64" s="1122"/>
      <c r="L64" s="459"/>
      <c r="M64" s="505" t="s">
        <v>95</v>
      </c>
      <c r="N64" s="505">
        <f>I49*F54+I49*F55-F53</f>
        <v>151</v>
      </c>
      <c r="O64" s="504"/>
      <c r="P64" s="504"/>
      <c r="Q64" s="504"/>
      <c r="R64" s="1"/>
    </row>
    <row r="65" spans="4:18" ht="21.75" thickTop="1" thickBot="1" x14ac:dyDescent="0.35">
      <c r="D65" s="465" t="s">
        <v>36</v>
      </c>
      <c r="E65" s="500">
        <f>E53/(E54+E55)</f>
        <v>2.7692307692307696</v>
      </c>
      <c r="F65" s="500">
        <f>F53/(F54+F55)</f>
        <v>0.140625</v>
      </c>
      <c r="G65" s="500">
        <f>G53/(G54+G55)</f>
        <v>4.9986666666666668</v>
      </c>
      <c r="H65" s="500">
        <f>H53/(H54+H55)</f>
        <v>0.1077140169332079</v>
      </c>
      <c r="I65" s="1121">
        <f>I53/(I54+I55)</f>
        <v>2.5</v>
      </c>
      <c r="J65" s="1122"/>
      <c r="L65" s="459"/>
      <c r="M65" s="505" t="s">
        <v>96</v>
      </c>
      <c r="N65" s="505">
        <f>I48*2.8*E53+I48*1.18*E54+I48*0.65*E55-100*E56</f>
        <v>-4074.88</v>
      </c>
      <c r="O65" s="504"/>
      <c r="P65" s="504"/>
      <c r="Q65" s="504"/>
      <c r="R65" s="1"/>
    </row>
    <row r="66" spans="4:18" ht="21.75" thickTop="1" thickBot="1" x14ac:dyDescent="0.35">
      <c r="D66" s="465" t="s">
        <v>37</v>
      </c>
      <c r="E66" s="500">
        <f>E54/E55</f>
        <v>2.0789473684210527</v>
      </c>
      <c r="F66" s="500">
        <f>F54/F55</f>
        <v>3.5714285714285716</v>
      </c>
      <c r="G66" s="500">
        <f>G54/G55</f>
        <v>1.4193548387096775</v>
      </c>
      <c r="H66" s="500">
        <f>H54/H55</f>
        <v>2.4084778420038533E-2</v>
      </c>
      <c r="I66" s="1121">
        <f>I54/I55</f>
        <v>1.5</v>
      </c>
      <c r="J66" s="1122"/>
      <c r="L66" s="459"/>
      <c r="M66" s="505" t="s">
        <v>97</v>
      </c>
      <c r="N66" s="505">
        <f>I48*2.8*G53+I48*1.18*G54+I48*0.65*G55-100*G56</f>
        <v>22337.800000000003</v>
      </c>
      <c r="O66" s="504"/>
      <c r="P66" s="504"/>
      <c r="Q66" s="504"/>
      <c r="R66" s="1"/>
    </row>
    <row r="67" spans="4:18" ht="24.75" thickTop="1" thickBot="1" x14ac:dyDescent="0.4">
      <c r="D67" s="1068" t="s">
        <v>145</v>
      </c>
      <c r="E67" s="1069"/>
      <c r="F67" s="1069"/>
      <c r="G67" s="1069"/>
      <c r="H67" s="1069"/>
      <c r="I67" s="1069"/>
      <c r="J67" s="1070"/>
      <c r="L67" s="459"/>
      <c r="M67" s="505" t="s">
        <v>98</v>
      </c>
      <c r="N67" s="505">
        <f>I48*2.8*H53+I48*1.18*H54+I48*0.65*H55-100*H56</f>
        <v>8192.4000000000015</v>
      </c>
      <c r="O67" s="504"/>
      <c r="P67" s="504"/>
      <c r="Q67" s="504"/>
      <c r="R67" s="1"/>
    </row>
    <row r="68" spans="4:18" ht="21.75" thickTop="1" thickBot="1" x14ac:dyDescent="0.35">
      <c r="D68" s="1055" t="s">
        <v>11</v>
      </c>
      <c r="E68" s="1056"/>
      <c r="F68" s="1056"/>
      <c r="G68" s="1056"/>
      <c r="H68" s="1057">
        <f>Q52/Q56</f>
        <v>82.835507884845413</v>
      </c>
      <c r="I68" s="1057"/>
      <c r="J68" s="1058"/>
      <c r="L68" s="459"/>
      <c r="M68" s="505" t="s">
        <v>99</v>
      </c>
      <c r="N68" s="505">
        <f>I48*2.8*F53+I48*1.18*F54+I48*0.65*F55-100*F56</f>
        <v>8780</v>
      </c>
      <c r="O68" s="504"/>
      <c r="P68" s="504"/>
      <c r="Q68" s="504"/>
      <c r="R68" s="1"/>
    </row>
    <row r="69" spans="4:18" ht="21" thickTop="1" x14ac:dyDescent="0.3">
      <c r="D69" s="1059" t="s">
        <v>26</v>
      </c>
      <c r="E69" s="1060"/>
      <c r="F69" s="1060"/>
      <c r="G69" s="1060"/>
      <c r="H69" s="1057">
        <f>Q55/Q56</f>
        <v>2.636281158730621</v>
      </c>
      <c r="I69" s="1057"/>
      <c r="J69" s="1058"/>
      <c r="L69" s="459"/>
      <c r="M69" s="508" t="s">
        <v>144</v>
      </c>
      <c r="N69" s="504"/>
      <c r="O69" s="504"/>
      <c r="P69" s="504"/>
      <c r="Q69" s="504"/>
      <c r="R69" s="1"/>
    </row>
    <row r="70" spans="4:18" ht="20.25" x14ac:dyDescent="0.3">
      <c r="D70" s="1061" t="s">
        <v>74</v>
      </c>
      <c r="E70" s="1062"/>
      <c r="F70" s="1062"/>
      <c r="G70" s="1062"/>
      <c r="H70" s="1057">
        <f>Q53/Q56</f>
        <v>13.8120725010771</v>
      </c>
      <c r="I70" s="1057"/>
      <c r="J70" s="1058"/>
      <c r="L70" s="459"/>
      <c r="M70" s="509">
        <f>H75/(1-(J75/100))</f>
        <v>88.122880728558954</v>
      </c>
      <c r="N70" s="504"/>
      <c r="O70" s="504"/>
      <c r="P70" s="504"/>
      <c r="Q70" s="504"/>
      <c r="R70" s="1"/>
    </row>
    <row r="71" spans="4:18" ht="18.75" x14ac:dyDescent="0.3">
      <c r="D71" s="1114" t="s">
        <v>27</v>
      </c>
      <c r="E71" s="1115"/>
      <c r="F71" s="1115"/>
      <c r="G71" s="1115"/>
      <c r="H71" s="1116">
        <f>Q54/Q56</f>
        <v>0.71613845534689502</v>
      </c>
      <c r="I71" s="1116"/>
      <c r="J71" s="1117"/>
      <c r="L71" s="459"/>
      <c r="M71" s="509">
        <f>H76/(1-(J76/100))</f>
        <v>2.7750327986638115</v>
      </c>
      <c r="N71" s="504"/>
      <c r="O71" s="504"/>
      <c r="P71" s="504"/>
      <c r="Q71" s="504"/>
      <c r="R71" s="1"/>
    </row>
    <row r="72" spans="4:18" ht="15.75" x14ac:dyDescent="0.25">
      <c r="D72" s="1110" t="s">
        <v>10</v>
      </c>
      <c r="E72" s="1111"/>
      <c r="F72" s="1111"/>
      <c r="G72" s="1111"/>
      <c r="H72" s="1112">
        <f>SUM(H68:I71)</f>
        <v>100.00000000000003</v>
      </c>
      <c r="I72" s="1112"/>
      <c r="J72" s="1113"/>
      <c r="L72" s="459"/>
      <c r="M72" s="509">
        <f>H77/(1-(J77/100))</f>
        <v>15.095161203362951</v>
      </c>
      <c r="N72" s="504"/>
      <c r="O72" s="504"/>
      <c r="P72" s="504"/>
      <c r="Q72" s="504"/>
      <c r="R72" s="1"/>
    </row>
    <row r="73" spans="4:18" ht="23.25" x14ac:dyDescent="0.25">
      <c r="D73" s="1118" t="s">
        <v>179</v>
      </c>
      <c r="E73" s="1119"/>
      <c r="F73" s="1119"/>
      <c r="G73" s="1119"/>
      <c r="H73" s="1119"/>
      <c r="I73" s="1119"/>
      <c r="J73" s="1120"/>
      <c r="L73" s="459"/>
      <c r="M73" s="509">
        <f>H78/(1-(J78/100))</f>
        <v>0.77672283660183838</v>
      </c>
      <c r="N73" s="504"/>
      <c r="O73" s="504"/>
      <c r="P73" s="504"/>
      <c r="Q73" s="504"/>
      <c r="R73" s="1"/>
    </row>
    <row r="74" spans="4:18" ht="19.5" thickBot="1" x14ac:dyDescent="0.35">
      <c r="D74" s="481" t="s">
        <v>75</v>
      </c>
      <c r="E74" s="1105" t="s">
        <v>196</v>
      </c>
      <c r="F74" s="1105"/>
      <c r="G74" s="1105"/>
      <c r="H74" s="1106" t="s">
        <v>151</v>
      </c>
      <c r="I74" s="1107"/>
      <c r="J74" s="482" t="s">
        <v>143</v>
      </c>
      <c r="L74" s="459"/>
      <c r="M74" s="509">
        <f>M71+M72+M73+M70</f>
        <v>106.76979756718755</v>
      </c>
      <c r="N74" s="504"/>
      <c r="O74" s="504"/>
      <c r="P74" s="504"/>
      <c r="Q74" s="504"/>
      <c r="R74" s="1"/>
    </row>
    <row r="75" spans="4:18" ht="21.75" thickTop="1" thickBot="1" x14ac:dyDescent="0.35">
      <c r="D75" s="477" t="s">
        <v>11</v>
      </c>
      <c r="E75" s="1045">
        <f>M70*M75</f>
        <v>82.535401149473429</v>
      </c>
      <c r="F75" s="1045"/>
      <c r="G75" s="1046"/>
      <c r="H75" s="1108">
        <v>82.835507884845413</v>
      </c>
      <c r="I75" s="1109"/>
      <c r="J75" s="499">
        <v>6</v>
      </c>
      <c r="L75" s="459"/>
      <c r="M75" s="510">
        <f>H72/M74</f>
        <v>0.93659445160109567</v>
      </c>
      <c r="N75" s="504"/>
      <c r="O75" s="504"/>
      <c r="P75" s="504"/>
      <c r="Q75" s="504"/>
      <c r="R75" s="1"/>
    </row>
    <row r="76" spans="4:18" ht="21.75" thickTop="1" thickBot="1" x14ac:dyDescent="0.3">
      <c r="D76" s="405" t="str">
        <f>D69</f>
        <v>SHALE</v>
      </c>
      <c r="E76" s="1045">
        <f>M71*M75</f>
        <v>2.5990803222395864</v>
      </c>
      <c r="F76" s="1045"/>
      <c r="G76" s="1046"/>
      <c r="H76" s="1047">
        <v>2.636281158730621</v>
      </c>
      <c r="I76" s="1048"/>
      <c r="J76" s="499">
        <v>5</v>
      </c>
      <c r="L76" s="459"/>
      <c r="M76" s="459"/>
      <c r="N76" s="459"/>
      <c r="O76" s="459"/>
      <c r="P76" s="459"/>
      <c r="Q76" s="459"/>
      <c r="R76" s="1"/>
    </row>
    <row r="77" spans="4:18" ht="21.75" thickTop="1" thickBot="1" x14ac:dyDescent="0.3">
      <c r="D77" s="478" t="str">
        <f>D70</f>
        <v>SAND</v>
      </c>
      <c r="E77" s="1045">
        <f>M72*M75</f>
        <v>14.138044229093857</v>
      </c>
      <c r="F77" s="1045"/>
      <c r="G77" s="1046"/>
      <c r="H77" s="1049">
        <v>13.8120725010771</v>
      </c>
      <c r="I77" s="1050"/>
      <c r="J77" s="499">
        <v>8.5</v>
      </c>
      <c r="L77" s="459"/>
      <c r="M77" s="459"/>
      <c r="N77" s="459"/>
      <c r="O77" s="459"/>
      <c r="P77" s="459"/>
      <c r="Q77" s="459"/>
      <c r="R77" s="1"/>
    </row>
    <row r="78" spans="4:18" ht="21.75" thickTop="1" thickBot="1" x14ac:dyDescent="0.3">
      <c r="D78" s="479" t="str">
        <f>D71</f>
        <v>IRON ORE</v>
      </c>
      <c r="E78" s="1045">
        <f>M73*M75</f>
        <v>0.72747429919314621</v>
      </c>
      <c r="F78" s="1045"/>
      <c r="G78" s="1046"/>
      <c r="H78" s="1051">
        <v>0.71613845534689502</v>
      </c>
      <c r="I78" s="1052"/>
      <c r="J78" s="499">
        <v>7.8</v>
      </c>
      <c r="L78" s="459"/>
      <c r="M78" s="459"/>
      <c r="N78" s="459"/>
      <c r="O78" s="459"/>
      <c r="P78" s="459"/>
      <c r="Q78" s="459"/>
      <c r="R78" s="1"/>
    </row>
    <row r="79" spans="4:18" ht="17.25" thickTop="1" thickBot="1" x14ac:dyDescent="0.3">
      <c r="D79" s="366" t="str">
        <f>D72</f>
        <v>TOTAL</v>
      </c>
      <c r="E79" s="1104">
        <f>E76+E77+E78+E75</f>
        <v>100.00000000000003</v>
      </c>
      <c r="F79" s="1104"/>
      <c r="G79" s="1104"/>
      <c r="H79" s="1053">
        <f>H76+H77+H78+H75</f>
        <v>100.00000000000003</v>
      </c>
      <c r="I79" s="1054"/>
      <c r="J79" s="502">
        <f>J76+J77+J78+J75</f>
        <v>27.3</v>
      </c>
      <c r="L79" s="459"/>
      <c r="M79" s="459"/>
      <c r="N79" s="459"/>
      <c r="O79" s="459"/>
      <c r="P79" s="459"/>
      <c r="Q79" s="459"/>
      <c r="R79" s="1"/>
    </row>
    <row r="80" spans="4:18" ht="13.5" thickTop="1" x14ac:dyDescent="0.2">
      <c r="L80" s="1"/>
      <c r="M80" s="1"/>
      <c r="N80" s="1"/>
      <c r="O80" s="1"/>
      <c r="P80" s="1"/>
      <c r="Q80" s="1"/>
      <c r="R80" s="1"/>
    </row>
  </sheetData>
  <mergeCells count="107">
    <mergeCell ref="P11:Q11"/>
    <mergeCell ref="I12:J12"/>
    <mergeCell ref="D6:J7"/>
    <mergeCell ref="I13:J13"/>
    <mergeCell ref="I14:J14"/>
    <mergeCell ref="I15:J15"/>
    <mergeCell ref="I16:J16"/>
    <mergeCell ref="I17:J17"/>
    <mergeCell ref="I18:J18"/>
    <mergeCell ref="D11:D12"/>
    <mergeCell ref="I11:J11"/>
    <mergeCell ref="M11:N11"/>
    <mergeCell ref="I25:J25"/>
    <mergeCell ref="I26:J26"/>
    <mergeCell ref="D27:J27"/>
    <mergeCell ref="D28:G28"/>
    <mergeCell ref="H28:J28"/>
    <mergeCell ref="D29:G29"/>
    <mergeCell ref="H29:J29"/>
    <mergeCell ref="I19:J19"/>
    <mergeCell ref="I20:J20"/>
    <mergeCell ref="I21:J21"/>
    <mergeCell ref="I22:J22"/>
    <mergeCell ref="I23:J23"/>
    <mergeCell ref="I24:J24"/>
    <mergeCell ref="E36:G36"/>
    <mergeCell ref="E37:G37"/>
    <mergeCell ref="E38:G38"/>
    <mergeCell ref="H34:I34"/>
    <mergeCell ref="H35:I35"/>
    <mergeCell ref="H36:I36"/>
    <mergeCell ref="H37:I37"/>
    <mergeCell ref="D30:G30"/>
    <mergeCell ref="H30:J30"/>
    <mergeCell ref="D31:G31"/>
    <mergeCell ref="H31:J31"/>
    <mergeCell ref="D32:G32"/>
    <mergeCell ref="H32:J32"/>
    <mergeCell ref="I8:J8"/>
    <mergeCell ref="I9:J9"/>
    <mergeCell ref="I10:J10"/>
    <mergeCell ref="F9:H9"/>
    <mergeCell ref="D8:E10"/>
    <mergeCell ref="F10:H10"/>
    <mergeCell ref="F8:H8"/>
    <mergeCell ref="E78:G78"/>
    <mergeCell ref="E79:G79"/>
    <mergeCell ref="E74:G74"/>
    <mergeCell ref="H74:I74"/>
    <mergeCell ref="E75:G75"/>
    <mergeCell ref="H75:I75"/>
    <mergeCell ref="D72:G72"/>
    <mergeCell ref="H72:J72"/>
    <mergeCell ref="D71:G71"/>
    <mergeCell ref="H71:J71"/>
    <mergeCell ref="D73:J73"/>
    <mergeCell ref="I64:J64"/>
    <mergeCell ref="I65:J65"/>
    <mergeCell ref="I66:J66"/>
    <mergeCell ref="I58:J58"/>
    <mergeCell ref="I59:J59"/>
    <mergeCell ref="I60:J60"/>
    <mergeCell ref="H78:I78"/>
    <mergeCell ref="H79:I79"/>
    <mergeCell ref="D68:G68"/>
    <mergeCell ref="H68:J68"/>
    <mergeCell ref="D69:G69"/>
    <mergeCell ref="H69:J69"/>
    <mergeCell ref="D70:G70"/>
    <mergeCell ref="H70:J70"/>
    <mergeCell ref="M51:N51"/>
    <mergeCell ref="I52:J52"/>
    <mergeCell ref="I53:J53"/>
    <mergeCell ref="I54:J54"/>
    <mergeCell ref="D67:J67"/>
    <mergeCell ref="I61:J61"/>
    <mergeCell ref="I62:J62"/>
    <mergeCell ref="I63:J63"/>
    <mergeCell ref="I55:J55"/>
    <mergeCell ref="I56:J56"/>
    <mergeCell ref="I57:J57"/>
    <mergeCell ref="D51:D52"/>
    <mergeCell ref="I51:J51"/>
    <mergeCell ref="R45:R46"/>
    <mergeCell ref="U45:V46"/>
    <mergeCell ref="L46:L47"/>
    <mergeCell ref="M46:M47"/>
    <mergeCell ref="M9:Q9"/>
    <mergeCell ref="E76:G76"/>
    <mergeCell ref="H76:I76"/>
    <mergeCell ref="E77:G77"/>
    <mergeCell ref="H77:I77"/>
    <mergeCell ref="P51:Q51"/>
    <mergeCell ref="H38:I38"/>
    <mergeCell ref="H39:I39"/>
    <mergeCell ref="D46:J47"/>
    <mergeCell ref="D48:E50"/>
    <mergeCell ref="F48:H48"/>
    <mergeCell ref="I48:J48"/>
    <mergeCell ref="F49:H49"/>
    <mergeCell ref="I49:J49"/>
    <mergeCell ref="F50:H50"/>
    <mergeCell ref="I50:J50"/>
    <mergeCell ref="E39:G39"/>
    <mergeCell ref="D33:J33"/>
    <mergeCell ref="E34:G34"/>
    <mergeCell ref="E35:G3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 tint="4.9989318521683403E-2"/>
  </sheetPr>
  <dimension ref="C2:AG40"/>
  <sheetViews>
    <sheetView topLeftCell="A7" zoomScale="55" zoomScaleNormal="55" workbookViewId="0">
      <selection activeCell="M10" sqref="M10"/>
    </sheetView>
  </sheetViews>
  <sheetFormatPr defaultRowHeight="15.75" x14ac:dyDescent="0.25"/>
  <cols>
    <col min="1" max="2" width="9.140625" style="345"/>
    <col min="3" max="3" width="13.5703125" style="345" customWidth="1"/>
    <col min="4" max="6" width="9.140625" style="345"/>
    <col min="7" max="7" width="15.42578125" style="345" customWidth="1"/>
    <col min="8" max="8" width="19" style="345" customWidth="1"/>
    <col min="9" max="9" width="21" style="345" customWidth="1"/>
    <col min="10" max="10" width="13.28515625" style="345" customWidth="1"/>
    <col min="11" max="15" width="9.140625" style="345"/>
    <col min="16" max="21" width="16.42578125" style="345" customWidth="1"/>
    <col min="22" max="16384" width="9.140625" style="345"/>
  </cols>
  <sheetData>
    <row r="2" spans="3:33" x14ac:dyDescent="0.25"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3:33" ht="16.5" thickBot="1" x14ac:dyDescent="0.3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P3" s="91"/>
      <c r="Q3" s="91"/>
      <c r="R3" s="91"/>
      <c r="S3" s="91"/>
      <c r="T3" s="91"/>
      <c r="U3" s="91"/>
      <c r="V3" s="91"/>
    </row>
    <row r="4" spans="3:33" ht="21" thickTop="1" thickBot="1" x14ac:dyDescent="0.45">
      <c r="C4" s="91"/>
      <c r="D4" s="91"/>
      <c r="E4" s="91"/>
      <c r="F4" s="1244" t="s">
        <v>66</v>
      </c>
      <c r="G4" s="1245"/>
      <c r="H4" s="1245"/>
      <c r="I4" s="1245"/>
      <c r="J4" s="1246"/>
      <c r="K4" s="91"/>
      <c r="L4" s="91"/>
      <c r="M4" s="91"/>
      <c r="N4" s="91"/>
      <c r="P4" s="91"/>
      <c r="Q4" s="91"/>
      <c r="R4" s="91"/>
      <c r="S4" s="91"/>
      <c r="T4" s="91"/>
      <c r="U4" s="91"/>
      <c r="V4" s="91"/>
      <c r="W4" s="2" t="s">
        <v>136</v>
      </c>
      <c r="X4" s="2"/>
      <c r="Y4" s="2"/>
      <c r="Z4" s="37"/>
      <c r="AA4" s="37"/>
      <c r="AB4" s="37"/>
      <c r="AC4" s="2"/>
      <c r="AD4" s="2"/>
      <c r="AE4" s="2"/>
      <c r="AF4" s="2"/>
      <c r="AG4" s="2"/>
    </row>
    <row r="5" spans="3:33" ht="20.25" thickTop="1" x14ac:dyDescent="0.4">
      <c r="C5" s="91"/>
      <c r="D5" s="91"/>
      <c r="E5" s="91"/>
      <c r="F5" s="1247"/>
      <c r="G5" s="1248"/>
      <c r="H5" s="1248"/>
      <c r="I5" s="1248"/>
      <c r="J5" s="1249"/>
      <c r="K5" s="91"/>
      <c r="L5" s="91"/>
      <c r="M5" s="91"/>
      <c r="N5" s="91"/>
      <c r="P5" s="91"/>
      <c r="Q5" s="1244" t="s">
        <v>66</v>
      </c>
      <c r="R5" s="1245"/>
      <c r="S5" s="1245"/>
      <c r="T5" s="1245"/>
      <c r="U5" s="1246"/>
      <c r="V5" s="91"/>
      <c r="W5" s="2"/>
      <c r="X5" s="2"/>
      <c r="Y5" s="2"/>
      <c r="Z5" s="37"/>
      <c r="AA5" s="37"/>
      <c r="AB5" s="70"/>
      <c r="AC5" s="848" t="s">
        <v>139</v>
      </c>
      <c r="AD5" s="2"/>
      <c r="AE5" s="57"/>
      <c r="AF5" s="847" t="s">
        <v>140</v>
      </c>
      <c r="AG5" s="847"/>
    </row>
    <row r="6" spans="3:33" ht="20.25" thickBot="1" x14ac:dyDescent="0.45">
      <c r="C6" s="91"/>
      <c r="D6" s="91"/>
      <c r="E6" s="91"/>
      <c r="F6" s="1250" t="s">
        <v>197</v>
      </c>
      <c r="G6" s="1251"/>
      <c r="H6" s="346" t="s">
        <v>32</v>
      </c>
      <c r="I6" s="1201" t="s">
        <v>47</v>
      </c>
      <c r="J6" s="1202"/>
      <c r="K6" s="91"/>
      <c r="L6" s="91"/>
      <c r="M6" s="91"/>
      <c r="N6" s="91"/>
      <c r="P6" s="91"/>
      <c r="Q6" s="1247"/>
      <c r="R6" s="1248"/>
      <c r="S6" s="1248"/>
      <c r="T6" s="1248"/>
      <c r="U6" s="1249"/>
      <c r="V6" s="91"/>
      <c r="W6" s="606" t="s">
        <v>135</v>
      </c>
      <c r="X6" s="607" t="s">
        <v>134</v>
      </c>
      <c r="Y6" s="2"/>
      <c r="Z6" s="37"/>
      <c r="AA6" s="37"/>
      <c r="AB6" s="70"/>
      <c r="AC6" s="848"/>
      <c r="AD6" s="71"/>
      <c r="AE6" s="72"/>
      <c r="AF6" s="847"/>
      <c r="AG6" s="847"/>
    </row>
    <row r="7" spans="3:33" ht="21" thickTop="1" thickBot="1" x14ac:dyDescent="0.45">
      <c r="C7" s="91"/>
      <c r="D7" s="91"/>
      <c r="E7" s="91"/>
      <c r="F7" s="1203" t="s">
        <v>46</v>
      </c>
      <c r="G7" s="1204"/>
      <c r="H7" s="329">
        <v>1</v>
      </c>
      <c r="I7" s="327">
        <v>9750</v>
      </c>
      <c r="J7" s="347">
        <f>I7*H7</f>
        <v>9750</v>
      </c>
      <c r="K7" s="91"/>
      <c r="L7" s="91"/>
      <c r="M7" s="91"/>
      <c r="N7" s="91"/>
      <c r="P7" s="91"/>
      <c r="Q7" s="1250" t="s">
        <v>197</v>
      </c>
      <c r="R7" s="1251"/>
      <c r="S7" s="346" t="s">
        <v>32</v>
      </c>
      <c r="T7" s="1201" t="s">
        <v>47</v>
      </c>
      <c r="U7" s="1202"/>
      <c r="V7" s="91"/>
      <c r="W7" s="606"/>
      <c r="X7" s="607"/>
      <c r="Y7" s="2"/>
      <c r="Z7" s="2"/>
      <c r="AA7" s="2"/>
      <c r="AB7" s="2"/>
      <c r="AC7" s="71"/>
      <c r="AD7" s="71"/>
      <c r="AE7" s="71"/>
      <c r="AF7" s="71"/>
      <c r="AG7" s="71"/>
    </row>
    <row r="8" spans="3:33" ht="17.25" thickTop="1" thickBot="1" x14ac:dyDescent="0.3">
      <c r="C8" s="91"/>
      <c r="D8" s="91"/>
      <c r="E8" s="91"/>
      <c r="F8" s="1205" t="s">
        <v>48</v>
      </c>
      <c r="G8" s="1206"/>
      <c r="H8" s="329">
        <v>0</v>
      </c>
      <c r="I8" s="327">
        <v>0</v>
      </c>
      <c r="J8" s="347">
        <f>I8*H8</f>
        <v>0</v>
      </c>
      <c r="K8" s="91"/>
      <c r="L8" s="91"/>
      <c r="M8" s="91"/>
      <c r="N8" s="91"/>
      <c r="P8" s="91"/>
      <c r="Q8" s="1203" t="s">
        <v>46</v>
      </c>
      <c r="R8" s="1204"/>
      <c r="S8" s="528">
        <v>1</v>
      </c>
      <c r="T8" s="529">
        <v>9750</v>
      </c>
      <c r="U8" s="530">
        <f>T8*S8</f>
        <v>9750</v>
      </c>
      <c r="V8" s="91"/>
    </row>
    <row r="9" spans="3:33" ht="20.25" thickTop="1" thickBot="1" x14ac:dyDescent="0.3">
      <c r="C9" s="91"/>
      <c r="D9" s="91"/>
      <c r="E9" s="91"/>
      <c r="F9" s="1207" t="s">
        <v>64</v>
      </c>
      <c r="G9" s="1174"/>
      <c r="H9" s="1208"/>
      <c r="I9" s="1208"/>
      <c r="J9" s="350">
        <f>J7+J8</f>
        <v>9750</v>
      </c>
      <c r="K9" s="91"/>
      <c r="L9" s="91"/>
      <c r="M9" s="91"/>
      <c r="N9" s="91"/>
      <c r="P9" s="91"/>
      <c r="Q9" s="1205" t="s">
        <v>48</v>
      </c>
      <c r="R9" s="1206"/>
      <c r="S9" s="528">
        <v>0</v>
      </c>
      <c r="T9" s="529">
        <v>0</v>
      </c>
      <c r="U9" s="530">
        <f>T9*S9</f>
        <v>0</v>
      </c>
      <c r="V9" s="91"/>
    </row>
    <row r="10" spans="3:33" ht="20.25" thickTop="1" thickBot="1" x14ac:dyDescent="0.3">
      <c r="C10" s="91"/>
      <c r="D10" s="91"/>
      <c r="E10" s="91"/>
      <c r="F10" s="1209" t="s">
        <v>160</v>
      </c>
      <c r="G10" s="1210"/>
      <c r="H10" s="321" t="s">
        <v>32</v>
      </c>
      <c r="I10" s="326" t="s">
        <v>70</v>
      </c>
      <c r="J10" s="324">
        <f>I11+I12</f>
        <v>12.75</v>
      </c>
      <c r="K10" s="91"/>
      <c r="L10" s="91"/>
      <c r="M10" s="91"/>
      <c r="N10" s="91"/>
      <c r="P10" s="91"/>
      <c r="Q10" s="1207" t="s">
        <v>64</v>
      </c>
      <c r="R10" s="1174"/>
      <c r="S10" s="1208"/>
      <c r="T10" s="1208"/>
      <c r="U10" s="531">
        <f>U8+U9</f>
        <v>9750</v>
      </c>
      <c r="V10" s="91"/>
    </row>
    <row r="11" spans="3:33" ht="17.25" thickTop="1" thickBot="1" x14ac:dyDescent="0.3">
      <c r="C11" s="91"/>
      <c r="D11" s="91"/>
      <c r="E11" s="91"/>
      <c r="F11" s="322" t="s">
        <v>46</v>
      </c>
      <c r="G11" s="327">
        <v>19</v>
      </c>
      <c r="H11" s="329">
        <v>0.5</v>
      </c>
      <c r="I11" s="1213">
        <f>G11*H11</f>
        <v>9.5</v>
      </c>
      <c r="J11" s="1214"/>
      <c r="K11" s="91"/>
      <c r="L11" s="91"/>
      <c r="M11" s="91"/>
      <c r="N11" s="91"/>
      <c r="P11" s="91"/>
      <c r="Q11" s="1209" t="s">
        <v>160</v>
      </c>
      <c r="R11" s="1210"/>
      <c r="S11" s="321" t="s">
        <v>32</v>
      </c>
      <c r="T11" s="326" t="s">
        <v>70</v>
      </c>
      <c r="U11" s="534">
        <f>T12+T13</f>
        <v>12.75</v>
      </c>
      <c r="V11" s="91"/>
    </row>
    <row r="12" spans="3:33" ht="17.25" thickTop="1" thickBot="1" x14ac:dyDescent="0.3">
      <c r="C12" s="91"/>
      <c r="D12" s="91"/>
      <c r="E12" s="91"/>
      <c r="F12" s="323" t="s">
        <v>48</v>
      </c>
      <c r="G12" s="328">
        <v>6.5</v>
      </c>
      <c r="H12" s="330">
        <v>0.5</v>
      </c>
      <c r="I12" s="1211">
        <f>G12*H12</f>
        <v>3.25</v>
      </c>
      <c r="J12" s="1212"/>
      <c r="K12" s="91"/>
      <c r="L12" s="91"/>
      <c r="M12" s="91"/>
      <c r="N12" s="91"/>
      <c r="P12" s="91"/>
      <c r="Q12" s="322" t="s">
        <v>46</v>
      </c>
      <c r="R12" s="529">
        <v>19</v>
      </c>
      <c r="S12" s="528">
        <v>0.5</v>
      </c>
      <c r="T12" s="1181">
        <f>R12*S12</f>
        <v>9.5</v>
      </c>
      <c r="U12" s="1182"/>
      <c r="V12" s="91"/>
    </row>
    <row r="13" spans="3:33" ht="17.25" thickTop="1" thickBot="1" x14ac:dyDescent="0.3">
      <c r="C13" s="91"/>
      <c r="D13" s="91"/>
      <c r="E13" s="91"/>
      <c r="F13" s="1185" t="s">
        <v>69</v>
      </c>
      <c r="G13" s="1186"/>
      <c r="H13" s="321" t="s">
        <v>32</v>
      </c>
      <c r="I13" s="326" t="s">
        <v>71</v>
      </c>
      <c r="J13" s="325">
        <f>I14+I15</f>
        <v>29</v>
      </c>
      <c r="K13" s="91"/>
      <c r="L13" s="91"/>
      <c r="M13" s="91"/>
      <c r="N13" s="91"/>
      <c r="P13" s="91"/>
      <c r="Q13" s="323" t="s">
        <v>48</v>
      </c>
      <c r="R13" s="532">
        <v>6.5</v>
      </c>
      <c r="S13" s="533">
        <v>0.5</v>
      </c>
      <c r="T13" s="1183">
        <f>R13*S13</f>
        <v>3.25</v>
      </c>
      <c r="U13" s="1184"/>
      <c r="V13" s="91"/>
    </row>
    <row r="14" spans="3:33" ht="17.25" thickTop="1" thickBot="1" x14ac:dyDescent="0.3">
      <c r="C14" s="91"/>
      <c r="D14" s="91"/>
      <c r="E14" s="91"/>
      <c r="F14" s="322" t="s">
        <v>46</v>
      </c>
      <c r="G14" s="327">
        <v>13</v>
      </c>
      <c r="H14" s="329">
        <v>0.5</v>
      </c>
      <c r="I14" s="1213">
        <f>G14*H14</f>
        <v>6.5</v>
      </c>
      <c r="J14" s="1214"/>
      <c r="K14" s="91"/>
      <c r="L14" s="91"/>
      <c r="M14" s="91"/>
      <c r="N14" s="91"/>
      <c r="P14" s="91"/>
      <c r="Q14" s="1185" t="s">
        <v>69</v>
      </c>
      <c r="R14" s="1186"/>
      <c r="S14" s="321" t="s">
        <v>32</v>
      </c>
      <c r="T14" s="326" t="s">
        <v>71</v>
      </c>
      <c r="U14" s="535">
        <f>T15+T16</f>
        <v>29</v>
      </c>
      <c r="V14" s="91"/>
    </row>
    <row r="15" spans="3:33" ht="17.25" thickTop="1" thickBot="1" x14ac:dyDescent="0.3">
      <c r="C15" s="91"/>
      <c r="D15" s="91"/>
      <c r="E15" s="91"/>
      <c r="F15" s="322" t="s">
        <v>162</v>
      </c>
      <c r="G15" s="327">
        <v>45</v>
      </c>
      <c r="H15" s="329">
        <v>0.5</v>
      </c>
      <c r="I15" s="1213">
        <f>G15*H15</f>
        <v>22.5</v>
      </c>
      <c r="J15" s="1215"/>
      <c r="K15" s="91"/>
      <c r="L15" s="91"/>
      <c r="M15" s="91"/>
      <c r="N15" s="91"/>
      <c r="P15" s="91"/>
      <c r="Q15" s="322" t="s">
        <v>46</v>
      </c>
      <c r="R15" s="529">
        <v>13</v>
      </c>
      <c r="S15" s="528">
        <v>0.5</v>
      </c>
      <c r="T15" s="1181">
        <f>R15*S15</f>
        <v>6.5</v>
      </c>
      <c r="U15" s="1182"/>
      <c r="V15" s="91"/>
    </row>
    <row r="16" spans="3:33" ht="20.25" thickTop="1" thickBot="1" x14ac:dyDescent="0.3">
      <c r="C16" s="91"/>
      <c r="D16" s="91"/>
      <c r="E16" s="91"/>
      <c r="F16" s="1163" t="s">
        <v>29</v>
      </c>
      <c r="G16" s="1171"/>
      <c r="H16" s="1171"/>
      <c r="I16" s="1170"/>
      <c r="J16" s="351">
        <v>740</v>
      </c>
      <c r="K16" s="91"/>
      <c r="L16" s="91"/>
      <c r="M16" s="91"/>
      <c r="N16" s="91"/>
      <c r="P16" s="91"/>
      <c r="Q16" s="322" t="s">
        <v>162</v>
      </c>
      <c r="R16" s="529">
        <v>45</v>
      </c>
      <c r="S16" s="528">
        <v>0.5</v>
      </c>
      <c r="T16" s="1181">
        <f>R16*S16</f>
        <v>22.5</v>
      </c>
      <c r="U16" s="1187"/>
      <c r="V16" s="91"/>
    </row>
    <row r="17" spans="3:22" ht="20.25" thickTop="1" thickBot="1" x14ac:dyDescent="0.3">
      <c r="C17" s="91"/>
      <c r="D17" s="91"/>
      <c r="E17" s="91"/>
      <c r="F17" s="1172" t="s">
        <v>33</v>
      </c>
      <c r="G17" s="1173"/>
      <c r="H17" s="1174"/>
      <c r="I17" s="1173"/>
      <c r="J17" s="352">
        <f>J16/J9</f>
        <v>7.5897435897435903E-2</v>
      </c>
      <c r="K17" s="91"/>
      <c r="L17" s="91"/>
      <c r="M17" s="91"/>
      <c r="N17" s="91"/>
      <c r="P17" s="91"/>
      <c r="Q17" s="1163" t="s">
        <v>29</v>
      </c>
      <c r="R17" s="1171"/>
      <c r="S17" s="1171"/>
      <c r="T17" s="1170"/>
      <c r="U17" s="536">
        <v>740</v>
      </c>
      <c r="V17" s="91"/>
    </row>
    <row r="18" spans="3:22" ht="20.25" thickTop="1" thickBot="1" x14ac:dyDescent="0.3">
      <c r="C18" s="91"/>
      <c r="D18" s="91"/>
      <c r="E18" s="91"/>
      <c r="F18" s="1172" t="s">
        <v>65</v>
      </c>
      <c r="G18" s="1175"/>
      <c r="H18" s="343">
        <v>19.940000000000001</v>
      </c>
      <c r="I18" s="342" t="s">
        <v>63</v>
      </c>
      <c r="J18" s="331">
        <v>0.86</v>
      </c>
      <c r="K18" s="91"/>
      <c r="L18" s="91"/>
      <c r="M18" s="91"/>
      <c r="N18" s="91"/>
      <c r="P18" s="91"/>
      <c r="Q18" s="1172" t="s">
        <v>33</v>
      </c>
      <c r="R18" s="1173"/>
      <c r="S18" s="1174"/>
      <c r="T18" s="1173"/>
      <c r="U18" s="537">
        <f>U17/U10</f>
        <v>7.5897435897435903E-2</v>
      </c>
      <c r="V18" s="91"/>
    </row>
    <row r="19" spans="3:22" ht="20.25" thickTop="1" thickBot="1" x14ac:dyDescent="0.3">
      <c r="C19" s="91"/>
      <c r="D19" s="91"/>
      <c r="E19" s="91"/>
      <c r="F19" s="1176" t="s">
        <v>45</v>
      </c>
      <c r="G19" s="1177"/>
      <c r="H19" s="1177"/>
      <c r="I19" s="1177"/>
      <c r="J19" s="344">
        <f>J20*J17</f>
        <v>0</v>
      </c>
      <c r="K19" s="91"/>
      <c r="L19" s="91"/>
      <c r="M19" s="91"/>
      <c r="N19" s="91"/>
      <c r="P19" s="91"/>
      <c r="Q19" s="1172" t="s">
        <v>65</v>
      </c>
      <c r="R19" s="1175"/>
      <c r="S19" s="545">
        <v>19.940000000000001</v>
      </c>
      <c r="T19" s="342" t="s">
        <v>63</v>
      </c>
      <c r="U19" s="538">
        <v>0.86</v>
      </c>
      <c r="V19" s="91"/>
    </row>
    <row r="20" spans="3:22" ht="20.25" thickTop="1" thickBot="1" x14ac:dyDescent="0.3">
      <c r="C20" s="91"/>
      <c r="D20" s="91"/>
      <c r="E20" s="91"/>
      <c r="F20" s="1178" t="s">
        <v>44</v>
      </c>
      <c r="G20" s="1179"/>
      <c r="H20" s="1179"/>
      <c r="I20" s="1180"/>
      <c r="J20" s="332">
        <v>0</v>
      </c>
      <c r="K20" s="91"/>
      <c r="L20" s="91"/>
      <c r="M20" s="91"/>
      <c r="N20" s="91"/>
      <c r="P20" s="91"/>
      <c r="Q20" s="1176" t="s">
        <v>45</v>
      </c>
      <c r="R20" s="1177"/>
      <c r="S20" s="1177"/>
      <c r="T20" s="1177"/>
      <c r="U20" s="539">
        <f>U21*U18</f>
        <v>0</v>
      </c>
      <c r="V20" s="91"/>
    </row>
    <row r="21" spans="3:22" ht="20.25" thickTop="1" thickBot="1" x14ac:dyDescent="0.3">
      <c r="C21" s="91"/>
      <c r="D21" s="91"/>
      <c r="E21" s="91"/>
      <c r="F21" s="1167" t="s">
        <v>188</v>
      </c>
      <c r="G21" s="1168"/>
      <c r="H21" s="1168"/>
      <c r="I21" s="1169"/>
      <c r="J21" s="339">
        <v>20.46</v>
      </c>
      <c r="K21" s="91"/>
      <c r="L21" s="91"/>
      <c r="M21" s="91"/>
      <c r="N21" s="91"/>
      <c r="P21" s="91"/>
      <c r="Q21" s="1178" t="s">
        <v>44</v>
      </c>
      <c r="R21" s="1179"/>
      <c r="S21" s="1179"/>
      <c r="T21" s="1180"/>
      <c r="U21" s="540">
        <v>0</v>
      </c>
      <c r="V21" s="91"/>
    </row>
    <row r="22" spans="3:22" ht="20.25" thickTop="1" thickBot="1" x14ac:dyDescent="0.3">
      <c r="C22" s="91"/>
      <c r="D22" s="91"/>
      <c r="E22" s="91"/>
      <c r="F22" s="1163" t="s">
        <v>31</v>
      </c>
      <c r="G22" s="1164"/>
      <c r="H22" s="1164"/>
      <c r="I22" s="1170"/>
      <c r="J22" s="334">
        <v>450</v>
      </c>
      <c r="K22" s="91"/>
      <c r="L22" s="91"/>
      <c r="M22" s="91"/>
      <c r="N22" s="91"/>
      <c r="P22" s="91"/>
      <c r="Q22" s="1167" t="s">
        <v>188</v>
      </c>
      <c r="R22" s="1168"/>
      <c r="S22" s="1168"/>
      <c r="T22" s="1169"/>
      <c r="U22" s="541">
        <v>20.46</v>
      </c>
      <c r="V22" s="91"/>
    </row>
    <row r="23" spans="3:22" ht="17.25" thickTop="1" thickBot="1" x14ac:dyDescent="0.3">
      <c r="C23" s="91"/>
      <c r="D23" s="91"/>
      <c r="E23" s="91"/>
      <c r="F23" s="1163" t="s">
        <v>34</v>
      </c>
      <c r="G23" s="1164"/>
      <c r="H23" s="1164"/>
      <c r="I23" s="1170"/>
      <c r="J23" s="333">
        <v>26</v>
      </c>
      <c r="K23" s="91"/>
      <c r="L23" s="91"/>
      <c r="M23" s="91"/>
      <c r="N23" s="91"/>
      <c r="P23" s="91"/>
      <c r="Q23" s="1163" t="s">
        <v>31</v>
      </c>
      <c r="R23" s="1164"/>
      <c r="S23" s="1164"/>
      <c r="T23" s="1170"/>
      <c r="U23" s="542">
        <v>450</v>
      </c>
      <c r="V23" s="91"/>
    </row>
    <row r="24" spans="3:22" ht="17.25" thickTop="1" thickBot="1" x14ac:dyDescent="0.3">
      <c r="C24" s="91"/>
      <c r="D24" s="91"/>
      <c r="E24" s="91"/>
      <c r="F24" s="1163" t="s">
        <v>35</v>
      </c>
      <c r="G24" s="1164"/>
      <c r="H24" s="1164"/>
      <c r="I24" s="1170"/>
      <c r="J24" s="333">
        <v>12</v>
      </c>
      <c r="K24" s="91"/>
      <c r="L24" s="91"/>
      <c r="M24" s="91"/>
      <c r="N24" s="91"/>
      <c r="P24" s="91"/>
      <c r="Q24" s="1163" t="s">
        <v>34</v>
      </c>
      <c r="R24" s="1164"/>
      <c r="S24" s="1164"/>
      <c r="T24" s="1170"/>
      <c r="U24" s="542">
        <v>26</v>
      </c>
      <c r="V24" s="91"/>
    </row>
    <row r="25" spans="3:22" ht="17.25" thickTop="1" thickBot="1" x14ac:dyDescent="0.3">
      <c r="C25" s="91"/>
      <c r="D25" s="91"/>
      <c r="E25" s="91"/>
      <c r="F25" s="1163" t="s">
        <v>67</v>
      </c>
      <c r="G25" s="1164"/>
      <c r="H25" s="1164"/>
      <c r="I25" s="1170"/>
      <c r="J25" s="333">
        <v>8</v>
      </c>
      <c r="K25" s="91"/>
      <c r="L25" s="91"/>
      <c r="M25" s="91"/>
      <c r="N25" s="91"/>
      <c r="P25" s="91"/>
      <c r="Q25" s="1163" t="s">
        <v>35</v>
      </c>
      <c r="R25" s="1164"/>
      <c r="S25" s="1164"/>
      <c r="T25" s="1170"/>
      <c r="U25" s="542">
        <v>12</v>
      </c>
      <c r="V25" s="91"/>
    </row>
    <row r="26" spans="3:22" ht="17.25" thickTop="1" thickBot="1" x14ac:dyDescent="0.3">
      <c r="C26" s="91"/>
      <c r="D26" s="91"/>
      <c r="E26" s="91"/>
      <c r="F26" s="1163" t="s">
        <v>68</v>
      </c>
      <c r="G26" s="1164"/>
      <c r="H26" s="1164"/>
      <c r="I26" s="1170"/>
      <c r="J26" s="333">
        <v>34.799999999999997</v>
      </c>
      <c r="K26" s="91"/>
      <c r="L26" s="91"/>
      <c r="M26" s="91"/>
      <c r="N26" s="91"/>
      <c r="P26" s="91"/>
      <c r="Q26" s="1163" t="s">
        <v>67</v>
      </c>
      <c r="R26" s="1164"/>
      <c r="S26" s="1164"/>
      <c r="T26" s="1170"/>
      <c r="U26" s="542">
        <v>8</v>
      </c>
      <c r="V26" s="91"/>
    </row>
    <row r="27" spans="3:22" ht="20.25" thickTop="1" thickBot="1" x14ac:dyDescent="0.3">
      <c r="C27" s="91"/>
      <c r="D27" s="91"/>
      <c r="E27" s="91"/>
      <c r="F27" s="1188" t="s">
        <v>28</v>
      </c>
      <c r="G27" s="1189"/>
      <c r="H27" s="1189"/>
      <c r="I27" s="1189"/>
      <c r="J27" s="341">
        <f>J22*(1-J23/100)*(1-J24/100)*(1-J25/100)+(J21*J20/100)</f>
        <v>269.59680000000003</v>
      </c>
      <c r="K27" s="91"/>
      <c r="L27" s="91"/>
      <c r="M27" s="91"/>
      <c r="N27" s="354"/>
      <c r="P27" s="91"/>
      <c r="Q27" s="1163" t="s">
        <v>68</v>
      </c>
      <c r="R27" s="1164"/>
      <c r="S27" s="1164"/>
      <c r="T27" s="1170"/>
      <c r="U27" s="542">
        <v>34.799999999999997</v>
      </c>
      <c r="V27" s="91"/>
    </row>
    <row r="28" spans="3:22" ht="19.5" thickTop="1" x14ac:dyDescent="0.25">
      <c r="C28" s="91"/>
      <c r="D28" s="91"/>
      <c r="E28" s="91"/>
      <c r="F28" s="1190" t="s">
        <v>30</v>
      </c>
      <c r="G28" s="1191"/>
      <c r="H28" s="1191"/>
      <c r="I28" s="1191"/>
      <c r="J28" s="340">
        <f>J22/J27</f>
        <v>1.6691592778549298</v>
      </c>
      <c r="K28" s="91"/>
      <c r="L28" s="91"/>
      <c r="M28" s="91"/>
      <c r="N28" s="91"/>
      <c r="P28" s="91"/>
      <c r="Q28" s="1188" t="s">
        <v>28</v>
      </c>
      <c r="R28" s="1189"/>
      <c r="S28" s="1189"/>
      <c r="T28" s="1189"/>
      <c r="U28" s="543">
        <f>U23*(1-U24/100)*(1-U25/100)*(1-U26/100)+(U22*U21/100)</f>
        <v>269.59680000000003</v>
      </c>
      <c r="V28" s="91"/>
    </row>
    <row r="29" spans="3:22" ht="18.75" x14ac:dyDescent="0.25">
      <c r="C29" s="91"/>
      <c r="D29" s="91"/>
      <c r="E29" s="91"/>
      <c r="F29" s="1192" t="s">
        <v>161</v>
      </c>
      <c r="G29" s="1193"/>
      <c r="H29" s="1193"/>
      <c r="I29" s="1193"/>
      <c r="J29" s="1194"/>
      <c r="K29" s="91"/>
      <c r="L29" s="91"/>
      <c r="M29" s="91"/>
      <c r="N29" s="91"/>
      <c r="P29" s="91"/>
      <c r="Q29" s="1190" t="s">
        <v>30</v>
      </c>
      <c r="R29" s="1191"/>
      <c r="S29" s="1191"/>
      <c r="T29" s="1191"/>
      <c r="U29" s="544">
        <f>U23/U28</f>
        <v>1.6691592778549298</v>
      </c>
      <c r="V29" s="91"/>
    </row>
    <row r="30" spans="3:22" ht="19.5" thickBot="1" x14ac:dyDescent="0.3">
      <c r="C30" s="91"/>
      <c r="D30" s="91"/>
      <c r="E30" s="91"/>
      <c r="F30" s="1195" t="s">
        <v>31</v>
      </c>
      <c r="G30" s="1196"/>
      <c r="H30" s="1196"/>
      <c r="I30" s="1197"/>
      <c r="J30" s="335">
        <v>450</v>
      </c>
      <c r="K30" s="91"/>
      <c r="L30" s="91"/>
      <c r="M30" s="91"/>
      <c r="N30" s="91"/>
      <c r="P30" s="91"/>
      <c r="Q30" s="1192" t="s">
        <v>161</v>
      </c>
      <c r="R30" s="1193"/>
      <c r="S30" s="1193"/>
      <c r="T30" s="1193"/>
      <c r="U30" s="1194"/>
      <c r="V30" s="91"/>
    </row>
    <row r="31" spans="3:22" ht="20.25" thickTop="1" thickBot="1" x14ac:dyDescent="0.35">
      <c r="C31" s="91"/>
      <c r="D31" s="91"/>
      <c r="E31" s="91"/>
      <c r="F31" s="1198" t="s">
        <v>30</v>
      </c>
      <c r="G31" s="1199"/>
      <c r="H31" s="1199"/>
      <c r="I31" s="1200"/>
      <c r="J31" s="336">
        <v>1.669</v>
      </c>
      <c r="K31" s="91"/>
      <c r="L31" s="91"/>
      <c r="M31" s="91"/>
      <c r="N31" s="91"/>
      <c r="P31" s="91"/>
      <c r="Q31" s="1195" t="s">
        <v>31</v>
      </c>
      <c r="R31" s="1196"/>
      <c r="S31" s="1196"/>
      <c r="T31" s="1197"/>
      <c r="U31" s="546">
        <v>450</v>
      </c>
      <c r="V31" s="91"/>
    </row>
    <row r="32" spans="3:22" ht="20.25" thickTop="1" thickBot="1" x14ac:dyDescent="0.35">
      <c r="C32" s="91"/>
      <c r="D32" s="91"/>
      <c r="E32" s="91"/>
      <c r="F32" s="1172" t="s">
        <v>28</v>
      </c>
      <c r="G32" s="1173"/>
      <c r="H32" s="1173"/>
      <c r="I32" s="1173"/>
      <c r="J32" s="353">
        <f>(J30/J31)</f>
        <v>269.62252846015576</v>
      </c>
      <c r="K32" s="91"/>
      <c r="L32" s="91"/>
      <c r="M32" s="91"/>
      <c r="N32" s="91"/>
      <c r="P32" s="91"/>
      <c r="Q32" s="1198" t="s">
        <v>30</v>
      </c>
      <c r="R32" s="1199"/>
      <c r="S32" s="1199"/>
      <c r="T32" s="1200"/>
      <c r="U32" s="547">
        <v>1.669</v>
      </c>
      <c r="V32" s="91"/>
    </row>
    <row r="33" spans="3:22" ht="19.5" thickTop="1" x14ac:dyDescent="0.25">
      <c r="C33" s="91"/>
      <c r="D33" s="91"/>
      <c r="E33" s="91"/>
      <c r="F33" s="1163" t="s">
        <v>73</v>
      </c>
      <c r="G33" s="1164"/>
      <c r="H33" s="1164"/>
      <c r="I33" s="348" t="s">
        <v>189</v>
      </c>
      <c r="J33" s="337">
        <f>J32*J17</f>
        <v>20.46365857030926</v>
      </c>
      <c r="K33" s="91"/>
      <c r="L33" s="91"/>
      <c r="M33" s="91"/>
      <c r="N33" s="91"/>
      <c r="P33" s="91"/>
      <c r="Q33" s="1172" t="s">
        <v>28</v>
      </c>
      <c r="R33" s="1173"/>
      <c r="S33" s="1173"/>
      <c r="T33" s="1173"/>
      <c r="U33" s="543">
        <f>(U31/U32)</f>
        <v>269.62252846015576</v>
      </c>
      <c r="V33" s="91"/>
    </row>
    <row r="34" spans="3:22" ht="19.5" thickBot="1" x14ac:dyDescent="0.3">
      <c r="C34" s="91"/>
      <c r="D34" s="91"/>
      <c r="E34" s="91"/>
      <c r="F34" s="1165"/>
      <c r="G34" s="1166"/>
      <c r="H34" s="1166"/>
      <c r="I34" s="349" t="s">
        <v>72</v>
      </c>
      <c r="J34" s="338">
        <f>J33/J18</f>
        <v>23.794951825941002</v>
      </c>
      <c r="K34" s="91"/>
      <c r="L34" s="91"/>
      <c r="M34" s="91"/>
      <c r="N34" s="91"/>
      <c r="P34" s="91"/>
      <c r="Q34" s="1163" t="s">
        <v>73</v>
      </c>
      <c r="R34" s="1164"/>
      <c r="S34" s="1164"/>
      <c r="T34" s="348" t="s">
        <v>189</v>
      </c>
      <c r="U34" s="548">
        <f>U33*U18</f>
        <v>20.46365857030926</v>
      </c>
      <c r="V34" s="91"/>
    </row>
    <row r="35" spans="3:22" ht="20.25" thickTop="1" thickBot="1" x14ac:dyDescent="0.3"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P35" s="91"/>
      <c r="Q35" s="1165"/>
      <c r="R35" s="1166"/>
      <c r="S35" s="1166"/>
      <c r="T35" s="349" t="s">
        <v>72</v>
      </c>
      <c r="U35" s="549">
        <f>U34/U19</f>
        <v>23.794951825941002</v>
      </c>
      <c r="V35" s="91"/>
    </row>
    <row r="36" spans="3:22" ht="16.5" thickTop="1" x14ac:dyDescent="0.25"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P36" s="91"/>
      <c r="Q36" s="91"/>
      <c r="R36" s="91"/>
      <c r="S36" s="91"/>
      <c r="T36" s="91"/>
      <c r="U36" s="91"/>
      <c r="V36" s="91"/>
    </row>
    <row r="37" spans="3:22" x14ac:dyDescent="0.25"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P37" s="91"/>
      <c r="Q37" s="91"/>
      <c r="R37" s="91"/>
      <c r="S37" s="91"/>
      <c r="T37" s="91"/>
      <c r="U37" s="91"/>
      <c r="V37" s="91"/>
    </row>
    <row r="38" spans="3:22" x14ac:dyDescent="0.25"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P38" s="91"/>
      <c r="Q38" s="91"/>
      <c r="R38" s="91"/>
      <c r="S38" s="91"/>
      <c r="T38" s="91"/>
      <c r="U38" s="91"/>
      <c r="V38" s="91"/>
    </row>
    <row r="39" spans="3:22" x14ac:dyDescent="0.25"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</row>
    <row r="40" spans="3:22" x14ac:dyDescent="0.25"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</row>
  </sheetData>
  <mergeCells count="64">
    <mergeCell ref="F4:J5"/>
    <mergeCell ref="F13:G13"/>
    <mergeCell ref="F16:I16"/>
    <mergeCell ref="F6:G6"/>
    <mergeCell ref="I6:J6"/>
    <mergeCell ref="F10:G10"/>
    <mergeCell ref="I11:J11"/>
    <mergeCell ref="F8:G8"/>
    <mergeCell ref="F9:I9"/>
    <mergeCell ref="F19:I19"/>
    <mergeCell ref="F22:I22"/>
    <mergeCell ref="F18:G18"/>
    <mergeCell ref="I14:J14"/>
    <mergeCell ref="I15:J15"/>
    <mergeCell ref="F33:H34"/>
    <mergeCell ref="F17:I17"/>
    <mergeCell ref="F7:G7"/>
    <mergeCell ref="F30:I30"/>
    <mergeCell ref="F29:J29"/>
    <mergeCell ref="F32:I32"/>
    <mergeCell ref="F31:I31"/>
    <mergeCell ref="I12:J12"/>
    <mergeCell ref="F26:I26"/>
    <mergeCell ref="F27:I27"/>
    <mergeCell ref="F28:I28"/>
    <mergeCell ref="F23:I23"/>
    <mergeCell ref="F20:I20"/>
    <mergeCell ref="F21:I21"/>
    <mergeCell ref="F24:I24"/>
    <mergeCell ref="F25:I25"/>
    <mergeCell ref="Q33:T33"/>
    <mergeCell ref="Q5:U6"/>
    <mergeCell ref="Q7:R7"/>
    <mergeCell ref="T7:U7"/>
    <mergeCell ref="Q8:R8"/>
    <mergeCell ref="Q9:R9"/>
    <mergeCell ref="Q10:T10"/>
    <mergeCell ref="Q11:R11"/>
    <mergeCell ref="Q28:T28"/>
    <mergeCell ref="Q29:T29"/>
    <mergeCell ref="Q30:U30"/>
    <mergeCell ref="Q31:T31"/>
    <mergeCell ref="Q32:T32"/>
    <mergeCell ref="T13:U13"/>
    <mergeCell ref="Q14:R14"/>
    <mergeCell ref="T15:U15"/>
    <mergeCell ref="T16:U16"/>
    <mergeCell ref="Q27:T27"/>
    <mergeCell ref="Q34:S35"/>
    <mergeCell ref="AC5:AC6"/>
    <mergeCell ref="AF5:AG6"/>
    <mergeCell ref="W6:W7"/>
    <mergeCell ref="X6:X7"/>
    <mergeCell ref="Q22:T22"/>
    <mergeCell ref="Q23:T23"/>
    <mergeCell ref="Q24:T24"/>
    <mergeCell ref="Q25:T25"/>
    <mergeCell ref="Q26:T26"/>
    <mergeCell ref="Q17:T17"/>
    <mergeCell ref="Q18:T18"/>
    <mergeCell ref="Q19:R19"/>
    <mergeCell ref="Q20:T20"/>
    <mergeCell ref="Q21:T21"/>
    <mergeCell ref="T12:U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12BB-C455-4DAA-BECF-FAD8CAD8CCB8}">
  <sheetPr>
    <tabColor theme="9" tint="-0.249977111117893"/>
  </sheetPr>
  <dimension ref="B1:W73"/>
  <sheetViews>
    <sheetView tabSelected="1" topLeftCell="A4" zoomScale="40" zoomScaleNormal="40" workbookViewId="0">
      <selection activeCell="M30" sqref="M30"/>
    </sheetView>
  </sheetViews>
  <sheetFormatPr defaultRowHeight="12.75" x14ac:dyDescent="0.2"/>
  <cols>
    <col min="3" max="3" width="9.7109375" bestFit="1" customWidth="1"/>
    <col min="4" max="4" width="22" customWidth="1"/>
    <col min="5" max="5" width="22.7109375" customWidth="1"/>
    <col min="6" max="6" width="20.5703125" customWidth="1"/>
    <col min="7" max="7" width="15.42578125" customWidth="1"/>
    <col min="8" max="8" width="26.28515625" customWidth="1"/>
    <col min="9" max="9" width="26.140625" customWidth="1"/>
    <col min="10" max="10" width="24.28515625" customWidth="1"/>
    <col min="11" max="11" width="22.85546875" customWidth="1"/>
    <col min="12" max="12" width="21" customWidth="1"/>
    <col min="13" max="13" width="20.28515625" bestFit="1" customWidth="1"/>
    <col min="14" max="23" width="28.85546875" customWidth="1"/>
  </cols>
  <sheetData>
    <row r="1" spans="2:23" ht="13.5" x14ac:dyDescent="0.25"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</row>
    <row r="2" spans="2:23" ht="13.5" x14ac:dyDescent="0.25"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</row>
    <row r="3" spans="2:23" ht="13.5" x14ac:dyDescent="0.25"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</row>
    <row r="4" spans="2:23" ht="30.75" x14ac:dyDescent="0.25">
      <c r="B4" s="224"/>
      <c r="C4" s="224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4"/>
      <c r="O4" s="224"/>
      <c r="P4" s="224"/>
      <c r="Q4" s="224"/>
    </row>
    <row r="5" spans="2:23" ht="30.75" x14ac:dyDescent="0.25">
      <c r="B5" s="224"/>
      <c r="C5" s="224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4"/>
      <c r="O5" s="224"/>
      <c r="P5" s="224"/>
      <c r="Q5" s="224"/>
    </row>
    <row r="6" spans="2:23" ht="31.5" customHeight="1" x14ac:dyDescent="0.25">
      <c r="B6" s="224"/>
      <c r="C6" s="224"/>
      <c r="D6" s="1242" t="s">
        <v>133</v>
      </c>
      <c r="E6" s="1242"/>
      <c r="F6" s="1242"/>
      <c r="G6" s="1242"/>
      <c r="H6" s="1242"/>
      <c r="I6" s="1242"/>
      <c r="J6" s="1242"/>
      <c r="K6" s="1242"/>
      <c r="L6" s="1242"/>
      <c r="M6" s="224"/>
      <c r="N6" s="224"/>
      <c r="O6" s="224"/>
      <c r="P6" s="224"/>
      <c r="Q6" s="224"/>
    </row>
    <row r="7" spans="2:23" ht="12.75" customHeight="1" x14ac:dyDescent="0.25">
      <c r="B7" s="224"/>
      <c r="C7" s="224"/>
      <c r="D7" s="1242"/>
      <c r="E7" s="1242"/>
      <c r="F7" s="1242"/>
      <c r="G7" s="1242"/>
      <c r="H7" s="1242"/>
      <c r="I7" s="1242"/>
      <c r="J7" s="1242"/>
      <c r="K7" s="1242"/>
      <c r="L7" s="1242"/>
      <c r="M7" s="224"/>
      <c r="N7" s="224"/>
      <c r="O7" s="224"/>
      <c r="P7" s="224"/>
      <c r="Q7" s="224"/>
    </row>
    <row r="8" spans="2:23" ht="31.5" thickBot="1" x14ac:dyDescent="0.3">
      <c r="B8" s="224"/>
      <c r="C8" s="224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4"/>
      <c r="O8" s="225"/>
      <c r="P8" s="225"/>
      <c r="Q8" s="225"/>
      <c r="R8" s="225"/>
      <c r="S8" s="225"/>
      <c r="T8" s="225"/>
      <c r="U8" s="225"/>
      <c r="V8" s="225"/>
      <c r="W8" s="225"/>
    </row>
    <row r="9" spans="2:23" ht="31.5" thickTop="1" x14ac:dyDescent="0.25">
      <c r="B9" s="224"/>
      <c r="C9" s="224"/>
      <c r="D9" s="871" t="s">
        <v>186</v>
      </c>
      <c r="E9" s="872"/>
      <c r="F9" s="872"/>
      <c r="G9" s="872"/>
      <c r="H9" s="872"/>
      <c r="I9" s="872"/>
      <c r="J9" s="872"/>
      <c r="K9" s="872"/>
      <c r="L9" s="873"/>
      <c r="M9" s="225"/>
      <c r="N9" s="224"/>
      <c r="O9" s="871" t="s">
        <v>186</v>
      </c>
      <c r="P9" s="872"/>
      <c r="Q9" s="872"/>
      <c r="R9" s="872"/>
      <c r="S9" s="872"/>
      <c r="T9" s="872"/>
      <c r="U9" s="872"/>
      <c r="V9" s="872"/>
      <c r="W9" s="873"/>
    </row>
    <row r="10" spans="2:23" ht="14.25" thickBot="1" x14ac:dyDescent="0.3">
      <c r="B10" s="224"/>
      <c r="C10" s="224"/>
      <c r="D10" s="1014"/>
      <c r="E10" s="1015"/>
      <c r="F10" s="1015"/>
      <c r="G10" s="1015"/>
      <c r="H10" s="1015"/>
      <c r="I10" s="1015"/>
      <c r="J10" s="1227"/>
      <c r="K10" s="1227"/>
      <c r="L10" s="1228"/>
      <c r="M10" s="224"/>
      <c r="N10" s="224"/>
      <c r="O10" s="1014"/>
      <c r="P10" s="1015"/>
      <c r="Q10" s="1015"/>
      <c r="R10" s="1015"/>
      <c r="S10" s="1015"/>
      <c r="T10" s="1015"/>
      <c r="U10" s="1227"/>
      <c r="V10" s="1227"/>
      <c r="W10" s="1228"/>
    </row>
    <row r="11" spans="2:23" ht="26.25" customHeight="1" thickTop="1" thickBot="1" x14ac:dyDescent="0.3">
      <c r="B11" s="224"/>
      <c r="C11" s="224"/>
      <c r="D11" s="237" t="s">
        <v>2</v>
      </c>
      <c r="E11" s="243" t="s">
        <v>184</v>
      </c>
      <c r="F11" s="241" t="s">
        <v>183</v>
      </c>
      <c r="G11" s="242" t="s">
        <v>74</v>
      </c>
      <c r="H11" s="229" t="s">
        <v>182</v>
      </c>
      <c r="I11" s="244" t="s">
        <v>185</v>
      </c>
      <c r="J11" s="396" t="s">
        <v>0</v>
      </c>
      <c r="K11" s="397" t="s">
        <v>177</v>
      </c>
      <c r="L11" s="398" t="s">
        <v>178</v>
      </c>
      <c r="M11" s="224"/>
      <c r="N11" s="224"/>
      <c r="O11" s="237" t="s">
        <v>2</v>
      </c>
      <c r="P11" s="243" t="s">
        <v>184</v>
      </c>
      <c r="Q11" s="241" t="s">
        <v>183</v>
      </c>
      <c r="R11" s="242" t="s">
        <v>74</v>
      </c>
      <c r="S11" s="229" t="s">
        <v>182</v>
      </c>
      <c r="T11" s="244" t="s">
        <v>185</v>
      </c>
      <c r="U11" s="583" t="s">
        <v>0</v>
      </c>
      <c r="V11" s="584" t="s">
        <v>177</v>
      </c>
      <c r="W11" s="585" t="s">
        <v>178</v>
      </c>
    </row>
    <row r="12" spans="2:23" ht="20.100000000000001" customHeight="1" thickTop="1" thickBot="1" x14ac:dyDescent="0.3">
      <c r="B12" s="224"/>
      <c r="C12" s="224"/>
      <c r="D12" s="238" t="s">
        <v>1</v>
      </c>
      <c r="E12" s="282">
        <v>9.16</v>
      </c>
      <c r="F12" s="280">
        <v>9</v>
      </c>
      <c r="G12" s="281">
        <v>74.98</v>
      </c>
      <c r="H12" s="279">
        <v>3.24</v>
      </c>
      <c r="I12" s="283">
        <v>51.910012874140349</v>
      </c>
      <c r="J12" s="388">
        <f t="shared" ref="J12:J21" si="0">($E$29*H12+$E$31*G12+$E$32*E12+$E$30*F12)/$E$33</f>
        <v>13.343026003572129</v>
      </c>
      <c r="K12" s="389">
        <f>1/(1-J21/100)*J12</f>
        <v>21.139278310819972</v>
      </c>
      <c r="L12" s="390">
        <f>K12*(1-L40)+(I12*L40)</f>
        <v>22.062400347719581</v>
      </c>
      <c r="M12" s="225"/>
      <c r="N12" s="224"/>
      <c r="O12" s="238" t="s">
        <v>1</v>
      </c>
      <c r="P12" s="550">
        <v>9.16</v>
      </c>
      <c r="Q12" s="550">
        <v>9</v>
      </c>
      <c r="R12" s="550">
        <v>74.98</v>
      </c>
      <c r="S12" s="550">
        <v>3.24</v>
      </c>
      <c r="T12" s="551">
        <v>51.910012874140349</v>
      </c>
      <c r="U12" s="586">
        <f t="shared" ref="U12:U21" si="1">($E$29*S12+$E$31*R12+$E$32*P12+$E$30*Q12)/$E$33</f>
        <v>13.343026003572129</v>
      </c>
      <c r="V12" s="587">
        <f>1/(1-U21/100)*U12</f>
        <v>21.139278310819972</v>
      </c>
      <c r="W12" s="588">
        <f>V12*(1-W40)+(T12*W40)</f>
        <v>22.062400347719581</v>
      </c>
    </row>
    <row r="13" spans="2:23" ht="20.100000000000001" customHeight="1" thickTop="1" thickBot="1" x14ac:dyDescent="0.3">
      <c r="B13" s="224"/>
      <c r="C13" s="224"/>
      <c r="D13" s="238" t="s">
        <v>3</v>
      </c>
      <c r="E13" s="282">
        <v>2</v>
      </c>
      <c r="F13" s="280">
        <v>50</v>
      </c>
      <c r="G13" s="281">
        <v>8.8000000000000007</v>
      </c>
      <c r="H13" s="279">
        <v>0.79</v>
      </c>
      <c r="I13" s="283">
        <v>24.189980517995103</v>
      </c>
      <c r="J13" s="388">
        <f t="shared" si="0"/>
        <v>3.2023262408573108</v>
      </c>
      <c r="K13" s="389">
        <f>1/(1-J21/100)*J13</f>
        <v>5.0734267945967932</v>
      </c>
      <c r="L13" s="390">
        <f>K13*(1-L40)+(I13*L40)</f>
        <v>5.6469234062987423</v>
      </c>
      <c r="M13" s="225"/>
      <c r="N13" s="224"/>
      <c r="O13" s="238" t="s">
        <v>3</v>
      </c>
      <c r="P13" s="550">
        <v>2</v>
      </c>
      <c r="Q13" s="550">
        <v>50</v>
      </c>
      <c r="R13" s="550">
        <v>8.8000000000000007</v>
      </c>
      <c r="S13" s="550">
        <v>0.79</v>
      </c>
      <c r="T13" s="551">
        <v>24.189980517995103</v>
      </c>
      <c r="U13" s="586">
        <f t="shared" si="1"/>
        <v>3.2023262408573108</v>
      </c>
      <c r="V13" s="587">
        <f>1/(1-U21/100)*U13</f>
        <v>5.0734267945967932</v>
      </c>
      <c r="W13" s="588">
        <f>V13*(1-W40)+(T13*W40)</f>
        <v>5.6469234062987423</v>
      </c>
    </row>
    <row r="14" spans="2:23" ht="20.100000000000001" customHeight="1" thickTop="1" thickBot="1" x14ac:dyDescent="0.3">
      <c r="B14" s="224"/>
      <c r="C14" s="224"/>
      <c r="D14" s="238" t="s">
        <v>181</v>
      </c>
      <c r="E14" s="282">
        <v>83.04</v>
      </c>
      <c r="F14" s="280">
        <v>14</v>
      </c>
      <c r="G14" s="281">
        <v>6.2</v>
      </c>
      <c r="H14" s="279">
        <v>0.38</v>
      </c>
      <c r="I14" s="283">
        <v>6.7227097100043149</v>
      </c>
      <c r="J14" s="388">
        <f t="shared" si="0"/>
        <v>2.1348841605715405</v>
      </c>
      <c r="K14" s="389">
        <f>1/(1-J21/100)*J14</f>
        <v>3.3822845297311952</v>
      </c>
      <c r="L14" s="390">
        <f>K14*(1-L40)+(I14*L40)</f>
        <v>3.4824972851393889</v>
      </c>
      <c r="M14" s="224"/>
      <c r="N14" s="224"/>
      <c r="O14" s="238" t="s">
        <v>181</v>
      </c>
      <c r="P14" s="550">
        <v>83.04</v>
      </c>
      <c r="Q14" s="550">
        <v>14</v>
      </c>
      <c r="R14" s="550">
        <v>6.2</v>
      </c>
      <c r="S14" s="550">
        <v>0.38</v>
      </c>
      <c r="T14" s="551">
        <v>6.7227097100043149</v>
      </c>
      <c r="U14" s="586">
        <f t="shared" si="1"/>
        <v>2.1348841605715405</v>
      </c>
      <c r="V14" s="587">
        <f>1/(1-U21/100)*U14</f>
        <v>3.3822845297311952</v>
      </c>
      <c r="W14" s="588">
        <f>V14*(1-W40)+(T14*W40)</f>
        <v>3.4824972851393889</v>
      </c>
    </row>
    <row r="15" spans="2:23" ht="20.100000000000001" customHeight="1" thickTop="1" thickBot="1" x14ac:dyDescent="0.3">
      <c r="B15" s="224"/>
      <c r="C15" s="224"/>
      <c r="D15" s="238" t="s">
        <v>5</v>
      </c>
      <c r="E15" s="282">
        <v>0.06</v>
      </c>
      <c r="F15" s="280">
        <v>5.5</v>
      </c>
      <c r="G15" s="281">
        <v>0.98</v>
      </c>
      <c r="H15" s="279">
        <v>51</v>
      </c>
      <c r="I15" s="283">
        <v>8.1274517505998443</v>
      </c>
      <c r="J15" s="388">
        <f t="shared" si="0"/>
        <v>42.52689247858509</v>
      </c>
      <c r="K15" s="389">
        <f>1/(1-J21/100)*J15</f>
        <v>67.375107832245419</v>
      </c>
      <c r="L15" s="390">
        <f>K15*(1-L40)+(I15*L40)</f>
        <v>65.597678149796053</v>
      </c>
      <c r="M15" s="224"/>
      <c r="N15" s="224"/>
      <c r="O15" s="238" t="s">
        <v>5</v>
      </c>
      <c r="P15" s="550">
        <v>0.06</v>
      </c>
      <c r="Q15" s="550">
        <v>5.5</v>
      </c>
      <c r="R15" s="550">
        <v>0.98</v>
      </c>
      <c r="S15" s="550">
        <v>51</v>
      </c>
      <c r="T15" s="551">
        <v>8.1274517505998443</v>
      </c>
      <c r="U15" s="586">
        <f t="shared" si="1"/>
        <v>42.52689247858509</v>
      </c>
      <c r="V15" s="587">
        <f>1/(1-U21/100)*U15</f>
        <v>67.375107832245419</v>
      </c>
      <c r="W15" s="588">
        <f>V15*(1-W40)+(T15*W40)</f>
        <v>65.597678149796053</v>
      </c>
    </row>
    <row r="16" spans="2:23" ht="20.100000000000001" customHeight="1" thickTop="1" thickBot="1" x14ac:dyDescent="0.3">
      <c r="B16" s="224"/>
      <c r="C16" s="224"/>
      <c r="D16" s="238" t="s">
        <v>6</v>
      </c>
      <c r="E16" s="251">
        <v>0.41</v>
      </c>
      <c r="F16" s="249">
        <v>0.5</v>
      </c>
      <c r="G16" s="250">
        <v>0.24</v>
      </c>
      <c r="H16" s="248">
        <v>1.24</v>
      </c>
      <c r="I16" s="252">
        <v>1.1075203400231253</v>
      </c>
      <c r="J16" s="392">
        <f t="shared" si="0"/>
        <v>1.076426845235243</v>
      </c>
      <c r="K16" s="393">
        <f>1/(1-J21/100)*J16</f>
        <v>1.7053767755960241</v>
      </c>
      <c r="L16" s="391">
        <f>K16*(1-L40)+(I16*L40)</f>
        <v>1.6874410825288371</v>
      </c>
      <c r="M16" s="224"/>
      <c r="N16" s="224"/>
      <c r="O16" s="238" t="s">
        <v>6</v>
      </c>
      <c r="P16" s="552">
        <v>0.41</v>
      </c>
      <c r="Q16" s="552">
        <v>0.5</v>
      </c>
      <c r="R16" s="552">
        <v>0.24</v>
      </c>
      <c r="S16" s="552">
        <v>1.24</v>
      </c>
      <c r="T16" s="553">
        <v>1.1075203400231253</v>
      </c>
      <c r="U16" s="589">
        <f t="shared" si="1"/>
        <v>1.076426845235243</v>
      </c>
      <c r="V16" s="590">
        <f>1/(1-U21/100)*U16</f>
        <v>1.7053767755960241</v>
      </c>
      <c r="W16" s="591">
        <f>V16*(1-W40)+(T16*W40)</f>
        <v>1.6874410825288371</v>
      </c>
    </row>
    <row r="17" spans="2:23" ht="20.100000000000001" customHeight="1" thickTop="1" thickBot="1" x14ac:dyDescent="0.3">
      <c r="B17" s="224"/>
      <c r="C17" s="224"/>
      <c r="D17" s="238" t="s">
        <v>7</v>
      </c>
      <c r="E17" s="251">
        <v>0.2</v>
      </c>
      <c r="F17" s="249">
        <v>0.1</v>
      </c>
      <c r="G17" s="250">
        <v>0.3</v>
      </c>
      <c r="H17" s="248">
        <v>0.5</v>
      </c>
      <c r="I17" s="252">
        <v>0.2</v>
      </c>
      <c r="J17" s="392">
        <f t="shared" si="0"/>
        <v>0.45968231499688261</v>
      </c>
      <c r="K17" s="393">
        <f>1/(1-J21/100)*J17</f>
        <v>0.72827201181198575</v>
      </c>
      <c r="L17" s="391">
        <f>K17*(1-L40)+(I17*L40)</f>
        <v>0.71242385145762621</v>
      </c>
      <c r="M17" s="225"/>
      <c r="N17" s="224"/>
      <c r="O17" s="238" t="s">
        <v>7</v>
      </c>
      <c r="P17" s="552">
        <v>0.2</v>
      </c>
      <c r="Q17" s="552">
        <v>0.1</v>
      </c>
      <c r="R17" s="552">
        <v>0.3</v>
      </c>
      <c r="S17" s="552">
        <v>0.5</v>
      </c>
      <c r="T17" s="553">
        <v>0.2</v>
      </c>
      <c r="U17" s="589">
        <f t="shared" si="1"/>
        <v>0.45968231499688261</v>
      </c>
      <c r="V17" s="590">
        <f>1/(1-U21/100)*U17</f>
        <v>0.72827201181198575</v>
      </c>
      <c r="W17" s="591">
        <f>V17*(1-W40)+(T17*W40)</f>
        <v>0.71242385145762621</v>
      </c>
    </row>
    <row r="18" spans="2:23" ht="20.100000000000001" customHeight="1" thickTop="1" thickBot="1" x14ac:dyDescent="0.3">
      <c r="B18" s="224"/>
      <c r="C18" s="224"/>
      <c r="D18" s="238" t="s">
        <v>8</v>
      </c>
      <c r="E18" s="251">
        <v>0.1</v>
      </c>
      <c r="F18" s="249">
        <v>0.1</v>
      </c>
      <c r="G18" s="250">
        <v>0.2</v>
      </c>
      <c r="H18" s="248">
        <v>0.2</v>
      </c>
      <c r="I18" s="252">
        <v>0.9</v>
      </c>
      <c r="J18" s="392">
        <f t="shared" si="0"/>
        <v>0.19664758038592248</v>
      </c>
      <c r="K18" s="393">
        <f>1/(1-J21/100)*J18</f>
        <v>0.31154761519721763</v>
      </c>
      <c r="L18" s="391">
        <f>K18*(1-L40)+(I18*L40)</f>
        <v>0.32920118674130111</v>
      </c>
      <c r="M18" s="225"/>
      <c r="N18" s="224"/>
      <c r="O18" s="238" t="s">
        <v>8</v>
      </c>
      <c r="P18" s="552">
        <v>0.1</v>
      </c>
      <c r="Q18" s="552">
        <v>0.1</v>
      </c>
      <c r="R18" s="552">
        <v>0.2</v>
      </c>
      <c r="S18" s="552">
        <v>0.2</v>
      </c>
      <c r="T18" s="553">
        <v>0.9</v>
      </c>
      <c r="U18" s="589">
        <f t="shared" si="1"/>
        <v>0.19664758038592248</v>
      </c>
      <c r="V18" s="590">
        <f>1/(1-U21/100)*U18</f>
        <v>0.31154761519721763</v>
      </c>
      <c r="W18" s="591">
        <f>V18*(1-W40)+(T18*W40)</f>
        <v>0.32920118674130111</v>
      </c>
    </row>
    <row r="19" spans="2:23" ht="20.100000000000001" customHeight="1" thickTop="1" thickBot="1" x14ac:dyDescent="0.3">
      <c r="B19" s="224"/>
      <c r="C19" s="224"/>
      <c r="D19" s="238" t="s">
        <v>9</v>
      </c>
      <c r="E19" s="251">
        <v>7.0000000000000007E-2</v>
      </c>
      <c r="F19" s="249">
        <v>0.05</v>
      </c>
      <c r="G19" s="250">
        <v>0.2</v>
      </c>
      <c r="H19" s="248">
        <v>0.1</v>
      </c>
      <c r="I19" s="283">
        <v>4.2</v>
      </c>
      <c r="J19" s="392">
        <f t="shared" si="0"/>
        <v>0.11227909038510772</v>
      </c>
      <c r="K19" s="393">
        <f>1/(1-J21/100)*J19</f>
        <v>0.17788310833697554</v>
      </c>
      <c r="L19" s="391">
        <f>K19*(1-L40)+(I19*L40)</f>
        <v>0.29854661508686631</v>
      </c>
      <c r="M19" s="224"/>
      <c r="N19" s="224"/>
      <c r="O19" s="238" t="s">
        <v>9</v>
      </c>
      <c r="P19" s="552">
        <v>7.0000000000000007E-2</v>
      </c>
      <c r="Q19" s="552">
        <v>0.05</v>
      </c>
      <c r="R19" s="552">
        <v>0.2</v>
      </c>
      <c r="S19" s="552">
        <v>0.1</v>
      </c>
      <c r="T19" s="551">
        <v>4.2</v>
      </c>
      <c r="U19" s="589">
        <f t="shared" si="1"/>
        <v>0.11227909038510772</v>
      </c>
      <c r="V19" s="590">
        <f>1/(1-U21/100)*U19</f>
        <v>0.17788310833697554</v>
      </c>
      <c r="W19" s="591">
        <f>V19*(1-W40)+(T19*W40)</f>
        <v>0.29854661508686631</v>
      </c>
    </row>
    <row r="20" spans="2:23" ht="20.100000000000001" customHeight="1" thickTop="1" thickBot="1" x14ac:dyDescent="0.3">
      <c r="B20" s="224"/>
      <c r="C20" s="224"/>
      <c r="D20" s="238" t="s">
        <v>40</v>
      </c>
      <c r="E20" s="251">
        <v>0.01</v>
      </c>
      <c r="F20" s="249">
        <v>0.01</v>
      </c>
      <c r="G20" s="250">
        <v>0.01</v>
      </c>
      <c r="H20" s="248">
        <v>0.01</v>
      </c>
      <c r="I20" s="256">
        <v>0.01</v>
      </c>
      <c r="J20" s="392">
        <f t="shared" si="0"/>
        <v>0.01</v>
      </c>
      <c r="K20" s="394">
        <f>1/(1-J21/100)*J20</f>
        <v>1.5842941702399943E-2</v>
      </c>
      <c r="L20" s="395">
        <f>K20*(1-G51)+(I20*G51)</f>
        <v>1.5842941702399943E-2</v>
      </c>
      <c r="M20" s="224"/>
      <c r="N20" s="224"/>
      <c r="O20" s="238" t="s">
        <v>40</v>
      </c>
      <c r="P20" s="552">
        <v>0.01</v>
      </c>
      <c r="Q20" s="552">
        <v>0.01</v>
      </c>
      <c r="R20" s="552">
        <v>0.01</v>
      </c>
      <c r="S20" s="552">
        <v>0.01</v>
      </c>
      <c r="T20" s="554">
        <v>0.01</v>
      </c>
      <c r="U20" s="589">
        <f t="shared" si="1"/>
        <v>0.01</v>
      </c>
      <c r="V20" s="592">
        <f>1/(1-U21/100)*U20</f>
        <v>1.5842941702399943E-2</v>
      </c>
      <c r="W20" s="593">
        <f>V20*(1-R51)+(T20*R51)</f>
        <v>1.5842941702399943E-2</v>
      </c>
    </row>
    <row r="21" spans="2:23" ht="20.100000000000001" customHeight="1" thickTop="1" thickBot="1" x14ac:dyDescent="0.3">
      <c r="B21" s="224"/>
      <c r="C21" s="224"/>
      <c r="D21" s="239" t="s">
        <v>91</v>
      </c>
      <c r="E21" s="257">
        <v>4.6500000000000004</v>
      </c>
      <c r="F21" s="254">
        <v>21</v>
      </c>
      <c r="G21" s="255">
        <v>8</v>
      </c>
      <c r="H21" s="253">
        <v>42.48</v>
      </c>
      <c r="I21" s="259"/>
      <c r="J21" s="260">
        <f t="shared" si="0"/>
        <v>36.880409031075551</v>
      </c>
      <c r="K21" s="1229"/>
      <c r="L21" s="1230"/>
      <c r="M21" s="224"/>
      <c r="N21" s="224"/>
      <c r="O21" s="239" t="s">
        <v>91</v>
      </c>
      <c r="P21" s="554">
        <v>4.6500000000000004</v>
      </c>
      <c r="Q21" s="555">
        <v>21</v>
      </c>
      <c r="R21" s="555">
        <v>8</v>
      </c>
      <c r="S21" s="555">
        <v>42.48</v>
      </c>
      <c r="T21" s="556"/>
      <c r="U21" s="556">
        <f t="shared" si="1"/>
        <v>36.880409031075551</v>
      </c>
      <c r="V21" s="1229"/>
      <c r="W21" s="1230"/>
    </row>
    <row r="22" spans="2:23" ht="20.100000000000001" customHeight="1" thickTop="1" thickBot="1" x14ac:dyDescent="0.3">
      <c r="B22" s="224"/>
      <c r="C22" s="224"/>
      <c r="D22" s="246" t="s">
        <v>150</v>
      </c>
      <c r="E22" s="258">
        <v>5</v>
      </c>
      <c r="F22" s="245">
        <v>3</v>
      </c>
      <c r="G22" s="245">
        <v>4</v>
      </c>
      <c r="H22" s="245">
        <v>2</v>
      </c>
      <c r="I22" s="1243">
        <v>1</v>
      </c>
      <c r="J22" s="1243">
        <v>0.35</v>
      </c>
      <c r="K22" s="1231"/>
      <c r="L22" s="1232"/>
      <c r="M22" s="224"/>
      <c r="N22" s="224"/>
      <c r="O22" s="246" t="s">
        <v>150</v>
      </c>
      <c r="P22" s="557">
        <v>5</v>
      </c>
      <c r="Q22" s="558">
        <v>3</v>
      </c>
      <c r="R22" s="558">
        <v>4</v>
      </c>
      <c r="S22" s="558">
        <v>2</v>
      </c>
      <c r="T22" s="559">
        <v>1</v>
      </c>
      <c r="U22" s="559">
        <v>0.35</v>
      </c>
      <c r="V22" s="1231"/>
      <c r="W22" s="1232"/>
    </row>
    <row r="23" spans="2:23" ht="20.100000000000001" customHeight="1" thickTop="1" x14ac:dyDescent="0.25">
      <c r="B23" s="224"/>
      <c r="C23" s="224"/>
      <c r="D23" s="240" t="s">
        <v>10</v>
      </c>
      <c r="E23" s="230">
        <f>SUM(E12:E21)</f>
        <v>99.7</v>
      </c>
      <c r="F23" s="230">
        <f t="shared" ref="F23:G23" si="2">SUM(F12:F21)</f>
        <v>100.25999999999999</v>
      </c>
      <c r="G23" s="230">
        <f t="shared" si="2"/>
        <v>99.910000000000011</v>
      </c>
      <c r="H23" s="230">
        <f>SUM(H12:H21)</f>
        <v>99.94</v>
      </c>
      <c r="I23" s="230">
        <f>SUM(I12:I22)</f>
        <v>98.367675192762746</v>
      </c>
      <c r="J23" s="230">
        <f>SUM(J12:J22)</f>
        <v>100.29257374566477</v>
      </c>
      <c r="K23" s="230">
        <f>SUM(K12:K20)</f>
        <v>99.909019920037963</v>
      </c>
      <c r="L23" s="231">
        <f>SUM(L12:L20)</f>
        <v>99.8329548664708</v>
      </c>
      <c r="M23" s="225"/>
      <c r="N23" s="224"/>
      <c r="O23" s="240" t="s">
        <v>10</v>
      </c>
      <c r="P23" s="570">
        <f>SUM(P12:P21)</f>
        <v>99.7</v>
      </c>
      <c r="Q23" s="570">
        <f t="shared" ref="Q23:R23" si="3">SUM(Q12:Q21)</f>
        <v>100.25999999999999</v>
      </c>
      <c r="R23" s="570">
        <f t="shared" si="3"/>
        <v>99.910000000000011</v>
      </c>
      <c r="S23" s="570">
        <f>SUM(S12:S21)</f>
        <v>99.94</v>
      </c>
      <c r="T23" s="570">
        <f>SUM(T12:T22)</f>
        <v>98.367675192762746</v>
      </c>
      <c r="U23" s="570">
        <f>SUM(U12:U22)</f>
        <v>100.29257374566477</v>
      </c>
      <c r="V23" s="570">
        <f>SUM(V12:V20)</f>
        <v>99.909019920037963</v>
      </c>
      <c r="W23" s="571">
        <f>SUM(W12:W20)</f>
        <v>99.8329548664708</v>
      </c>
    </row>
    <row r="24" spans="2:23" ht="20.100000000000001" customHeight="1" x14ac:dyDescent="0.25">
      <c r="B24" s="224"/>
      <c r="C24" s="224"/>
      <c r="D24" s="270" t="s">
        <v>38</v>
      </c>
      <c r="E24" s="232">
        <f>100*E15/(2.8*E12+1.18*E13+0.65*E14)</f>
        <v>7.3185011709601872E-2</v>
      </c>
      <c r="F24" s="232">
        <f t="shared" ref="F24:L24" si="4">100*F15/(2.8*F12+1.18*F13+0.65*F14)</f>
        <v>5.894962486602358</v>
      </c>
      <c r="G24" s="232">
        <f t="shared" si="4"/>
        <v>0.43680189696823829</v>
      </c>
      <c r="H24" s="232">
        <f>100*H15/(2.8*H12+1.18*H13+0.65*H14)</f>
        <v>497.50273138754494</v>
      </c>
      <c r="I24" s="233">
        <f t="shared" si="4"/>
        <v>4.5592739446021655</v>
      </c>
      <c r="J24" s="277">
        <f t="shared" si="4"/>
        <v>100.00000000000001</v>
      </c>
      <c r="K24" s="273">
        <f t="shared" si="4"/>
        <v>100.00000000000003</v>
      </c>
      <c r="L24" s="274">
        <f t="shared" si="4"/>
        <v>92.780888323328682</v>
      </c>
      <c r="M24" s="225"/>
      <c r="N24" s="224"/>
      <c r="O24" s="270" t="s">
        <v>38</v>
      </c>
      <c r="P24" s="572">
        <f>100*P15/(2.8*P12+1.18*P13+0.65*P14)</f>
        <v>7.3185011709601872E-2</v>
      </c>
      <c r="Q24" s="572">
        <f t="shared" ref="Q24:R24" si="5">100*Q15/(2.8*Q12+1.18*Q13+0.65*Q14)</f>
        <v>5.894962486602358</v>
      </c>
      <c r="R24" s="572">
        <f t="shared" si="5"/>
        <v>0.43680189696823829</v>
      </c>
      <c r="S24" s="572">
        <f>100*S15/(2.8*S12+1.18*S13+0.65*S14)</f>
        <v>497.50273138754494</v>
      </c>
      <c r="T24" s="573">
        <f t="shared" ref="T24:W24" si="6">100*T15/(2.8*T12+1.18*T13+0.65*T14)</f>
        <v>4.5592739446021655</v>
      </c>
      <c r="U24" s="574">
        <f t="shared" si="6"/>
        <v>100.00000000000001</v>
      </c>
      <c r="V24" s="575">
        <f t="shared" si="6"/>
        <v>100.00000000000003</v>
      </c>
      <c r="W24" s="576">
        <f t="shared" si="6"/>
        <v>92.780888323328682</v>
      </c>
    </row>
    <row r="25" spans="2:23" ht="20.100000000000001" customHeight="1" x14ac:dyDescent="0.25">
      <c r="B25" s="224"/>
      <c r="C25" s="224"/>
      <c r="D25" s="270" t="s">
        <v>36</v>
      </c>
      <c r="E25" s="232">
        <f>E12/(E13+E14)</f>
        <v>0.1077140169332079</v>
      </c>
      <c r="F25" s="232">
        <f t="shared" ref="F25:L25" si="7">F12/(F13+F14)</f>
        <v>0.140625</v>
      </c>
      <c r="G25" s="232">
        <f t="shared" si="7"/>
        <v>4.9986666666666668</v>
      </c>
      <c r="H25" s="232">
        <f>H12/(H13+H14)</f>
        <v>2.7692307692307696</v>
      </c>
      <c r="I25" s="233">
        <f t="shared" si="7"/>
        <v>1.6792460472146948</v>
      </c>
      <c r="J25" s="277">
        <f t="shared" si="7"/>
        <v>2.5</v>
      </c>
      <c r="K25" s="273">
        <f t="shared" si="7"/>
        <v>2.5</v>
      </c>
      <c r="L25" s="274">
        <f t="shared" si="7"/>
        <v>2.4166265410915306</v>
      </c>
      <c r="M25" s="224"/>
      <c r="N25" s="224"/>
      <c r="O25" s="270" t="s">
        <v>36</v>
      </c>
      <c r="P25" s="572">
        <f>P12/(P13+P14)</f>
        <v>0.1077140169332079</v>
      </c>
      <c r="Q25" s="572">
        <f t="shared" ref="Q25:R25" si="8">Q12/(Q13+Q14)</f>
        <v>0.140625</v>
      </c>
      <c r="R25" s="572">
        <f t="shared" si="8"/>
        <v>4.9986666666666668</v>
      </c>
      <c r="S25" s="572">
        <f>S12/(S13+S14)</f>
        <v>2.7692307692307696</v>
      </c>
      <c r="T25" s="573">
        <f t="shared" ref="T25:W25" si="9">T12/(T13+T14)</f>
        <v>1.6792460472146948</v>
      </c>
      <c r="U25" s="574">
        <f t="shared" si="9"/>
        <v>2.5</v>
      </c>
      <c r="V25" s="575">
        <f t="shared" si="9"/>
        <v>2.5</v>
      </c>
      <c r="W25" s="576">
        <f t="shared" si="9"/>
        <v>2.4166265410915306</v>
      </c>
    </row>
    <row r="26" spans="2:23" ht="20.100000000000001" customHeight="1" thickBot="1" x14ac:dyDescent="0.3">
      <c r="B26" s="224"/>
      <c r="C26" s="224"/>
      <c r="D26" s="271" t="s">
        <v>37</v>
      </c>
      <c r="E26" s="235">
        <f>E13/E14</f>
        <v>2.4084778420038533E-2</v>
      </c>
      <c r="F26" s="234">
        <f t="shared" ref="F26:L26" si="10">F13/F14</f>
        <v>3.5714285714285716</v>
      </c>
      <c r="G26" s="235">
        <f t="shared" si="10"/>
        <v>1.4193548387096775</v>
      </c>
      <c r="H26" s="234">
        <f>H13/H14</f>
        <v>2.0789473684210527</v>
      </c>
      <c r="I26" s="236">
        <f t="shared" si="10"/>
        <v>3.5982485577202734</v>
      </c>
      <c r="J26" s="278">
        <f t="shared" si="10"/>
        <v>1.5</v>
      </c>
      <c r="K26" s="275">
        <f t="shared" si="10"/>
        <v>1.5000000000000002</v>
      </c>
      <c r="L26" s="276">
        <f t="shared" si="10"/>
        <v>1.6215155228965874</v>
      </c>
      <c r="M26" s="224"/>
      <c r="N26" s="224"/>
      <c r="O26" s="271" t="s">
        <v>37</v>
      </c>
      <c r="P26" s="577">
        <f>P13/P14</f>
        <v>2.4084778420038533E-2</v>
      </c>
      <c r="Q26" s="578">
        <f t="shared" ref="Q26:R26" si="11">Q13/Q14</f>
        <v>3.5714285714285716</v>
      </c>
      <c r="R26" s="577">
        <f t="shared" si="11"/>
        <v>1.4193548387096775</v>
      </c>
      <c r="S26" s="578">
        <f>S13/S14</f>
        <v>2.0789473684210527</v>
      </c>
      <c r="T26" s="579">
        <f t="shared" ref="T26:W26" si="12">T13/T14</f>
        <v>3.5982485577202734</v>
      </c>
      <c r="U26" s="580">
        <f t="shared" si="12"/>
        <v>1.5</v>
      </c>
      <c r="V26" s="581">
        <f t="shared" si="12"/>
        <v>1.5000000000000002</v>
      </c>
      <c r="W26" s="582">
        <f t="shared" si="12"/>
        <v>1.6215155228965874</v>
      </c>
    </row>
    <row r="27" spans="2:23" ht="34.5" customHeight="1" thickTop="1" x14ac:dyDescent="0.25">
      <c r="B27" s="224"/>
      <c r="C27" s="224"/>
      <c r="D27" s="1233" t="s">
        <v>179</v>
      </c>
      <c r="E27" s="1234"/>
      <c r="F27" s="1235"/>
      <c r="G27" s="1236" t="s">
        <v>176</v>
      </c>
      <c r="H27" s="1238" t="s">
        <v>175</v>
      </c>
      <c r="I27" s="1239"/>
      <c r="J27" s="1240" t="s">
        <v>180</v>
      </c>
      <c r="K27" s="1241"/>
      <c r="L27" s="312" t="s">
        <v>165</v>
      </c>
      <c r="M27" s="224"/>
      <c r="N27" s="224"/>
      <c r="O27" s="1233" t="s">
        <v>179</v>
      </c>
      <c r="P27" s="1234"/>
      <c r="Q27" s="1235"/>
      <c r="R27" s="1236" t="s">
        <v>176</v>
      </c>
      <c r="S27" s="1238" t="s">
        <v>175</v>
      </c>
      <c r="T27" s="1239"/>
      <c r="U27" s="1240" t="s">
        <v>180</v>
      </c>
      <c r="V27" s="1241"/>
      <c r="W27" s="312" t="s">
        <v>165</v>
      </c>
    </row>
    <row r="28" spans="2:23" ht="20.100000000000001" customHeight="1" thickBot="1" x14ac:dyDescent="0.3">
      <c r="B28" s="224"/>
      <c r="C28" s="224"/>
      <c r="D28" s="296" t="s">
        <v>171</v>
      </c>
      <c r="E28" s="297" t="s">
        <v>172</v>
      </c>
      <c r="F28" s="298" t="s">
        <v>173</v>
      </c>
      <c r="G28" s="1237"/>
      <c r="H28" s="262" t="s">
        <v>163</v>
      </c>
      <c r="I28" s="263" t="s">
        <v>164</v>
      </c>
      <c r="J28" s="288" t="s">
        <v>105</v>
      </c>
      <c r="K28" s="289">
        <f>4.071*L15-7.6*L12-6.72*L13-1.43*L14</f>
        <v>56.446608697074026</v>
      </c>
      <c r="L28" s="290" t="str">
        <f>IF(AND(K28&lt;I29,K28&gt;H29),"Normal","Abnormal")</f>
        <v>Normal</v>
      </c>
      <c r="M28" s="224"/>
      <c r="N28" s="224"/>
      <c r="O28" s="296" t="s">
        <v>171</v>
      </c>
      <c r="P28" s="297" t="s">
        <v>172</v>
      </c>
      <c r="Q28" s="298" t="s">
        <v>173</v>
      </c>
      <c r="R28" s="1237"/>
      <c r="S28" s="262" t="s">
        <v>163</v>
      </c>
      <c r="T28" s="263" t="s">
        <v>164</v>
      </c>
      <c r="U28" s="288" t="s">
        <v>105</v>
      </c>
      <c r="V28" s="594">
        <f>4.071*W15-7.6*W12-6.72*W13-1.43*W14</f>
        <v>56.446608697074026</v>
      </c>
      <c r="W28" s="596" t="str">
        <f>IF(AND(V28&lt;T29,V28&gt;S29),"Normal","Abnormal")</f>
        <v>Normal</v>
      </c>
    </row>
    <row r="29" spans="2:23" ht="20.100000000000001" customHeight="1" thickTop="1" thickBot="1" x14ac:dyDescent="0.3">
      <c r="B29" s="224"/>
      <c r="C29" s="224"/>
      <c r="D29" s="299" t="s">
        <v>11</v>
      </c>
      <c r="E29" s="300">
        <f>F62/F66</f>
        <v>82.835507884845413</v>
      </c>
      <c r="F29" s="301">
        <f>G44*G49</f>
        <v>82.556841752223676</v>
      </c>
      <c r="G29" s="264" t="s">
        <v>105</v>
      </c>
      <c r="H29" s="284">
        <v>45</v>
      </c>
      <c r="I29" s="285">
        <v>65</v>
      </c>
      <c r="J29" s="288" t="s">
        <v>106</v>
      </c>
      <c r="K29" s="289">
        <f>4.071*(L15-I40)-7.6024*L12-6.718*L13-1.4297*L14</f>
        <v>52.334997532237658</v>
      </c>
      <c r="L29" s="290" t="str">
        <f>IF(AND(K29&lt;I30,K29&gt;H30),"Normal","Abnormal")</f>
        <v>Normal</v>
      </c>
      <c r="M29" s="224"/>
      <c r="N29" s="224"/>
      <c r="O29" s="299" t="s">
        <v>11</v>
      </c>
      <c r="P29" s="602">
        <f>Q62/Q66</f>
        <v>82.835507884845413</v>
      </c>
      <c r="Q29" s="603">
        <f>R44*R49</f>
        <v>82.556841752223676</v>
      </c>
      <c r="R29" s="264" t="s">
        <v>105</v>
      </c>
      <c r="S29" s="562">
        <v>45</v>
      </c>
      <c r="T29" s="563">
        <v>65</v>
      </c>
      <c r="U29" s="288" t="s">
        <v>106</v>
      </c>
      <c r="V29" s="594">
        <f>4.071*(W15-T40)-7.6024*W12-6.718*W13-1.4297*W14</f>
        <v>52.334997532237658</v>
      </c>
      <c r="W29" s="596" t="str">
        <f>IF(AND(V29&lt;T30,V29&gt;S30),"Normal","Abnormal")</f>
        <v>Normal</v>
      </c>
    </row>
    <row r="30" spans="2:23" ht="20.100000000000001" customHeight="1" thickTop="1" thickBot="1" x14ac:dyDescent="0.3">
      <c r="B30" s="224"/>
      <c r="C30" s="224"/>
      <c r="D30" s="302" t="s">
        <v>26</v>
      </c>
      <c r="E30" s="303">
        <f>F65/F66</f>
        <v>2.636281158730621</v>
      </c>
      <c r="F30" s="304">
        <f>G45*G49</f>
        <v>2.654499197229891</v>
      </c>
      <c r="G30" s="265" t="s">
        <v>106</v>
      </c>
      <c r="H30" s="261">
        <v>45</v>
      </c>
      <c r="I30" s="247">
        <v>65</v>
      </c>
      <c r="J30" s="291" t="s">
        <v>59</v>
      </c>
      <c r="K30" s="289">
        <f>8.6024*L12+5.0683*L13+1.0785*L14-3.071*(L15-I40)</f>
        <v>23.786298375365988</v>
      </c>
      <c r="L30" s="290" t="str">
        <f>IF(AND(K30&lt;I31,K30&gt;H31),"Normal","Abnormal")</f>
        <v>Normal</v>
      </c>
      <c r="M30" s="224"/>
      <c r="N30" s="224"/>
      <c r="O30" s="302" t="s">
        <v>26</v>
      </c>
      <c r="P30" s="602">
        <f>Q65/Q66</f>
        <v>2.636281158730621</v>
      </c>
      <c r="Q30" s="603">
        <f>R45*R49</f>
        <v>2.654499197229891</v>
      </c>
      <c r="R30" s="265" t="s">
        <v>106</v>
      </c>
      <c r="S30" s="564">
        <v>45</v>
      </c>
      <c r="T30" s="565">
        <v>65</v>
      </c>
      <c r="U30" s="291" t="s">
        <v>59</v>
      </c>
      <c r="V30" s="594">
        <f>8.6024*W12+5.0683*W13+1.0785*W14-3.071*(W15-T40)</f>
        <v>23.786298375365988</v>
      </c>
      <c r="W30" s="596" t="str">
        <f>IF(AND(V30&lt;T31,V30&gt;S31),"Normal","Abnormal")</f>
        <v>Normal</v>
      </c>
    </row>
    <row r="31" spans="2:23" ht="20.100000000000001" customHeight="1" thickTop="1" thickBot="1" x14ac:dyDescent="0.3">
      <c r="B31" s="224"/>
      <c r="C31" s="224"/>
      <c r="D31" s="305" t="s">
        <v>74</v>
      </c>
      <c r="E31" s="306">
        <f>F63/F66</f>
        <v>13.8120725010771</v>
      </c>
      <c r="F31" s="307">
        <f>G46*G49</f>
        <v>14.052390929637859</v>
      </c>
      <c r="G31" s="266" t="s">
        <v>59</v>
      </c>
      <c r="H31" s="261">
        <v>10</v>
      </c>
      <c r="I31" s="247">
        <v>25</v>
      </c>
      <c r="J31" s="292" t="s">
        <v>60</v>
      </c>
      <c r="K31" s="289">
        <f>2.65*L13-1.692*L14</f>
        <v>9.07196162023582</v>
      </c>
      <c r="L31" s="290" t="str">
        <f>IF(AND(K31&lt;E22,K31&gt;G22),"Normal","Abnormal")</f>
        <v>Abnormal</v>
      </c>
      <c r="M31" s="224"/>
      <c r="N31" s="224"/>
      <c r="O31" s="305" t="s">
        <v>74</v>
      </c>
      <c r="P31" s="602">
        <f>Q63/Q66</f>
        <v>13.8120725010771</v>
      </c>
      <c r="Q31" s="603">
        <f>R46*R49</f>
        <v>14.052390929637859</v>
      </c>
      <c r="R31" s="266" t="s">
        <v>59</v>
      </c>
      <c r="S31" s="564">
        <v>10</v>
      </c>
      <c r="T31" s="565">
        <v>25</v>
      </c>
      <c r="U31" s="292" t="s">
        <v>60</v>
      </c>
      <c r="V31" s="594">
        <f>2.65*W13-1.692*W14</f>
        <v>9.07196162023582</v>
      </c>
      <c r="W31" s="596" t="str">
        <f>IF(AND(V31&lt;P22,V31&gt;R22),"Normal","Abnormal")</f>
        <v>Abnormal</v>
      </c>
    </row>
    <row r="32" spans="2:23" ht="20.100000000000001" customHeight="1" thickTop="1" thickBot="1" x14ac:dyDescent="0.3">
      <c r="B32" s="224"/>
      <c r="C32" s="224"/>
      <c r="D32" s="308" t="s">
        <v>27</v>
      </c>
      <c r="E32" s="300">
        <f>F64/F66</f>
        <v>0.71613845534689502</v>
      </c>
      <c r="F32" s="301">
        <f>G47*G49</f>
        <v>0.73626812090859983</v>
      </c>
      <c r="G32" s="267" t="s">
        <v>60</v>
      </c>
      <c r="H32" s="261">
        <v>6</v>
      </c>
      <c r="I32" s="247">
        <v>15</v>
      </c>
      <c r="J32" s="291" t="s">
        <v>61</v>
      </c>
      <c r="K32" s="289">
        <f>3.0432*L14</f>
        <v>10.597935738136188</v>
      </c>
      <c r="L32" s="290" t="str">
        <f>IF(AND(K32&lt;E23,K32&gt;G23),"Normal","Abnormal")</f>
        <v>Abnormal</v>
      </c>
      <c r="M32" s="224"/>
      <c r="N32" s="224"/>
      <c r="O32" s="308" t="s">
        <v>27</v>
      </c>
      <c r="P32" s="602">
        <f>Q64/Q66</f>
        <v>0.71613845534689502</v>
      </c>
      <c r="Q32" s="603">
        <f>R47*R49</f>
        <v>0.73626812090859983</v>
      </c>
      <c r="R32" s="267" t="s">
        <v>60</v>
      </c>
      <c r="S32" s="564">
        <v>6</v>
      </c>
      <c r="T32" s="565">
        <v>15</v>
      </c>
      <c r="U32" s="291" t="s">
        <v>61</v>
      </c>
      <c r="V32" s="594">
        <f>3.0432*W14</f>
        <v>10.597935738136188</v>
      </c>
      <c r="W32" s="596" t="str">
        <f>IF(AND(V32&lt;P23,V32&gt;R23),"Normal","Abnormal")</f>
        <v>Abnormal</v>
      </c>
    </row>
    <row r="33" spans="2:23" ht="20.100000000000001" customHeight="1" thickTop="1" thickBot="1" x14ac:dyDescent="0.3">
      <c r="B33" s="224"/>
      <c r="C33" s="224"/>
      <c r="D33" s="309" t="s">
        <v>10</v>
      </c>
      <c r="E33" s="310">
        <f>SUM(E29:E32)</f>
        <v>100.00000000000003</v>
      </c>
      <c r="F33" s="311">
        <f>F30+F31+F32+F29</f>
        <v>100.00000000000003</v>
      </c>
      <c r="G33" s="266" t="s">
        <v>61</v>
      </c>
      <c r="H33" s="261">
        <v>6</v>
      </c>
      <c r="I33" s="247">
        <v>12</v>
      </c>
      <c r="J33" s="291" t="s">
        <v>102</v>
      </c>
      <c r="K33" s="289">
        <f>L17+0.659*L18</f>
        <v>0.92936743352014362</v>
      </c>
      <c r="L33" s="290" t="str">
        <f>IF(AND(K33&lt;E25,K33&gt;G25),"Normal","Abnormal")</f>
        <v>Abnormal</v>
      </c>
      <c r="M33" s="224"/>
      <c r="N33" s="224"/>
      <c r="O33" s="309" t="s">
        <v>10</v>
      </c>
      <c r="P33" s="604">
        <f>SUM(P29:P32)</f>
        <v>100.00000000000003</v>
      </c>
      <c r="Q33" s="605">
        <f>Q30+Q31+Q32+Q29</f>
        <v>100.00000000000003</v>
      </c>
      <c r="R33" s="266" t="s">
        <v>61</v>
      </c>
      <c r="S33" s="564">
        <v>6</v>
      </c>
      <c r="T33" s="565">
        <v>12</v>
      </c>
      <c r="U33" s="291" t="s">
        <v>102</v>
      </c>
      <c r="V33" s="594">
        <f>W17+0.659*W18</f>
        <v>0.92936743352014362</v>
      </c>
      <c r="W33" s="596" t="str">
        <f>IF(AND(V33&lt;P25,V33&gt;R25),"Normal","Abnormal")</f>
        <v>Abnormal</v>
      </c>
    </row>
    <row r="34" spans="2:23" ht="20.100000000000001" customHeight="1" thickTop="1" thickBot="1" x14ac:dyDescent="0.3">
      <c r="B34" s="224"/>
      <c r="C34" s="224"/>
      <c r="D34" s="224"/>
      <c r="E34" s="224"/>
      <c r="F34" s="224"/>
      <c r="G34" s="266" t="s">
        <v>102</v>
      </c>
      <c r="H34" s="261">
        <v>0.6</v>
      </c>
      <c r="I34" s="247">
        <v>1</v>
      </c>
      <c r="J34" s="291" t="s">
        <v>104</v>
      </c>
      <c r="K34" s="289">
        <f>3*L13+2.25*L14+L17+L16+L18+L19</f>
        <v>27.804001846274485</v>
      </c>
      <c r="L34" s="290" t="str">
        <f>IF(AND(K34&lt;I35,K34&gt;H35),"Normal","Abnormal")</f>
        <v>Normal</v>
      </c>
      <c r="M34" s="224"/>
      <c r="N34" s="224"/>
      <c r="O34" s="224"/>
      <c r="P34" s="224"/>
      <c r="Q34" s="224"/>
      <c r="R34" s="266" t="s">
        <v>102</v>
      </c>
      <c r="S34" s="564">
        <v>0.6</v>
      </c>
      <c r="T34" s="565">
        <v>1</v>
      </c>
      <c r="U34" s="291" t="s">
        <v>104</v>
      </c>
      <c r="V34" s="594">
        <f>3*W13+2.25*W14+W17+W16+W18+W19</f>
        <v>27.804001846274485</v>
      </c>
      <c r="W34" s="596" t="str">
        <f>IF(AND(V34&lt;T35,V34&gt;S35),"Normal","Abnormal")</f>
        <v>Normal</v>
      </c>
    </row>
    <row r="35" spans="2:23" ht="20.100000000000001" customHeight="1" thickTop="1" thickBot="1" x14ac:dyDescent="0.3">
      <c r="B35" s="224"/>
      <c r="C35" s="224"/>
      <c r="D35" s="224"/>
      <c r="E35" s="224"/>
      <c r="F35" s="224"/>
      <c r="G35" s="268" t="s">
        <v>166</v>
      </c>
      <c r="H35" s="261">
        <v>25</v>
      </c>
      <c r="I35" s="247">
        <v>28</v>
      </c>
      <c r="J35" s="291" t="s">
        <v>103</v>
      </c>
      <c r="K35" s="289">
        <f>K31+K32+0.2*K30+2*L14</f>
        <v>31.392151603723981</v>
      </c>
      <c r="L35" s="290" t="str">
        <f>IF(AND(K35&lt;I36,K35&gt;H36),"Normal Coating","Abnormal Coating")</f>
        <v>Abnormal Coating</v>
      </c>
      <c r="M35" s="224"/>
      <c r="N35" s="224"/>
      <c r="O35" s="224"/>
      <c r="P35" s="224"/>
      <c r="Q35" s="224"/>
      <c r="R35" s="268" t="s">
        <v>166</v>
      </c>
      <c r="S35" s="564">
        <v>25</v>
      </c>
      <c r="T35" s="565">
        <v>28</v>
      </c>
      <c r="U35" s="291" t="s">
        <v>103</v>
      </c>
      <c r="V35" s="594">
        <f>V31+V32+0.2*V30+2*W14</f>
        <v>31.392151603723981</v>
      </c>
      <c r="W35" s="596" t="str">
        <f>IF(AND(V35&lt;T36,V35&gt;S36),"Normal Coating","Abnormal Coating")</f>
        <v>Abnormal Coating</v>
      </c>
    </row>
    <row r="36" spans="2:23" ht="20.100000000000001" customHeight="1" thickTop="1" thickBot="1" x14ac:dyDescent="0.3">
      <c r="B36" s="224"/>
      <c r="C36" s="224"/>
      <c r="D36" s="1223" t="s">
        <v>174</v>
      </c>
      <c r="E36" s="1224"/>
      <c r="F36" s="224"/>
      <c r="G36" s="266" t="s">
        <v>103</v>
      </c>
      <c r="H36" s="261">
        <v>20</v>
      </c>
      <c r="I36" s="247">
        <v>30</v>
      </c>
      <c r="J36" s="291" t="s">
        <v>167</v>
      </c>
      <c r="K36" s="289">
        <f>L12/L13</f>
        <v>3.906977084745038</v>
      </c>
      <c r="L36" s="290" t="str">
        <f>IF(AND(K36&lt;H37,K36&gt;I37),"Normal","Abnormal Coating")</f>
        <v>Abnormal Coating</v>
      </c>
      <c r="M36" s="224"/>
      <c r="N36" s="224"/>
      <c r="O36" s="1223" t="s">
        <v>174</v>
      </c>
      <c r="P36" s="1224"/>
      <c r="Q36" s="224"/>
      <c r="R36" s="266" t="s">
        <v>103</v>
      </c>
      <c r="S36" s="564">
        <v>20</v>
      </c>
      <c r="T36" s="565">
        <v>30</v>
      </c>
      <c r="U36" s="291" t="s">
        <v>167</v>
      </c>
      <c r="V36" s="594">
        <f>W12/W13</f>
        <v>3.906977084745038</v>
      </c>
      <c r="W36" s="596" t="str">
        <f>IF(AND(V36&lt;S37,V36&gt;T37),"Normal","Abnormal Coating")</f>
        <v>Abnormal Coating</v>
      </c>
    </row>
    <row r="37" spans="2:23" ht="20.100000000000001" customHeight="1" thickTop="1" thickBot="1" x14ac:dyDescent="0.3">
      <c r="B37" s="224"/>
      <c r="C37" s="224"/>
      <c r="D37" s="1225"/>
      <c r="E37" s="1226"/>
      <c r="F37" s="224"/>
      <c r="G37" s="266" t="s">
        <v>167</v>
      </c>
      <c r="H37" s="261">
        <v>2.5</v>
      </c>
      <c r="I37" s="247">
        <v>3.5</v>
      </c>
      <c r="J37" s="291" t="s">
        <v>168</v>
      </c>
      <c r="K37" s="289">
        <f>(L24+(10*L25))-(3*(L16+K33))</f>
        <v>109.09672818609704</v>
      </c>
      <c r="L37" s="290" t="str">
        <f>IF(AND(K37&lt;I38,K37&gt;I38),"Normal","Abnormal")</f>
        <v>Abnormal</v>
      </c>
      <c r="M37" s="224"/>
      <c r="N37" s="224"/>
      <c r="O37" s="1225"/>
      <c r="P37" s="1226"/>
      <c r="Q37" s="224"/>
      <c r="R37" s="266" t="s">
        <v>167</v>
      </c>
      <c r="S37" s="564">
        <v>2.5</v>
      </c>
      <c r="T37" s="565">
        <v>3.5</v>
      </c>
      <c r="U37" s="291" t="s">
        <v>168</v>
      </c>
      <c r="V37" s="594">
        <f>(W24+(10*W25))-(3*(W16+V33))</f>
        <v>109.09672818609704</v>
      </c>
      <c r="W37" s="596" t="str">
        <f>IF(AND(V37&lt;T38,V37&gt;T38),"Normal","Abnormal")</f>
        <v>Abnormal</v>
      </c>
    </row>
    <row r="38" spans="2:23" ht="20.100000000000001" customHeight="1" thickTop="1" thickBot="1" x14ac:dyDescent="0.3">
      <c r="B38" s="224"/>
      <c r="C38" s="224"/>
      <c r="D38" s="319" t="s">
        <v>38</v>
      </c>
      <c r="E38" s="317">
        <v>100</v>
      </c>
      <c r="F38" s="224"/>
      <c r="G38" s="266" t="s">
        <v>168</v>
      </c>
      <c r="H38" s="261">
        <v>108</v>
      </c>
      <c r="I38" s="247">
        <v>120</v>
      </c>
      <c r="J38" s="293" t="s">
        <v>169</v>
      </c>
      <c r="K38" s="294">
        <f>K29/(K32+K31)</f>
        <v>2.6606644955349781</v>
      </c>
      <c r="L38" s="295" t="str">
        <f>IF(AND(K38&lt;H39,K38&gt;I39),"Normal","Abnormal")</f>
        <v>Abnormal</v>
      </c>
      <c r="M38" s="224"/>
      <c r="N38" s="224"/>
      <c r="O38" s="319" t="s">
        <v>38</v>
      </c>
      <c r="P38" s="560">
        <v>100</v>
      </c>
      <c r="Q38" s="224"/>
      <c r="R38" s="266" t="s">
        <v>168</v>
      </c>
      <c r="S38" s="564">
        <v>108</v>
      </c>
      <c r="T38" s="565">
        <v>120</v>
      </c>
      <c r="U38" s="293" t="s">
        <v>169</v>
      </c>
      <c r="V38" s="595">
        <f>V29/(V32+V31)</f>
        <v>2.6606644955349781</v>
      </c>
      <c r="W38" s="597" t="str">
        <f>IF(AND(V38&lt;S39,V38&gt;T39),"Normal","Abnormal")</f>
        <v>Abnormal</v>
      </c>
    </row>
    <row r="39" spans="2:23" ht="20.100000000000001" customHeight="1" thickTop="1" thickBot="1" x14ac:dyDescent="0.3">
      <c r="B39" s="224"/>
      <c r="C39" s="224"/>
      <c r="D39" s="320" t="s">
        <v>36</v>
      </c>
      <c r="E39" s="272">
        <v>2.5</v>
      </c>
      <c r="F39" s="224"/>
      <c r="G39" s="269" t="s">
        <v>169</v>
      </c>
      <c r="H39" s="286">
        <v>2.6</v>
      </c>
      <c r="I39" s="287">
        <v>4.5</v>
      </c>
      <c r="J39" s="1217" t="s">
        <v>107</v>
      </c>
      <c r="K39" s="1218"/>
      <c r="L39" s="315">
        <v>1</v>
      </c>
      <c r="M39" s="224"/>
      <c r="N39" s="224"/>
      <c r="O39" s="320" t="s">
        <v>36</v>
      </c>
      <c r="P39" s="561">
        <v>2.5</v>
      </c>
      <c r="Q39" s="224"/>
      <c r="R39" s="269" t="s">
        <v>169</v>
      </c>
      <c r="S39" s="566">
        <v>2.6</v>
      </c>
      <c r="T39" s="567">
        <v>4.5</v>
      </c>
      <c r="U39" s="1217" t="s">
        <v>107</v>
      </c>
      <c r="V39" s="1218"/>
      <c r="W39" s="568">
        <v>1</v>
      </c>
    </row>
    <row r="40" spans="2:23" ht="20.100000000000001" customHeight="1" thickTop="1" thickBot="1" x14ac:dyDescent="0.3">
      <c r="B40" s="224"/>
      <c r="C40" s="224"/>
      <c r="D40" s="318" t="s">
        <v>37</v>
      </c>
      <c r="E40" s="272">
        <v>1.5</v>
      </c>
      <c r="F40" s="224"/>
      <c r="G40" s="1221" t="s">
        <v>187</v>
      </c>
      <c r="H40" s="1222"/>
      <c r="I40" s="314">
        <v>1</v>
      </c>
      <c r="J40" s="1219" t="s">
        <v>45</v>
      </c>
      <c r="K40" s="1220"/>
      <c r="L40" s="313">
        <v>0.03</v>
      </c>
      <c r="M40" s="224"/>
      <c r="N40" s="224"/>
      <c r="O40" s="318" t="s">
        <v>37</v>
      </c>
      <c r="P40" s="561">
        <v>1.5</v>
      </c>
      <c r="Q40" s="224"/>
      <c r="R40" s="1221" t="s">
        <v>187</v>
      </c>
      <c r="S40" s="1222"/>
      <c r="T40" s="568">
        <v>1</v>
      </c>
      <c r="U40" s="1219" t="s">
        <v>45</v>
      </c>
      <c r="V40" s="1220"/>
      <c r="W40" s="569">
        <v>0.03</v>
      </c>
    </row>
    <row r="41" spans="2:23" ht="20.100000000000001" customHeight="1" thickTop="1" x14ac:dyDescent="0.25"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</row>
    <row r="42" spans="2:23" ht="20.100000000000001" customHeight="1" thickBot="1" x14ac:dyDescent="0.3">
      <c r="B42" s="224"/>
      <c r="C42" s="224"/>
      <c r="D42" s="503"/>
      <c r="E42" s="503"/>
      <c r="F42" s="503"/>
      <c r="G42" s="503"/>
      <c r="H42" s="503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</row>
    <row r="43" spans="2:23" ht="20.25" thickTop="1" thickBot="1" x14ac:dyDescent="0.3">
      <c r="B43" s="224"/>
      <c r="C43" s="224"/>
      <c r="D43" s="503"/>
      <c r="E43" s="516" t="s">
        <v>76</v>
      </c>
      <c r="F43" s="516"/>
      <c r="G43" s="447" t="s">
        <v>170</v>
      </c>
      <c r="H43" s="503"/>
      <c r="I43" s="224"/>
      <c r="J43" s="224"/>
      <c r="K43" s="224"/>
      <c r="L43" s="224"/>
      <c r="M43" s="224"/>
      <c r="N43" s="224"/>
      <c r="O43" s="224"/>
      <c r="P43" s="226" t="s">
        <v>76</v>
      </c>
      <c r="Q43" s="226"/>
      <c r="R43" s="316" t="s">
        <v>170</v>
      </c>
      <c r="S43" s="224"/>
      <c r="T43" s="224"/>
      <c r="U43" s="224"/>
      <c r="V43" s="224"/>
      <c r="W43" s="224"/>
    </row>
    <row r="44" spans="2:23" ht="17.25" thickTop="1" thickBot="1" x14ac:dyDescent="0.35">
      <c r="B44" s="224"/>
      <c r="C44" s="224"/>
      <c r="D44" s="503"/>
      <c r="E44" s="517" t="s">
        <v>78</v>
      </c>
      <c r="F44" s="517">
        <v>1</v>
      </c>
      <c r="G44" s="441">
        <f>E29/(1-(H22/100))</f>
        <v>84.526028453923885</v>
      </c>
      <c r="H44" s="503"/>
      <c r="I44" s="224"/>
      <c r="J44" s="224"/>
      <c r="K44" s="224"/>
      <c r="L44" s="224"/>
      <c r="M44" s="224"/>
      <c r="N44" s="224"/>
      <c r="O44" s="224"/>
      <c r="P44" s="227" t="s">
        <v>78</v>
      </c>
      <c r="Q44" s="505">
        <v>1</v>
      </c>
      <c r="R44" s="599">
        <f>P29/(1-(S22/100))</f>
        <v>84.526028453923885</v>
      </c>
      <c r="S44" s="224"/>
      <c r="T44" s="224"/>
      <c r="U44" s="224"/>
      <c r="V44" s="224"/>
      <c r="W44" s="224"/>
    </row>
    <row r="45" spans="2:23" ht="17.25" thickTop="1" thickBot="1" x14ac:dyDescent="0.35">
      <c r="B45" s="224"/>
      <c r="C45" s="224"/>
      <c r="D45" s="503"/>
      <c r="E45" s="517" t="s">
        <v>80</v>
      </c>
      <c r="F45" s="517">
        <v>1</v>
      </c>
      <c r="G45" s="441">
        <f>E30/(1-(F22/100))</f>
        <v>2.7178156275573411</v>
      </c>
      <c r="H45" s="503"/>
      <c r="I45" s="224"/>
      <c r="J45" s="224"/>
      <c r="K45" s="224"/>
      <c r="L45" s="224"/>
      <c r="M45" s="224"/>
      <c r="N45" s="224"/>
      <c r="O45" s="224"/>
      <c r="P45" s="227" t="s">
        <v>80</v>
      </c>
      <c r="Q45" s="505">
        <v>1</v>
      </c>
      <c r="R45" s="599">
        <f>P30/(1-(Q22/100))</f>
        <v>2.7178156275573411</v>
      </c>
      <c r="S45" s="224"/>
      <c r="T45" s="224"/>
      <c r="U45" s="224"/>
      <c r="V45" s="224"/>
      <c r="W45" s="224"/>
    </row>
    <row r="46" spans="2:23" ht="17.25" thickTop="1" thickBot="1" x14ac:dyDescent="0.35">
      <c r="B46" s="224"/>
      <c r="C46" s="224"/>
      <c r="D46" s="503"/>
      <c r="E46" s="517" t="s">
        <v>82</v>
      </c>
      <c r="F46" s="517">
        <v>1</v>
      </c>
      <c r="G46" s="441">
        <f>E31/(1-(G22/100))</f>
        <v>14.387575521955313</v>
      </c>
      <c r="H46" s="503"/>
      <c r="I46" s="224"/>
      <c r="J46" s="224"/>
      <c r="K46" s="224"/>
      <c r="L46" s="224"/>
      <c r="M46" s="224"/>
      <c r="N46" s="224"/>
      <c r="O46" s="224"/>
      <c r="P46" s="227" t="s">
        <v>82</v>
      </c>
      <c r="Q46" s="505">
        <v>1</v>
      </c>
      <c r="R46" s="599">
        <f>P31/(1-(R22/100))</f>
        <v>14.387575521955313</v>
      </c>
      <c r="S46" s="224"/>
      <c r="T46" s="224"/>
      <c r="U46" s="224"/>
      <c r="V46" s="224"/>
      <c r="W46" s="224"/>
    </row>
    <row r="47" spans="2:23" ht="17.25" thickTop="1" thickBot="1" x14ac:dyDescent="0.35">
      <c r="B47" s="224"/>
      <c r="C47" s="224"/>
      <c r="D47" s="503"/>
      <c r="E47" s="517" t="s">
        <v>84</v>
      </c>
      <c r="F47" s="517">
        <v>1</v>
      </c>
      <c r="G47" s="441">
        <f>E32/(1-(E22/100))</f>
        <v>0.75382995299673161</v>
      </c>
      <c r="H47" s="503"/>
      <c r="I47" s="224"/>
      <c r="J47" s="224"/>
      <c r="K47" s="224"/>
      <c r="L47" s="224"/>
      <c r="M47" s="224"/>
      <c r="N47" s="224"/>
      <c r="O47" s="224"/>
      <c r="P47" s="227" t="s">
        <v>84</v>
      </c>
      <c r="Q47" s="505">
        <v>1</v>
      </c>
      <c r="R47" s="599">
        <f>P32/(1-(P22/100))</f>
        <v>0.75382995299673161</v>
      </c>
      <c r="S47" s="224"/>
      <c r="T47" s="224"/>
      <c r="U47" s="224"/>
      <c r="V47" s="224"/>
      <c r="W47" s="224"/>
    </row>
    <row r="48" spans="2:23" ht="17.25" thickTop="1" thickBot="1" x14ac:dyDescent="0.35">
      <c r="B48" s="224"/>
      <c r="C48" s="224"/>
      <c r="D48" s="503"/>
      <c r="E48" s="517" t="s">
        <v>86</v>
      </c>
      <c r="F48" s="517">
        <v>100</v>
      </c>
      <c r="G48" s="518">
        <f>G45+G46+G47+G44</f>
        <v>102.38524955643328</v>
      </c>
      <c r="H48" s="503"/>
      <c r="I48" s="224"/>
      <c r="J48" s="224"/>
      <c r="K48" s="224"/>
      <c r="L48" s="224"/>
      <c r="M48" s="224"/>
      <c r="N48" s="224"/>
      <c r="O48" s="224"/>
      <c r="P48" s="227" t="s">
        <v>86</v>
      </c>
      <c r="Q48" s="505">
        <v>100</v>
      </c>
      <c r="R48" s="600">
        <f>R45+R46+R47+R44</f>
        <v>102.38524955643328</v>
      </c>
      <c r="S48" s="224"/>
      <c r="T48" s="224"/>
      <c r="U48" s="224"/>
      <c r="V48" s="224"/>
      <c r="W48" s="224"/>
    </row>
    <row r="49" spans="2:23" ht="16.5" thickTop="1" thickBot="1" x14ac:dyDescent="0.35">
      <c r="B49" s="224"/>
      <c r="C49" s="224"/>
      <c r="D49" s="503"/>
      <c r="E49" s="517" t="s">
        <v>87</v>
      </c>
      <c r="F49" s="517">
        <f>E40*H14-H13</f>
        <v>-0.21999999999999997</v>
      </c>
      <c r="G49" s="519">
        <f>E33/G48</f>
        <v>0.97670319145807682</v>
      </c>
      <c r="H49" s="503"/>
      <c r="I49" s="224"/>
      <c r="J49" s="224"/>
      <c r="K49" s="224"/>
      <c r="L49" s="224"/>
      <c r="M49" s="224"/>
      <c r="N49" s="224"/>
      <c r="O49" s="224"/>
      <c r="P49" s="227" t="s">
        <v>87</v>
      </c>
      <c r="Q49" s="505">
        <f>P40*S14-S13</f>
        <v>-0.21999999999999997</v>
      </c>
      <c r="R49" s="601">
        <f>P33/R48</f>
        <v>0.97670319145807682</v>
      </c>
      <c r="S49" s="224"/>
      <c r="T49" s="224"/>
      <c r="U49" s="224"/>
      <c r="V49" s="224"/>
      <c r="W49" s="224"/>
    </row>
    <row r="50" spans="2:23" ht="16.5" thickTop="1" thickBot="1" x14ac:dyDescent="0.35">
      <c r="B50" s="224"/>
      <c r="C50" s="224"/>
      <c r="D50" s="503"/>
      <c r="E50" s="517" t="s">
        <v>88</v>
      </c>
      <c r="F50" s="517">
        <f>E40*G14-G13</f>
        <v>0.5</v>
      </c>
      <c r="G50" s="503"/>
      <c r="H50" s="503"/>
      <c r="I50" s="224"/>
      <c r="J50" s="224"/>
      <c r="K50" s="224"/>
      <c r="L50" s="224"/>
      <c r="M50" s="224"/>
      <c r="N50" s="224"/>
      <c r="O50" s="224"/>
      <c r="P50" s="227" t="s">
        <v>88</v>
      </c>
      <c r="Q50" s="505">
        <f>P40*R14-R13</f>
        <v>0.5</v>
      </c>
      <c r="R50" s="224"/>
      <c r="S50" s="224"/>
      <c r="T50" s="224"/>
      <c r="U50" s="224"/>
      <c r="V50" s="224"/>
      <c r="W50" s="224"/>
    </row>
    <row r="51" spans="2:23" ht="16.5" thickTop="1" thickBot="1" x14ac:dyDescent="0.35">
      <c r="B51" s="224"/>
      <c r="C51" s="224"/>
      <c r="D51" s="503"/>
      <c r="E51" s="517" t="s">
        <v>89</v>
      </c>
      <c r="F51" s="517">
        <f>E40*E14-E13</f>
        <v>122.56</v>
      </c>
      <c r="G51" s="503"/>
      <c r="H51" s="503"/>
      <c r="I51" s="224"/>
      <c r="J51" s="224"/>
      <c r="K51" s="224"/>
      <c r="L51" s="224"/>
      <c r="M51" s="224"/>
      <c r="N51" s="224"/>
      <c r="O51" s="224"/>
      <c r="P51" s="227" t="s">
        <v>89</v>
      </c>
      <c r="Q51" s="505">
        <f>P40*P14-P13</f>
        <v>122.56</v>
      </c>
      <c r="R51" s="224"/>
      <c r="S51" s="224"/>
      <c r="T51" s="224"/>
      <c r="U51" s="224"/>
      <c r="V51" s="224"/>
      <c r="W51" s="224"/>
    </row>
    <row r="52" spans="2:23" ht="16.5" thickTop="1" thickBot="1" x14ac:dyDescent="0.35">
      <c r="B52" s="224"/>
      <c r="C52" s="224"/>
      <c r="D52" s="503"/>
      <c r="E52" s="517" t="s">
        <v>90</v>
      </c>
      <c r="F52" s="517">
        <f>E40*F14-F13</f>
        <v>-29</v>
      </c>
      <c r="G52" s="503"/>
      <c r="H52" s="503"/>
      <c r="I52" s="224"/>
      <c r="J52" s="224"/>
      <c r="K52" s="224"/>
      <c r="L52" s="224"/>
      <c r="M52" s="224"/>
      <c r="N52" s="224"/>
      <c r="O52" s="224"/>
      <c r="P52" s="227" t="s">
        <v>90</v>
      </c>
      <c r="Q52" s="505">
        <f>P40*Q14-Q13</f>
        <v>-29</v>
      </c>
      <c r="R52" s="224"/>
      <c r="S52" s="224"/>
      <c r="T52" s="224"/>
      <c r="U52" s="224"/>
      <c r="V52" s="224"/>
      <c r="W52" s="224"/>
    </row>
    <row r="53" spans="2:23" ht="16.5" thickTop="1" thickBot="1" x14ac:dyDescent="0.35">
      <c r="B53" s="224"/>
      <c r="C53" s="224"/>
      <c r="D53" s="503"/>
      <c r="E53" s="517" t="s">
        <v>92</v>
      </c>
      <c r="F53" s="517">
        <f>E39*H13+E39*H14-H12</f>
        <v>-0.31500000000000039</v>
      </c>
      <c r="G53" s="503"/>
      <c r="H53" s="503"/>
      <c r="I53" s="224"/>
      <c r="J53" s="224"/>
      <c r="K53" s="224"/>
      <c r="L53" s="224"/>
      <c r="M53" s="224"/>
      <c r="N53" s="224"/>
      <c r="O53" s="224"/>
      <c r="P53" s="227" t="s">
        <v>92</v>
      </c>
      <c r="Q53" s="505">
        <f>P39*S13+P39*S14-S12</f>
        <v>-0.31500000000000039</v>
      </c>
      <c r="R53" s="224"/>
      <c r="S53" s="224"/>
      <c r="T53" s="224"/>
      <c r="U53" s="224"/>
      <c r="V53" s="224"/>
      <c r="W53" s="224"/>
    </row>
    <row r="54" spans="2:23" ht="16.5" thickTop="1" thickBot="1" x14ac:dyDescent="0.35">
      <c r="B54" s="224"/>
      <c r="C54" s="224"/>
      <c r="D54" s="503"/>
      <c r="E54" s="517" t="s">
        <v>93</v>
      </c>
      <c r="F54" s="517">
        <f>E39*G13+E39*G14-G12</f>
        <v>-37.480000000000004</v>
      </c>
      <c r="G54" s="503"/>
      <c r="H54" s="503"/>
      <c r="I54" s="224"/>
      <c r="N54" s="224"/>
      <c r="O54" s="224"/>
      <c r="P54" s="227" t="s">
        <v>93</v>
      </c>
      <c r="Q54" s="505">
        <f>P39*R13+P39*R14-R12</f>
        <v>-37.480000000000004</v>
      </c>
      <c r="R54" s="224"/>
      <c r="S54" s="224"/>
      <c r="T54" s="224"/>
    </row>
    <row r="55" spans="2:23" ht="16.5" thickTop="1" thickBot="1" x14ac:dyDescent="0.35">
      <c r="B55" s="224"/>
      <c r="C55" s="224"/>
      <c r="D55" s="503"/>
      <c r="E55" s="517" t="s">
        <v>94</v>
      </c>
      <c r="F55" s="517">
        <f>E39*E13+E39*E14-E12</f>
        <v>203.44000000000003</v>
      </c>
      <c r="G55" s="503"/>
      <c r="H55" s="503"/>
      <c r="I55" s="224"/>
      <c r="N55" s="224"/>
      <c r="O55" s="224"/>
      <c r="P55" s="227" t="s">
        <v>94</v>
      </c>
      <c r="Q55" s="505">
        <f>P39*P13+P39*P14-P12</f>
        <v>203.44000000000003</v>
      </c>
      <c r="R55" s="224"/>
      <c r="S55" s="224"/>
      <c r="T55" s="224"/>
    </row>
    <row r="56" spans="2:23" ht="16.5" thickTop="1" thickBot="1" x14ac:dyDescent="0.35">
      <c r="B56" s="224"/>
      <c r="C56" s="224"/>
      <c r="D56" s="503"/>
      <c r="E56" s="517" t="s">
        <v>95</v>
      </c>
      <c r="F56" s="517">
        <f>E39*F13+E39*F14-F12</f>
        <v>151</v>
      </c>
      <c r="G56" s="503"/>
      <c r="H56" s="503"/>
      <c r="I56" s="224"/>
      <c r="N56" s="224"/>
      <c r="O56" s="224"/>
      <c r="P56" s="227" t="s">
        <v>95</v>
      </c>
      <c r="Q56" s="505">
        <f>P39*Q13+P39*Q14-Q12</f>
        <v>151</v>
      </c>
      <c r="R56" s="224"/>
      <c r="S56" s="224"/>
      <c r="T56" s="224"/>
    </row>
    <row r="57" spans="2:23" ht="16.5" thickTop="1" thickBot="1" x14ac:dyDescent="0.35">
      <c r="B57" s="224"/>
      <c r="C57" s="224"/>
      <c r="D57" s="503"/>
      <c r="E57" s="517" t="s">
        <v>96</v>
      </c>
      <c r="F57" s="517">
        <f>E38*2.8*H12+E38*1.18*H13+E38*0.65*H14-100*H15</f>
        <v>-4074.88</v>
      </c>
      <c r="G57" s="503"/>
      <c r="H57" s="503"/>
      <c r="I57" s="224"/>
      <c r="N57" s="224"/>
      <c r="O57" s="224"/>
      <c r="P57" s="227" t="s">
        <v>96</v>
      </c>
      <c r="Q57" s="505">
        <f>P38*2.8*S12+P38*1.18*S13+P38*0.65*S14-100*S15</f>
        <v>-4074.88</v>
      </c>
      <c r="R57" s="224"/>
      <c r="S57" s="224"/>
      <c r="T57" s="224"/>
    </row>
    <row r="58" spans="2:23" ht="16.5" thickTop="1" thickBot="1" x14ac:dyDescent="0.35">
      <c r="C58" s="224"/>
      <c r="D58" s="503"/>
      <c r="E58" s="517" t="s">
        <v>97</v>
      </c>
      <c r="F58" s="517">
        <f>E38*2.8*G12+E38*1.18*G13+E38*0.65*G14-100*G15</f>
        <v>22337.800000000003</v>
      </c>
      <c r="G58" s="503"/>
      <c r="H58" s="503"/>
      <c r="I58" s="224"/>
      <c r="N58" s="224"/>
      <c r="O58" s="224"/>
      <c r="P58" s="227" t="s">
        <v>97</v>
      </c>
      <c r="Q58" s="505">
        <f>P38*2.8*R12+P38*1.18*R13+P38*0.65*R14-100*R15</f>
        <v>22337.800000000003</v>
      </c>
      <c r="R58" s="224"/>
      <c r="S58" s="224"/>
      <c r="T58" s="224"/>
    </row>
    <row r="59" spans="2:23" ht="16.5" thickTop="1" thickBot="1" x14ac:dyDescent="0.35">
      <c r="C59" s="224"/>
      <c r="D59" s="503"/>
      <c r="E59" s="517" t="s">
        <v>98</v>
      </c>
      <c r="F59" s="517">
        <f>E38*2.8*E12+E38*1.18*E13+E38*0.65*E14-100*E15</f>
        <v>8192.4000000000015</v>
      </c>
      <c r="G59" s="503"/>
      <c r="H59" s="503"/>
      <c r="I59" s="224"/>
      <c r="N59" s="224"/>
      <c r="O59" s="224"/>
      <c r="P59" s="227" t="s">
        <v>98</v>
      </c>
      <c r="Q59" s="505">
        <f>P38*2.8*P12+P38*1.18*P13+P38*0.65*P14-100*P15</f>
        <v>8192.4000000000015</v>
      </c>
      <c r="R59" s="224"/>
      <c r="S59" s="224"/>
      <c r="T59" s="224"/>
    </row>
    <row r="60" spans="2:23" ht="16.5" thickTop="1" thickBot="1" x14ac:dyDescent="0.35">
      <c r="C60" s="224"/>
      <c r="D60" s="503"/>
      <c r="E60" s="517" t="s">
        <v>99</v>
      </c>
      <c r="F60" s="517">
        <f>E38*2.8*F12+E38*1.18*F13+E38*0.65*F14-100*F15</f>
        <v>8780</v>
      </c>
      <c r="G60" s="503"/>
      <c r="H60" s="503"/>
      <c r="I60" s="224"/>
      <c r="N60" s="224"/>
      <c r="O60" s="224"/>
      <c r="P60" s="227" t="s">
        <v>99</v>
      </c>
      <c r="Q60" s="505">
        <f>P38*2.8*Q12+P38*1.18*Q13+P38*0.65*Q14-100*Q15</f>
        <v>8780</v>
      </c>
      <c r="R60" s="224"/>
      <c r="S60" s="224"/>
      <c r="T60" s="224"/>
    </row>
    <row r="61" spans="2:23" ht="16.5" thickTop="1" thickBot="1" x14ac:dyDescent="0.3">
      <c r="C61" s="224"/>
      <c r="D61" s="503"/>
      <c r="E61" s="516" t="s">
        <v>77</v>
      </c>
      <c r="F61" s="516"/>
      <c r="G61" s="503"/>
      <c r="H61" s="503"/>
      <c r="I61" s="224"/>
      <c r="N61" s="224"/>
      <c r="O61" s="224"/>
      <c r="P61" s="226" t="s">
        <v>77</v>
      </c>
      <c r="Q61" s="598"/>
      <c r="R61" s="224"/>
      <c r="S61" s="224"/>
      <c r="T61" s="224"/>
    </row>
    <row r="62" spans="2:23" ht="16.5" thickTop="1" thickBot="1" x14ac:dyDescent="0.35">
      <c r="C62" s="224"/>
      <c r="D62" s="503"/>
      <c r="E62" s="520" t="s">
        <v>79</v>
      </c>
      <c r="F62" s="521">
        <f>(F48*F50*F55*F60)+(F48*F51*F56*F58)+(F48*F52*F54*F59)-(F48*F52*F55*F58)-(F48*F50*F56*F59)-(F48*F51*F54*F60)</f>
        <v>59469391216.800011</v>
      </c>
      <c r="G62" s="503"/>
      <c r="H62" s="503"/>
      <c r="I62" s="224"/>
      <c r="N62" s="224"/>
      <c r="O62" s="224"/>
      <c r="P62" s="228" t="s">
        <v>79</v>
      </c>
      <c r="Q62" s="507">
        <f>(Q48*Q50*Q55*Q60)+(Q48*Q51*Q56*Q58)+(Q48*Q52*Q54*Q59)-(Q48*Q52*Q55*Q58)-(Q48*Q50*Q56*Q59)-(Q48*Q51*Q54*Q60)</f>
        <v>59469391216.800011</v>
      </c>
      <c r="R62" s="224"/>
      <c r="S62" s="224"/>
      <c r="T62" s="224"/>
    </row>
    <row r="63" spans="2:23" ht="16.5" thickTop="1" thickBot="1" x14ac:dyDescent="0.35">
      <c r="C63" s="224"/>
      <c r="D63" s="503"/>
      <c r="E63" s="520" t="s">
        <v>81</v>
      </c>
      <c r="F63" s="521">
        <f>-F49*F48*F55*F60+F49*F48*F56*F59+F53*F48*F51*F60-F53*F48*F52*F59-F57*F48*F51*F56+F57*F48*F52*F55</f>
        <v>9915983665.1599998</v>
      </c>
      <c r="G63" s="503"/>
      <c r="H63" s="503"/>
      <c r="I63" s="224"/>
      <c r="N63" s="224"/>
      <c r="O63" s="224"/>
      <c r="P63" s="228" t="s">
        <v>81</v>
      </c>
      <c r="Q63" s="507">
        <f>-Q49*Q48*Q55*Q60+Q49*Q48*Q56*Q59+Q53*Q48*Q51*Q60-Q53*Q48*Q52*Q59-Q57*Q48*Q51*Q56+Q57*Q48*Q52*Q55</f>
        <v>9915983665.1599998</v>
      </c>
      <c r="R63" s="224"/>
      <c r="S63" s="224"/>
      <c r="T63" s="224"/>
    </row>
    <row r="64" spans="2:23" ht="16.5" thickTop="1" thickBot="1" x14ac:dyDescent="0.35">
      <c r="C64" s="224"/>
      <c r="D64" s="503"/>
      <c r="E64" s="520" t="s">
        <v>83</v>
      </c>
      <c r="F64" s="521">
        <f>-F49*F48*F56*F58+F49*F48*F54*F60+F53*F48*F52*F58-F53*F48*F50*F60-F57*F48*F52*F54+F57*F48*F50*F56</f>
        <v>514131186.66000009</v>
      </c>
      <c r="G64" s="503"/>
      <c r="H64" s="503"/>
      <c r="I64" s="224"/>
      <c r="N64" s="224"/>
      <c r="O64" s="224"/>
      <c r="P64" s="228" t="s">
        <v>83</v>
      </c>
      <c r="Q64" s="507">
        <f>-Q49*Q48*Q56*Q58+Q49*Q48*Q54*Q60+Q53*Q48*Q52*Q58-Q53*Q48*Q50*Q60-Q57*Q48*Q52*Q54+Q57*Q48*Q50*Q56</f>
        <v>514131186.66000009</v>
      </c>
      <c r="R64" s="224"/>
      <c r="S64" s="224"/>
      <c r="T64" s="224"/>
    </row>
    <row r="65" spans="3:20" ht="16.5" thickTop="1" thickBot="1" x14ac:dyDescent="0.35">
      <c r="C65" s="224"/>
      <c r="D65" s="503"/>
      <c r="E65" s="520" t="s">
        <v>85</v>
      </c>
      <c r="F65" s="521">
        <f>-F49*F48*F54*F59+F49*F48*F55*F58+F53*F48*F50*F59-F53*F48*F51*F58-F57*F48*F50*F55+F57*F48*F51*F54</f>
        <v>1892642896.6184003</v>
      </c>
      <c r="G65" s="503"/>
      <c r="H65" s="503"/>
      <c r="I65" s="224"/>
      <c r="N65" s="224"/>
      <c r="O65" s="224"/>
      <c r="P65" s="228" t="s">
        <v>85</v>
      </c>
      <c r="Q65" s="507">
        <f>-Q49*Q48*Q54*Q59+Q49*Q48*Q55*Q58+Q53*Q48*Q50*Q59-Q53*Q48*Q51*Q58-Q57*Q48*Q50*Q55+Q57*Q48*Q51*Q54</f>
        <v>1892642896.6184003</v>
      </c>
      <c r="R65" s="224"/>
      <c r="S65" s="224"/>
      <c r="T65" s="224"/>
    </row>
    <row r="66" spans="3:20" ht="16.5" thickTop="1" thickBot="1" x14ac:dyDescent="0.35">
      <c r="C66" s="224"/>
      <c r="D66" s="503"/>
      <c r="E66" s="520" t="s">
        <v>16</v>
      </c>
      <c r="F66" s="521">
        <f>(F50*F55*F60)+(F51*F56*F58)+(F52*F54*F59)-(F52*F55*F58)-(F50*F56*F59)-(F51*F54*F60)-(F49*F55*F60)-(F49*F56*F58)-(F49*F54*F59)+(F49*F55*F58)+(F49*F56*F59)+(F49*F54*F60)+(F53*F51*F60)+(F53*F52*F58)+(F53*F50*F59)-(F53*F51*F58)-(F53*F52*F59)-(F53*F50*F60)-(F57*F51*F56)-(F57*F52*F54)-(F57*F50*F55)+(F57*F51*F54)+(F57*F52*F55)+(F57*F50*F56)</f>
        <v>717921489.65238392</v>
      </c>
      <c r="G66" s="503"/>
      <c r="H66" s="503"/>
      <c r="I66" s="224"/>
      <c r="N66" s="224"/>
      <c r="O66" s="224"/>
      <c r="P66" s="228" t="s">
        <v>16</v>
      </c>
      <c r="Q66" s="507">
        <f>(Q50*Q55*Q60)+(Q51*Q56*Q58)+(Q52*Q54*Q59)-(Q52*Q55*Q58)-(Q50*Q56*Q59)-(Q51*Q54*Q60)-(Q49*Q55*Q60)-(Q49*Q56*Q58)-(Q49*Q54*Q59)+(Q49*Q55*Q58)+(Q49*Q56*Q59)+(Q49*Q54*Q60)+(Q53*Q51*Q60)+(Q53*Q52*Q58)+(Q53*Q50*Q59)-(Q53*Q51*Q58)-(Q53*Q52*Q59)-(Q53*Q50*Q60)-(Q57*Q51*Q56)-(Q57*Q52*Q54)-(Q57*Q50*Q55)+(Q57*Q51*Q54)+(Q57*Q52*Q55)+(Q57*Q50*Q56)</f>
        <v>717921489.65238392</v>
      </c>
      <c r="R66" s="224"/>
      <c r="S66" s="224"/>
      <c r="T66" s="224"/>
    </row>
    <row r="67" spans="3:20" ht="14.25" thickTop="1" x14ac:dyDescent="0.25">
      <c r="C67" s="224"/>
      <c r="D67" s="503"/>
      <c r="E67" s="503"/>
      <c r="F67" s="503"/>
      <c r="G67" s="503"/>
      <c r="H67" s="503"/>
      <c r="I67" s="224"/>
      <c r="N67" s="224"/>
      <c r="O67" s="224"/>
      <c r="P67" s="224"/>
      <c r="Q67" s="224"/>
      <c r="R67" s="224"/>
      <c r="S67" s="224"/>
      <c r="T67" s="224"/>
    </row>
    <row r="68" spans="3:20" ht="13.5" x14ac:dyDescent="0.25">
      <c r="C68" s="224"/>
      <c r="D68" s="503"/>
      <c r="E68" s="503"/>
      <c r="F68" s="503"/>
      <c r="G68" s="503"/>
      <c r="H68" s="503"/>
      <c r="I68" s="224"/>
      <c r="N68" s="224"/>
      <c r="O68" s="224"/>
      <c r="P68" s="224"/>
      <c r="Q68" s="224"/>
      <c r="R68" s="224"/>
      <c r="S68" s="224"/>
      <c r="T68" s="224"/>
    </row>
    <row r="69" spans="3:20" ht="27.75" x14ac:dyDescent="0.4">
      <c r="C69" s="224"/>
      <c r="D69" s="503"/>
      <c r="E69" s="1216" t="s">
        <v>194</v>
      </c>
      <c r="F69" s="1216"/>
      <c r="G69" s="1216"/>
      <c r="H69" s="503"/>
      <c r="I69" s="224"/>
      <c r="N69" s="224"/>
      <c r="O69" s="224"/>
      <c r="P69" s="224"/>
      <c r="Q69" s="224"/>
      <c r="R69" s="224"/>
      <c r="S69" s="224"/>
      <c r="T69" s="224"/>
    </row>
    <row r="70" spans="3:20" ht="13.5" x14ac:dyDescent="0.25">
      <c r="C70" s="224"/>
      <c r="D70" s="503"/>
      <c r="E70" s="503"/>
      <c r="F70" s="503"/>
      <c r="G70" s="503"/>
      <c r="H70" s="503"/>
      <c r="I70" s="224"/>
    </row>
    <row r="71" spans="3:20" ht="13.5" x14ac:dyDescent="0.25">
      <c r="C71" s="224"/>
      <c r="D71" s="224"/>
      <c r="E71" s="224"/>
      <c r="F71" s="224"/>
      <c r="G71" s="224"/>
      <c r="H71" s="224"/>
      <c r="I71" s="224"/>
    </row>
    <row r="72" spans="3:20" ht="13.5" x14ac:dyDescent="0.25">
      <c r="C72" s="224"/>
      <c r="D72" s="224"/>
      <c r="E72" s="224"/>
      <c r="F72" s="224"/>
      <c r="G72" s="224"/>
      <c r="H72" s="224"/>
      <c r="I72" s="224"/>
    </row>
    <row r="73" spans="3:20" ht="13.5" x14ac:dyDescent="0.25">
      <c r="E73" s="224"/>
      <c r="G73" s="224"/>
      <c r="I73" s="224"/>
    </row>
  </sheetData>
  <mergeCells count="22">
    <mergeCell ref="O36:P37"/>
    <mergeCell ref="U39:V39"/>
    <mergeCell ref="R40:S40"/>
    <mergeCell ref="U40:V40"/>
    <mergeCell ref="D9:L10"/>
    <mergeCell ref="K21:L22"/>
    <mergeCell ref="D27:F27"/>
    <mergeCell ref="G27:G28"/>
    <mergeCell ref="H27:I27"/>
    <mergeCell ref="J27:K27"/>
    <mergeCell ref="O9:W10"/>
    <mergeCell ref="V21:W22"/>
    <mergeCell ref="O27:Q27"/>
    <mergeCell ref="R27:R28"/>
    <mergeCell ref="S27:T27"/>
    <mergeCell ref="U27:V27"/>
    <mergeCell ref="E69:G69"/>
    <mergeCell ref="J39:K39"/>
    <mergeCell ref="J40:K40"/>
    <mergeCell ref="G40:H40"/>
    <mergeCell ref="D36:E37"/>
    <mergeCell ref="D6:L7"/>
  </mergeCells>
  <hyperlinks>
    <hyperlink ref="G35" r:id="rId1" display="LP@ 1450 C " xr:uid="{72A8AF28-776D-44C1-9552-1041D6F6B64B}"/>
    <hyperlink ref="R35" r:id="rId2" display="LP@ 1450 C " xr:uid="{5E51CDFB-C97B-4683-B08A-75700430E2F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 MATERIALS (LSF &amp; AM)</vt:lpstr>
      <vt:lpstr>RECIPE( LSF AND AM)</vt:lpstr>
      <vt:lpstr>3 MATERIALS(LSF &amp; SM)</vt:lpstr>
      <vt:lpstr>RECIPE( LSF AND SM)</vt:lpstr>
      <vt:lpstr>4  MATERIALS (LSF,SM &amp; AM)</vt:lpstr>
      <vt:lpstr>RECIPE (LSF,SM and AM)</vt:lpstr>
      <vt:lpstr>Fuel&amp; Clinker Factor</vt:lpstr>
      <vt:lpstr>RAWMIX DESIGN</vt:lpstr>
    </vt:vector>
  </TitlesOfParts>
  <Company>Cement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tkrapkat</dc:creator>
  <cp:lastModifiedBy>Franco Ortiz</cp:lastModifiedBy>
  <dcterms:created xsi:type="dcterms:W3CDTF">2014-03-19T23:00:19Z</dcterms:created>
  <dcterms:modified xsi:type="dcterms:W3CDTF">2025-05-20T19:26:23Z</dcterms:modified>
</cp:coreProperties>
</file>