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ndroid_App\ExcelLike_App-May2025\ExcelLike_App-May2025\resources\"/>
    </mc:Choice>
  </mc:AlternateContent>
  <xr:revisionPtr revIDLastSave="0" documentId="8_{A310B649-1AD5-4263-9EFF-4F715C9CCA71}" xr6:coauthVersionLast="47" xr6:coauthVersionMax="47" xr10:uidLastSave="{00000000-0000-0000-0000-000000000000}"/>
  <bookViews>
    <workbookView xWindow="-120" yWindow="-120" windowWidth="20640" windowHeight="11310" tabRatio="870" xr2:uid="{00000000-000D-0000-FFFF-FFFF00000000}"/>
  </bookViews>
  <sheets>
    <sheet name="3 MATERIALS (LSF &amp; AM)" sheetId="17" r:id="rId1"/>
    <sheet name="RECIPE( LSF AND AM)" sheetId="1" r:id="rId2"/>
    <sheet name="3 MATERIALS(LSF &amp; SM)" sheetId="16" r:id="rId3"/>
    <sheet name="RECIPE( LSF AND SM)" sheetId="5" r:id="rId4"/>
    <sheet name="4  MATERIALS (LSF,SM &amp; AM)" sheetId="15" r:id="rId5"/>
    <sheet name="RECIPE(LSF,SM &amp;AM)" sheetId="12" r:id="rId6"/>
    <sheet name="Fuel&amp; Clinker Facto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7" l="1"/>
  <c r="J27" i="7"/>
  <c r="L27" i="1"/>
  <c r="N25" i="16"/>
  <c r="K22" i="17"/>
  <c r="T10" i="17"/>
  <c r="I11" i="7"/>
  <c r="T17" i="17"/>
  <c r="J84" i="12"/>
  <c r="I84" i="12"/>
  <c r="D84" i="12"/>
  <c r="H83" i="12"/>
  <c r="D83" i="12"/>
  <c r="H82" i="12"/>
  <c r="D82" i="12"/>
  <c r="H81" i="12"/>
  <c r="D81" i="12"/>
  <c r="H80" i="12"/>
  <c r="N73" i="12"/>
  <c r="N72" i="12"/>
  <c r="N71" i="12"/>
  <c r="H71" i="12"/>
  <c r="G71" i="12"/>
  <c r="F71" i="12"/>
  <c r="E71" i="12"/>
  <c r="N70" i="12"/>
  <c r="H70" i="12"/>
  <c r="G70" i="12"/>
  <c r="F70" i="12"/>
  <c r="E70" i="12"/>
  <c r="N69" i="12"/>
  <c r="H69" i="12"/>
  <c r="G69" i="12"/>
  <c r="F69" i="12"/>
  <c r="E69" i="12"/>
  <c r="N68" i="12"/>
  <c r="H68" i="12"/>
  <c r="G68" i="12"/>
  <c r="F68" i="12"/>
  <c r="E68" i="12"/>
  <c r="N67" i="12"/>
  <c r="N66" i="12"/>
  <c r="N65" i="12"/>
  <c r="N64" i="12"/>
  <c r="N63" i="12"/>
  <c r="Q57" i="12" s="1"/>
  <c r="N62" i="12"/>
  <c r="J77" i="5"/>
  <c r="I77" i="5"/>
  <c r="E77" i="5"/>
  <c r="H76" i="5"/>
  <c r="H75" i="5"/>
  <c r="H74" i="5"/>
  <c r="E70" i="5"/>
  <c r="E76" i="5" s="1"/>
  <c r="E69" i="5"/>
  <c r="E75" i="5" s="1"/>
  <c r="E68" i="5"/>
  <c r="E74" i="5" s="1"/>
  <c r="H66" i="5"/>
  <c r="G66" i="5"/>
  <c r="F66" i="5"/>
  <c r="H65" i="5"/>
  <c r="G65" i="5"/>
  <c r="F65" i="5"/>
  <c r="H64" i="5"/>
  <c r="G64" i="5"/>
  <c r="F64" i="5"/>
  <c r="H63" i="5"/>
  <c r="G63" i="5"/>
  <c r="F63" i="5"/>
  <c r="M62" i="5"/>
  <c r="M61" i="5"/>
  <c r="M60" i="5"/>
  <c r="M58" i="5"/>
  <c r="M57" i="5"/>
  <c r="M56" i="5"/>
  <c r="I52" i="5"/>
  <c r="I59" i="5" s="1"/>
  <c r="J81" i="1"/>
  <c r="I81" i="1"/>
  <c r="E81" i="1"/>
  <c r="H80" i="1"/>
  <c r="H79" i="1"/>
  <c r="H78" i="1"/>
  <c r="E74" i="1"/>
  <c r="E80" i="1" s="1"/>
  <c r="E73" i="1"/>
  <c r="E79" i="1" s="1"/>
  <c r="E72" i="1"/>
  <c r="E78" i="1" s="1"/>
  <c r="H70" i="1"/>
  <c r="G70" i="1"/>
  <c r="F70" i="1"/>
  <c r="H69" i="1"/>
  <c r="G69" i="1"/>
  <c r="F69" i="1"/>
  <c r="H68" i="1"/>
  <c r="G68" i="1"/>
  <c r="F68" i="1"/>
  <c r="H67" i="1"/>
  <c r="G67" i="1"/>
  <c r="F67" i="1"/>
  <c r="M66" i="1"/>
  <c r="M65" i="1"/>
  <c r="M64" i="1"/>
  <c r="M62" i="1"/>
  <c r="M61" i="1"/>
  <c r="M60" i="1"/>
  <c r="I56" i="1"/>
  <c r="I63" i="1" s="1"/>
  <c r="I40" i="12"/>
  <c r="J40" i="12"/>
  <c r="J37" i="5"/>
  <c r="I37" i="5"/>
  <c r="I38" i="1"/>
  <c r="J38" i="1"/>
  <c r="M31" i="12"/>
  <c r="D37" i="12"/>
  <c r="D38" i="12"/>
  <c r="D39" i="12"/>
  <c r="D40" i="12"/>
  <c r="M34" i="12"/>
  <c r="M33" i="12"/>
  <c r="M32" i="12"/>
  <c r="M35" i="12" s="1"/>
  <c r="E37" i="12" s="1"/>
  <c r="L26" i="5"/>
  <c r="E37" i="5"/>
  <c r="L28" i="5"/>
  <c r="L27" i="5"/>
  <c r="L28" i="1"/>
  <c r="L29" i="1"/>
  <c r="E38" i="1"/>
  <c r="E35" i="1"/>
  <c r="E29" i="1"/>
  <c r="I59" i="1" l="1"/>
  <c r="I64" i="1"/>
  <c r="Q61" i="12"/>
  <c r="H73" i="12" s="1"/>
  <c r="Q59" i="12"/>
  <c r="H76" i="12" s="1"/>
  <c r="H57" i="12" s="1"/>
  <c r="Q60" i="12"/>
  <c r="H74" i="12" s="1"/>
  <c r="F57" i="12" s="1"/>
  <c r="M68" i="1"/>
  <c r="H73" i="1" s="1"/>
  <c r="Q58" i="12"/>
  <c r="H75" i="12" s="1"/>
  <c r="G57" i="12" s="1"/>
  <c r="L30" i="1"/>
  <c r="F36" i="1" s="1"/>
  <c r="L29" i="5"/>
  <c r="F35" i="5" s="1"/>
  <c r="E36" i="12"/>
  <c r="I60" i="5"/>
  <c r="I66" i="1"/>
  <c r="E39" i="12"/>
  <c r="I62" i="5"/>
  <c r="I55" i="5"/>
  <c r="H84" i="12"/>
  <c r="E80" i="12" s="1"/>
  <c r="E38" i="12"/>
  <c r="I56" i="5"/>
  <c r="H77" i="5"/>
  <c r="F76" i="5" s="1"/>
  <c r="I58" i="5"/>
  <c r="I53" i="5"/>
  <c r="I61" i="5"/>
  <c r="M64" i="5"/>
  <c r="H69" i="5" s="1"/>
  <c r="I54" i="5"/>
  <c r="I57" i="5"/>
  <c r="I60" i="1"/>
  <c r="H81" i="1"/>
  <c r="F80" i="1" s="1"/>
  <c r="H72" i="1"/>
  <c r="I62" i="1"/>
  <c r="I57" i="1"/>
  <c r="I65" i="1"/>
  <c r="I58" i="1"/>
  <c r="I70" i="1" s="1"/>
  <c r="I61" i="1"/>
  <c r="O61" i="15"/>
  <c r="R58" i="15"/>
  <c r="Z55" i="15"/>
  <c r="Y55" i="15"/>
  <c r="X55" i="15"/>
  <c r="W55" i="15"/>
  <c r="V55" i="15"/>
  <c r="Z53" i="15"/>
  <c r="I55" i="15" s="1"/>
  <c r="Y53" i="15"/>
  <c r="I54" i="15" s="1"/>
  <c r="X53" i="15"/>
  <c r="W53" i="15"/>
  <c r="I53" i="15" s="1"/>
  <c r="U53" i="15"/>
  <c r="N58" i="15" s="1"/>
  <c r="T61" i="15" s="1"/>
  <c r="T50" i="15"/>
  <c r="S50" i="15"/>
  <c r="R50" i="15"/>
  <c r="Q50" i="15"/>
  <c r="P50" i="15"/>
  <c r="O50" i="15"/>
  <c r="N50" i="15"/>
  <c r="M50" i="15"/>
  <c r="L50" i="15"/>
  <c r="T49" i="15"/>
  <c r="S49" i="15"/>
  <c r="R49" i="15"/>
  <c r="Q49" i="15"/>
  <c r="P49" i="15"/>
  <c r="O49" i="15"/>
  <c r="N49" i="15"/>
  <c r="M49" i="15"/>
  <c r="L49" i="15"/>
  <c r="T47" i="15"/>
  <c r="S47" i="15"/>
  <c r="R47" i="15"/>
  <c r="Q47" i="15"/>
  <c r="P47" i="15"/>
  <c r="O47" i="15"/>
  <c r="N47" i="15"/>
  <c r="M47" i="15"/>
  <c r="L47" i="15"/>
  <c r="Z45" i="15"/>
  <c r="Y45" i="15"/>
  <c r="X45" i="15"/>
  <c r="W45" i="15"/>
  <c r="U45" i="15"/>
  <c r="V45" i="15" s="1"/>
  <c r="Z44" i="15"/>
  <c r="Y44" i="15"/>
  <c r="X44" i="15"/>
  <c r="W44" i="15"/>
  <c r="U44" i="15"/>
  <c r="V44" i="15" s="1"/>
  <c r="Z43" i="15"/>
  <c r="Y43" i="15"/>
  <c r="X43" i="15"/>
  <c r="W43" i="15"/>
  <c r="U43" i="15"/>
  <c r="V43" i="15" s="1"/>
  <c r="K43" i="15"/>
  <c r="J43" i="15"/>
  <c r="I43" i="15"/>
  <c r="Z42" i="15"/>
  <c r="Y42" i="15"/>
  <c r="Y48" i="15" s="1"/>
  <c r="X42" i="15"/>
  <c r="X48" i="15" s="1"/>
  <c r="W42" i="15"/>
  <c r="U42" i="15"/>
  <c r="G42" i="15"/>
  <c r="N60" i="16"/>
  <c r="Q57" i="16"/>
  <c r="Y54" i="16"/>
  <c r="X54" i="16"/>
  <c r="W54" i="16"/>
  <c r="V54" i="16"/>
  <c r="U54" i="16"/>
  <c r="Y52" i="16"/>
  <c r="X52" i="16"/>
  <c r="H53" i="16" s="1"/>
  <c r="W52" i="16"/>
  <c r="V52" i="16"/>
  <c r="H52" i="16" s="1"/>
  <c r="T52" i="16"/>
  <c r="P57" i="16" s="1"/>
  <c r="U60" i="16" s="1"/>
  <c r="S49" i="16"/>
  <c r="R49" i="16"/>
  <c r="Q49" i="16"/>
  <c r="P49" i="16"/>
  <c r="O49" i="16"/>
  <c r="N49" i="16"/>
  <c r="M49" i="16"/>
  <c r="L49" i="16"/>
  <c r="K49" i="16"/>
  <c r="S48" i="16"/>
  <c r="R48" i="16"/>
  <c r="Q48" i="16"/>
  <c r="P48" i="16"/>
  <c r="O48" i="16"/>
  <c r="N48" i="16"/>
  <c r="M48" i="16"/>
  <c r="L48" i="16"/>
  <c r="K48" i="16"/>
  <c r="S46" i="16"/>
  <c r="R46" i="16"/>
  <c r="Q46" i="16"/>
  <c r="P46" i="16"/>
  <c r="O46" i="16"/>
  <c r="N46" i="16"/>
  <c r="M46" i="16"/>
  <c r="L46" i="16"/>
  <c r="K46" i="16"/>
  <c r="Y44" i="16"/>
  <c r="X44" i="16"/>
  <c r="W44" i="16"/>
  <c r="V44" i="16"/>
  <c r="T44" i="16"/>
  <c r="U44" i="16" s="1"/>
  <c r="Y43" i="16"/>
  <c r="X43" i="16"/>
  <c r="W43" i="16"/>
  <c r="V43" i="16"/>
  <c r="T43" i="16"/>
  <c r="U43" i="16" s="1"/>
  <c r="Y42" i="16"/>
  <c r="X42" i="16"/>
  <c r="W42" i="16"/>
  <c r="V42" i="16"/>
  <c r="U42" i="16"/>
  <c r="T42" i="16"/>
  <c r="I42" i="16"/>
  <c r="H42" i="16"/>
  <c r="Y41" i="16"/>
  <c r="Y49" i="16" s="1"/>
  <c r="X41" i="16"/>
  <c r="X48" i="16" s="1"/>
  <c r="W41" i="16"/>
  <c r="V41" i="16"/>
  <c r="T41" i="16"/>
  <c r="J41" i="16"/>
  <c r="N60" i="17"/>
  <c r="Q57" i="17"/>
  <c r="Y54" i="17"/>
  <c r="X54" i="17"/>
  <c r="W54" i="17"/>
  <c r="V54" i="17"/>
  <c r="U54" i="17"/>
  <c r="Y52" i="17"/>
  <c r="H53" i="17" s="1"/>
  <c r="X52" i="17"/>
  <c r="W52" i="17"/>
  <c r="V52" i="17"/>
  <c r="H52" i="17" s="1"/>
  <c r="T52" i="17"/>
  <c r="P57" i="17" s="1"/>
  <c r="Y48" i="17"/>
  <c r="X48" i="17"/>
  <c r="W48" i="17"/>
  <c r="V48" i="17"/>
  <c r="T48" i="17"/>
  <c r="U48" i="17" s="1"/>
  <c r="Y47" i="17"/>
  <c r="X47" i="17"/>
  <c r="W47" i="17"/>
  <c r="V47" i="17"/>
  <c r="T47" i="17"/>
  <c r="U47" i="17" s="1"/>
  <c r="Y46" i="17"/>
  <c r="X46" i="17"/>
  <c r="W46" i="17"/>
  <c r="V46" i="17"/>
  <c r="T46" i="17"/>
  <c r="U46" i="17" s="1"/>
  <c r="H46" i="17"/>
  <c r="Y45" i="17"/>
  <c r="X45" i="17"/>
  <c r="W45" i="17"/>
  <c r="V45" i="17"/>
  <c r="T45" i="17"/>
  <c r="J45" i="17"/>
  <c r="G45" i="17" s="1"/>
  <c r="V31" i="7"/>
  <c r="V26" i="7"/>
  <c r="V27" i="7" s="1"/>
  <c r="U14" i="7"/>
  <c r="U13" i="7"/>
  <c r="V12" i="7" s="1"/>
  <c r="U11" i="7"/>
  <c r="U10" i="7"/>
  <c r="V9" i="7" s="1"/>
  <c r="V7" i="7"/>
  <c r="V6" i="7"/>
  <c r="H11" i="17"/>
  <c r="H12" i="17" s="1"/>
  <c r="H77" i="12" l="1"/>
  <c r="E57" i="12"/>
  <c r="I57" i="12" s="1"/>
  <c r="Z48" i="15"/>
  <c r="I68" i="1"/>
  <c r="I66" i="5"/>
  <c r="F78" i="1"/>
  <c r="F79" i="1"/>
  <c r="F34" i="5"/>
  <c r="F36" i="5"/>
  <c r="Z49" i="15"/>
  <c r="M57" i="16"/>
  <c r="S60" i="16" s="1"/>
  <c r="N57" i="16"/>
  <c r="T47" i="16"/>
  <c r="V49" i="16"/>
  <c r="V8" i="7"/>
  <c r="V16" i="7" s="1"/>
  <c r="R57" i="16"/>
  <c r="T60" i="16" s="1"/>
  <c r="I44" i="15"/>
  <c r="I45" i="15" s="1"/>
  <c r="I46" i="15" s="1"/>
  <c r="V46" i="16"/>
  <c r="V47" i="16"/>
  <c r="U52" i="16"/>
  <c r="H68" i="5"/>
  <c r="W48" i="16"/>
  <c r="U49" i="15"/>
  <c r="X49" i="16"/>
  <c r="T48" i="16"/>
  <c r="W50" i="15"/>
  <c r="E40" i="12"/>
  <c r="F35" i="1"/>
  <c r="F37" i="5"/>
  <c r="F37" i="1"/>
  <c r="M57" i="17"/>
  <c r="S60" i="17" s="1"/>
  <c r="U60" i="17"/>
  <c r="U52" i="17"/>
  <c r="E83" i="12"/>
  <c r="E81" i="12"/>
  <c r="E82" i="12"/>
  <c r="I65" i="5"/>
  <c r="I63" i="5"/>
  <c r="H70" i="5"/>
  <c r="H71" i="5" s="1"/>
  <c r="F75" i="5"/>
  <c r="I64" i="5"/>
  <c r="F74" i="5"/>
  <c r="F77" i="5" s="1"/>
  <c r="I69" i="1"/>
  <c r="I67" i="1"/>
  <c r="H74" i="1"/>
  <c r="H75" i="1" s="1"/>
  <c r="U48" i="15"/>
  <c r="W49" i="15"/>
  <c r="O58" i="15"/>
  <c r="S58" i="15"/>
  <c r="J44" i="15"/>
  <c r="X47" i="15"/>
  <c r="W48" i="15"/>
  <c r="X49" i="15"/>
  <c r="U50" i="15"/>
  <c r="Y50" i="15"/>
  <c r="V53" i="15"/>
  <c r="L58" i="15"/>
  <c r="P58" i="15"/>
  <c r="T58" i="15"/>
  <c r="H43" i="15"/>
  <c r="W47" i="15"/>
  <c r="X50" i="15"/>
  <c r="V42" i="15"/>
  <c r="K44" i="15"/>
  <c r="K45" i="15" s="1"/>
  <c r="K46" i="15" s="1"/>
  <c r="U47" i="15"/>
  <c r="Y47" i="15"/>
  <c r="Y49" i="15"/>
  <c r="Z50" i="15"/>
  <c r="M58" i="15"/>
  <c r="Q58" i="15"/>
  <c r="V61" i="15" s="1"/>
  <c r="Z47" i="15"/>
  <c r="W46" i="16"/>
  <c r="T46" i="16"/>
  <c r="X46" i="16"/>
  <c r="W47" i="16"/>
  <c r="Y48" i="16"/>
  <c r="W49" i="16"/>
  <c r="K57" i="16"/>
  <c r="O57" i="16"/>
  <c r="S57" i="16"/>
  <c r="U41" i="16"/>
  <c r="J42" i="16"/>
  <c r="G42" i="16" s="1"/>
  <c r="H43" i="16"/>
  <c r="Y46" i="16"/>
  <c r="X47" i="16"/>
  <c r="V48" i="16"/>
  <c r="T49" i="16"/>
  <c r="L57" i="16"/>
  <c r="G41" i="16"/>
  <c r="I43" i="16"/>
  <c r="I44" i="16" s="1"/>
  <c r="I45" i="16" s="1"/>
  <c r="Y47" i="16"/>
  <c r="N57" i="17"/>
  <c r="R57" i="17"/>
  <c r="T60" i="17" s="1"/>
  <c r="K57" i="17"/>
  <c r="O57" i="17"/>
  <c r="S57" i="17"/>
  <c r="U45" i="17"/>
  <c r="J46" i="17"/>
  <c r="I46" i="17" s="1"/>
  <c r="H47" i="17"/>
  <c r="L57" i="17"/>
  <c r="J7" i="7"/>
  <c r="V57" i="16" l="1"/>
  <c r="I47" i="15"/>
  <c r="I50" i="15"/>
  <c r="F81" i="1"/>
  <c r="V18" i="7"/>
  <c r="V32" i="7"/>
  <c r="V33" i="7" s="1"/>
  <c r="K47" i="15"/>
  <c r="I49" i="15"/>
  <c r="F38" i="1"/>
  <c r="E84" i="12"/>
  <c r="W58" i="15"/>
  <c r="Q61" i="15"/>
  <c r="X58" i="15"/>
  <c r="U58" i="15"/>
  <c r="R61" i="15"/>
  <c r="Y58" i="15"/>
  <c r="J45" i="15"/>
  <c r="H44" i="15"/>
  <c r="G44" i="15" s="1"/>
  <c r="K49" i="15"/>
  <c r="K50" i="15"/>
  <c r="V49" i="15"/>
  <c r="V47" i="15"/>
  <c r="V50" i="15"/>
  <c r="W61" i="15"/>
  <c r="S61" i="15"/>
  <c r="Z58" i="15"/>
  <c r="G43" i="15"/>
  <c r="U61" i="15"/>
  <c r="T57" i="16"/>
  <c r="Q60" i="16"/>
  <c r="X57" i="16"/>
  <c r="W57" i="16"/>
  <c r="V60" i="16"/>
  <c r="R60" i="16"/>
  <c r="Y57" i="16"/>
  <c r="H44" i="16"/>
  <c r="H48" i="16" s="1"/>
  <c r="J43" i="16"/>
  <c r="G43" i="16" s="1"/>
  <c r="U49" i="16"/>
  <c r="U46" i="16"/>
  <c r="U48" i="16"/>
  <c r="I48" i="16"/>
  <c r="I46" i="16"/>
  <c r="P60" i="16"/>
  <c r="I49" i="16"/>
  <c r="G46" i="17"/>
  <c r="T57" i="17"/>
  <c r="Q60" i="17"/>
  <c r="X57" i="17"/>
  <c r="V57" i="17"/>
  <c r="P60" i="17"/>
  <c r="W57" i="17"/>
  <c r="J47" i="17"/>
  <c r="J48" i="17" s="1"/>
  <c r="J49" i="17" s="1"/>
  <c r="V60" i="17"/>
  <c r="R60" i="17"/>
  <c r="Y57" i="17"/>
  <c r="H48" i="17"/>
  <c r="X61" i="15" l="1"/>
  <c r="I47" i="17"/>
  <c r="G47" i="17" s="1"/>
  <c r="W60" i="16"/>
  <c r="W60" i="17"/>
  <c r="J46" i="15"/>
  <c r="H46" i="15" s="1"/>
  <c r="G46" i="15" s="1"/>
  <c r="J50" i="15"/>
  <c r="H45" i="15"/>
  <c r="G45" i="15" s="1"/>
  <c r="J49" i="15"/>
  <c r="J47" i="15"/>
  <c r="H45" i="16"/>
  <c r="J44" i="16"/>
  <c r="J48" i="16" s="1"/>
  <c r="H46" i="16"/>
  <c r="H49" i="16"/>
  <c r="H49" i="17"/>
  <c r="I48" i="17"/>
  <c r="H50" i="15" l="1"/>
  <c r="J49" i="16"/>
  <c r="G44" i="16"/>
  <c r="H49" i="15"/>
  <c r="H47" i="15"/>
  <c r="J46" i="16"/>
  <c r="J45" i="16"/>
  <c r="G45" i="16" s="1"/>
  <c r="I49" i="17"/>
  <c r="G49" i="17" s="1"/>
  <c r="G48" i="17"/>
  <c r="N25" i="17"/>
  <c r="H13" i="17" l="1"/>
  <c r="H14" i="17" s="1"/>
  <c r="Q22" i="17"/>
  <c r="Y19" i="17"/>
  <c r="X19" i="17"/>
  <c r="W19" i="17"/>
  <c r="V19" i="17"/>
  <c r="U19" i="17"/>
  <c r="Y17" i="17"/>
  <c r="H18" i="17" s="1"/>
  <c r="X17" i="17"/>
  <c r="W17" i="17"/>
  <c r="V17" i="17"/>
  <c r="H17" i="17" s="1"/>
  <c r="M22" i="17"/>
  <c r="S25" i="17" s="1"/>
  <c r="Y13" i="17"/>
  <c r="X13" i="17"/>
  <c r="W13" i="17"/>
  <c r="V13" i="17"/>
  <c r="T13" i="17"/>
  <c r="U13" i="17" s="1"/>
  <c r="Y12" i="17"/>
  <c r="X12" i="17"/>
  <c r="W12" i="17"/>
  <c r="V12" i="17"/>
  <c r="T12" i="17"/>
  <c r="U12" i="17" s="1"/>
  <c r="Y11" i="17"/>
  <c r="X11" i="17"/>
  <c r="W11" i="17"/>
  <c r="V11" i="17"/>
  <c r="T11" i="17"/>
  <c r="U11" i="17" s="1"/>
  <c r="Y10" i="17"/>
  <c r="X10" i="17"/>
  <c r="W10" i="17"/>
  <c r="V10" i="17"/>
  <c r="J10" i="17"/>
  <c r="J11" i="17" s="1"/>
  <c r="I11" i="17" s="1"/>
  <c r="J10" i="16"/>
  <c r="G10" i="16" s="1"/>
  <c r="I11" i="16"/>
  <c r="I12" i="16" s="1"/>
  <c r="I13" i="16" s="1"/>
  <c r="I14" i="16" s="1"/>
  <c r="H11" i="16"/>
  <c r="Q22" i="16"/>
  <c r="Y19" i="16"/>
  <c r="X19" i="16"/>
  <c r="W19" i="16"/>
  <c r="V19" i="16"/>
  <c r="U19" i="16"/>
  <c r="Y17" i="16"/>
  <c r="X17" i="16"/>
  <c r="H18" i="16" s="1"/>
  <c r="W17" i="16"/>
  <c r="V17" i="16"/>
  <c r="H17" i="16" s="1"/>
  <c r="T17" i="16"/>
  <c r="R22" i="16" s="1"/>
  <c r="Y13" i="16"/>
  <c r="X13" i="16"/>
  <c r="W13" i="16"/>
  <c r="V13" i="16"/>
  <c r="T13" i="16"/>
  <c r="U13" i="16" s="1"/>
  <c r="Y12" i="16"/>
  <c r="X12" i="16"/>
  <c r="W12" i="16"/>
  <c r="V12" i="16"/>
  <c r="T12" i="16"/>
  <c r="U12" i="16" s="1"/>
  <c r="Y11" i="16"/>
  <c r="X11" i="16"/>
  <c r="W11" i="16"/>
  <c r="V11" i="16"/>
  <c r="T11" i="16"/>
  <c r="U11" i="16" s="1"/>
  <c r="Y10" i="16"/>
  <c r="X10" i="16"/>
  <c r="W10" i="16"/>
  <c r="V10" i="16"/>
  <c r="T10" i="16"/>
  <c r="I11" i="15"/>
  <c r="R22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V19" i="15"/>
  <c r="W19" i="15"/>
  <c r="X19" i="15"/>
  <c r="Y19" i="15"/>
  <c r="Z19" i="15"/>
  <c r="O25" i="15"/>
  <c r="Z17" i="15"/>
  <c r="I19" i="15" s="1"/>
  <c r="Y17" i="15"/>
  <c r="I18" i="15" s="1"/>
  <c r="X17" i="15"/>
  <c r="W17" i="15"/>
  <c r="I17" i="15" s="1"/>
  <c r="U17" i="15"/>
  <c r="V17" i="15" s="1"/>
  <c r="U13" i="15"/>
  <c r="V13" i="15" s="1"/>
  <c r="U12" i="15"/>
  <c r="V12" i="15" s="1"/>
  <c r="U11" i="15"/>
  <c r="V11" i="15" s="1"/>
  <c r="K11" i="15"/>
  <c r="J11" i="15"/>
  <c r="Z10" i="15"/>
  <c r="Y10" i="15"/>
  <c r="X10" i="15"/>
  <c r="W10" i="15"/>
  <c r="U10" i="15"/>
  <c r="G10" i="15"/>
  <c r="J11" i="16" l="1"/>
  <c r="G11" i="16" s="1"/>
  <c r="H12" i="16"/>
  <c r="H13" i="16" s="1"/>
  <c r="H14" i="16" s="1"/>
  <c r="J12" i="17"/>
  <c r="J13" i="17" s="1"/>
  <c r="J14" i="17" s="1"/>
  <c r="M22" i="15"/>
  <c r="Z22" i="15" s="1"/>
  <c r="Q22" i="15"/>
  <c r="V25" i="15" s="1"/>
  <c r="J12" i="16"/>
  <c r="G12" i="16" s="1"/>
  <c r="N22" i="15"/>
  <c r="T25" i="15" s="1"/>
  <c r="S22" i="15"/>
  <c r="U10" i="17"/>
  <c r="L22" i="15"/>
  <c r="O22" i="15"/>
  <c r="P22" i="15"/>
  <c r="T22" i="15"/>
  <c r="R22" i="17"/>
  <c r="G10" i="17"/>
  <c r="U17" i="17"/>
  <c r="O22" i="17"/>
  <c r="S22" i="17"/>
  <c r="L22" i="17"/>
  <c r="R25" i="17" s="1"/>
  <c r="P22" i="17"/>
  <c r="U25" i="17" s="1"/>
  <c r="N22" i="17"/>
  <c r="P22" i="16"/>
  <c r="U25" i="16" s="1"/>
  <c r="K22" i="16"/>
  <c r="L22" i="16"/>
  <c r="S22" i="16"/>
  <c r="O22" i="16"/>
  <c r="U10" i="16"/>
  <c r="M22" i="16"/>
  <c r="S25" i="16" s="1"/>
  <c r="U17" i="16"/>
  <c r="N22" i="16"/>
  <c r="J12" i="15"/>
  <c r="J13" i="15" s="1"/>
  <c r="J14" i="15" s="1"/>
  <c r="V10" i="15"/>
  <c r="K12" i="15"/>
  <c r="H11" i="15"/>
  <c r="I12" i="15"/>
  <c r="J13" i="16" l="1"/>
  <c r="G13" i="16" s="1"/>
  <c r="T25" i="17"/>
  <c r="U22" i="15"/>
  <c r="W25" i="15"/>
  <c r="W22" i="15"/>
  <c r="X22" i="15"/>
  <c r="Y22" i="15"/>
  <c r="P25" i="16"/>
  <c r="I12" i="17"/>
  <c r="U25" i="15"/>
  <c r="R25" i="15"/>
  <c r="I13" i="17"/>
  <c r="Q25" i="16"/>
  <c r="S25" i="15"/>
  <c r="R25" i="16"/>
  <c r="Q25" i="17"/>
  <c r="Q25" i="15"/>
  <c r="T25" i="16"/>
  <c r="J14" i="16"/>
  <c r="G14" i="16" s="1"/>
  <c r="P25" i="17"/>
  <c r="V22" i="17"/>
  <c r="W22" i="17"/>
  <c r="I14" i="17"/>
  <c r="T22" i="17"/>
  <c r="X22" i="17"/>
  <c r="V25" i="17"/>
  <c r="Y22" i="17"/>
  <c r="T22" i="16"/>
  <c r="Y22" i="16"/>
  <c r="X22" i="16"/>
  <c r="V25" i="16"/>
  <c r="W22" i="16"/>
  <c r="V22" i="16"/>
  <c r="I13" i="15"/>
  <c r="H12" i="15"/>
  <c r="G12" i="15" s="1"/>
  <c r="K13" i="15"/>
  <c r="G11" i="15"/>
  <c r="X25" i="15"/>
  <c r="W25" i="17" l="1"/>
  <c r="W25" i="16"/>
  <c r="K14" i="15"/>
  <c r="I14" i="15"/>
  <c r="H13" i="15"/>
  <c r="H14" i="15" l="1"/>
  <c r="G14" i="15" s="1"/>
  <c r="G13" i="15"/>
  <c r="N29" i="12" l="1"/>
  <c r="N28" i="12"/>
  <c r="N27" i="12"/>
  <c r="N26" i="12"/>
  <c r="N25" i="12"/>
  <c r="N24" i="12"/>
  <c r="N23" i="12"/>
  <c r="N22" i="12"/>
  <c r="F25" i="12"/>
  <c r="H25" i="12"/>
  <c r="G25" i="12"/>
  <c r="E25" i="12"/>
  <c r="F27" i="12"/>
  <c r="H27" i="12"/>
  <c r="G27" i="12"/>
  <c r="E27" i="12"/>
  <c r="F26" i="12"/>
  <c r="H26" i="12"/>
  <c r="G26" i="12"/>
  <c r="E26" i="12"/>
  <c r="F24" i="12"/>
  <c r="H24" i="12"/>
  <c r="G24" i="12"/>
  <c r="E24" i="12"/>
  <c r="N21" i="12"/>
  <c r="N20" i="12"/>
  <c r="N19" i="12"/>
  <c r="N18" i="12"/>
  <c r="Q15" i="12" l="1"/>
  <c r="Q13" i="12"/>
  <c r="Q16" i="12"/>
  <c r="Q17" i="12"/>
  <c r="Q14" i="12"/>
  <c r="H31" i="12" l="1"/>
  <c r="G13" i="12" s="1"/>
  <c r="H32" i="12"/>
  <c r="H13" i="12" s="1"/>
  <c r="H30" i="12"/>
  <c r="F13" i="12" s="1"/>
  <c r="H29" i="12"/>
  <c r="E13" i="12" l="1"/>
  <c r="H33" i="12"/>
  <c r="I13" i="12" l="1"/>
  <c r="I67" i="12" s="1"/>
  <c r="I65" i="12" l="1"/>
  <c r="I60" i="12"/>
  <c r="I66" i="12"/>
  <c r="I64" i="12"/>
  <c r="I61" i="12"/>
  <c r="I58" i="12"/>
  <c r="I62" i="12"/>
  <c r="I63" i="12"/>
  <c r="I59" i="12"/>
  <c r="I71" i="12" s="1"/>
  <c r="I16" i="12"/>
  <c r="I15" i="12"/>
  <c r="I27" i="12" s="1"/>
  <c r="I23" i="12"/>
  <c r="I17" i="12"/>
  <c r="I20" i="12"/>
  <c r="I19" i="12"/>
  <c r="I18" i="12"/>
  <c r="I21" i="12"/>
  <c r="I14" i="12"/>
  <c r="I22" i="12"/>
  <c r="I26" i="12" l="1"/>
  <c r="I70" i="12"/>
  <c r="I68" i="12"/>
  <c r="I69" i="12"/>
  <c r="I24" i="12"/>
  <c r="I25" i="12"/>
  <c r="J32" i="7"/>
  <c r="I15" i="7"/>
  <c r="I14" i="7"/>
  <c r="I12" i="7"/>
  <c r="J10" i="7" l="1"/>
  <c r="J13" i="7"/>
  <c r="J8" i="7"/>
  <c r="J9" i="7" l="1"/>
  <c r="J17" i="7" s="1"/>
  <c r="J19" i="7" s="1"/>
  <c r="J33" i="7" l="1"/>
  <c r="J34" i="7" s="1"/>
  <c r="I12" i="5" l="1"/>
  <c r="I16" i="5" s="1"/>
  <c r="H23" i="5" l="1"/>
  <c r="H24" i="1" l="1"/>
  <c r="G24" i="1"/>
  <c r="F27" i="1" l="1"/>
  <c r="M22" i="5"/>
  <c r="M21" i="5"/>
  <c r="M20" i="5"/>
  <c r="M18" i="5"/>
  <c r="M17" i="5"/>
  <c r="M16" i="5"/>
  <c r="M23" i="1"/>
  <c r="M22" i="1"/>
  <c r="M21" i="1"/>
  <c r="M19" i="1"/>
  <c r="M18" i="1"/>
  <c r="M17" i="1"/>
  <c r="H25" i="1"/>
  <c r="E30" i="5" l="1"/>
  <c r="E36" i="5" s="1"/>
  <c r="E29" i="5"/>
  <c r="E35" i="5" s="1"/>
  <c r="E28" i="5"/>
  <c r="E34" i="5" s="1"/>
  <c r="F25" i="5"/>
  <c r="G25" i="5"/>
  <c r="H25" i="5"/>
  <c r="F26" i="5"/>
  <c r="G26" i="5"/>
  <c r="H26" i="5"/>
  <c r="F24" i="5"/>
  <c r="G24" i="5"/>
  <c r="H24" i="5"/>
  <c r="G23" i="5"/>
  <c r="F23" i="5"/>
  <c r="M24" i="5" l="1"/>
  <c r="H29" i="5" s="1"/>
  <c r="E31" i="1"/>
  <c r="E37" i="1" s="1"/>
  <c r="E30" i="1"/>
  <c r="E36" i="1" s="1"/>
  <c r="H28" i="5" l="1"/>
  <c r="H30" i="5" l="1"/>
  <c r="H31" i="5" s="1"/>
  <c r="F26" i="1"/>
  <c r="G26" i="1"/>
  <c r="H26" i="1"/>
  <c r="G27" i="1"/>
  <c r="H27" i="1"/>
  <c r="F25" i="1"/>
  <c r="G25" i="1"/>
  <c r="I22" i="5" l="1"/>
  <c r="F24" i="1"/>
  <c r="I14" i="5" l="1"/>
  <c r="I21" i="5"/>
  <c r="I20" i="5"/>
  <c r="I13" i="5"/>
  <c r="I18" i="5"/>
  <c r="I17" i="5"/>
  <c r="I15" i="5"/>
  <c r="I19" i="5"/>
  <c r="M25" i="1"/>
  <c r="H29" i="1" s="1"/>
  <c r="I23" i="5" l="1"/>
  <c r="I26" i="5"/>
  <c r="I25" i="5"/>
  <c r="I24" i="5"/>
  <c r="H30" i="1"/>
  <c r="H31" i="1" l="1"/>
  <c r="H32" i="1" s="1"/>
  <c r="I13" i="1" l="1"/>
  <c r="I23" i="1" s="1"/>
  <c r="I22" i="1" l="1"/>
  <c r="I19" i="1"/>
  <c r="I16" i="1"/>
  <c r="I14" i="1"/>
  <c r="I20" i="1"/>
  <c r="I21" i="1"/>
  <c r="I15" i="1"/>
  <c r="I17" i="1"/>
  <c r="I18" i="1"/>
  <c r="I24" i="1" l="1"/>
  <c r="I26" i="1"/>
  <c r="I25" i="1"/>
  <c r="I27" i="1"/>
  <c r="G13" i="17" l="1"/>
  <c r="G12" i="17"/>
  <c r="G11" i="17"/>
  <c r="G14" i="17" l="1"/>
</calcChain>
</file>

<file path=xl/sharedStrings.xml><?xml version="1.0" encoding="utf-8"?>
<sst xmlns="http://schemas.openxmlformats.org/spreadsheetml/2006/main" count="934" uniqueCount="175">
  <si>
    <t>RAWMEAL</t>
  </si>
  <si>
    <t>SiO2</t>
  </si>
  <si>
    <t>MIX %</t>
  </si>
  <si>
    <t>Al2O3</t>
  </si>
  <si>
    <t>Fe2O3</t>
  </si>
  <si>
    <t>CaO</t>
  </si>
  <si>
    <t>MgO</t>
  </si>
  <si>
    <t>K2O</t>
  </si>
  <si>
    <t>Na2O</t>
  </si>
  <si>
    <t>SO3</t>
  </si>
  <si>
    <t>TOTAL</t>
  </si>
  <si>
    <t>LIMESTONE</t>
  </si>
  <si>
    <t>COEFFICIENTS FOR MIX CALCULATION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</si>
  <si>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</si>
  <si>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</si>
  <si>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</si>
  <si>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</si>
  <si>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</si>
  <si>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</si>
  <si>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</si>
  <si>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</si>
  <si>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</si>
  <si>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</si>
  <si>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</si>
  <si>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</si>
  <si>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DELTA</t>
  </si>
  <si>
    <t>SHALE</t>
  </si>
  <si>
    <t>IRON ORE</t>
  </si>
  <si>
    <t>Clinker Production, TPH</t>
  </si>
  <si>
    <t>Specific Heat Consumption, Kcal/Kg Clinker</t>
  </si>
  <si>
    <t>Clinker Factor</t>
  </si>
  <si>
    <t>Kiln Feed, TPH</t>
  </si>
  <si>
    <t>Fuel</t>
  </si>
  <si>
    <t>%</t>
  </si>
  <si>
    <t>Kg Fuel per Kg Clinker Produced</t>
  </si>
  <si>
    <t>Kiln Feed, LOI</t>
  </si>
  <si>
    <t>Kiln Feed, H2O</t>
  </si>
  <si>
    <t>SM</t>
  </si>
  <si>
    <t>AM</t>
  </si>
  <si>
    <t>LSF</t>
  </si>
  <si>
    <t>LOI</t>
  </si>
  <si>
    <t>Cl</t>
  </si>
  <si>
    <t>LIME SATURATION FACTOR</t>
  </si>
  <si>
    <t>ALUMINA MODULUS</t>
  </si>
  <si>
    <t>RAWMEAL TARGET</t>
  </si>
  <si>
    <t>SILICA MODULUS</t>
  </si>
  <si>
    <t>% Ash Content</t>
  </si>
  <si>
    <t>% Ash Absorbed</t>
  </si>
  <si>
    <t>3 MATERIALS - LSF AND SM</t>
  </si>
  <si>
    <t>3 MATERIALS - LSF AND AM</t>
  </si>
  <si>
    <t>LVM</t>
  </si>
  <si>
    <t>Heat Value, Kcal/Kg</t>
  </si>
  <si>
    <t xml:space="preserve">HVM </t>
  </si>
  <si>
    <t>HM</t>
  </si>
  <si>
    <t>FCaO</t>
  </si>
  <si>
    <t>Burning Condition</t>
  </si>
  <si>
    <t>DOC</t>
  </si>
  <si>
    <t>KF LOI</t>
  </si>
  <si>
    <t>MINERALS</t>
  </si>
  <si>
    <t xml:space="preserve">Total Alkali </t>
  </si>
  <si>
    <t>COATING INDEX</t>
  </si>
  <si>
    <t xml:space="preserve">Hotmeal </t>
  </si>
  <si>
    <t>C3S net</t>
  </si>
  <si>
    <t>C2S</t>
  </si>
  <si>
    <t>C3A</t>
  </si>
  <si>
    <t>C4AF</t>
  </si>
  <si>
    <t>%SO3</t>
  </si>
  <si>
    <t>Fuel, TPH</t>
  </si>
  <si>
    <t>Density,Kg/L</t>
  </si>
  <si>
    <t>Combined Fuel, Kcal/Kg</t>
  </si>
  <si>
    <t>Viscosity, cP</t>
  </si>
  <si>
    <t>Fuel &amp; Kiln Feed to Clinker Ratio</t>
  </si>
  <si>
    <t>% Dust Loss to Silo</t>
  </si>
  <si>
    <t>% Dust Loss to Silo, LOI</t>
  </si>
  <si>
    <t>Recheck</t>
  </si>
  <si>
    <t>VCM</t>
  </si>
  <si>
    <t>Ash</t>
  </si>
  <si>
    <t>Combined Ash</t>
  </si>
  <si>
    <t>Combined VCM</t>
  </si>
  <si>
    <t>CMH</t>
  </si>
  <si>
    <t>TPH</t>
  </si>
  <si>
    <t>Fuel Requirement</t>
  </si>
  <si>
    <t>SAND</t>
  </si>
  <si>
    <t>MIX</t>
  </si>
  <si>
    <t xml:space="preserve">   COEFFICIENTS</t>
  </si>
  <si>
    <t>MATRIX DETERMINANTS</t>
  </si>
  <si>
    <t>a</t>
  </si>
  <si>
    <t>Dw</t>
  </si>
  <si>
    <t>b</t>
  </si>
  <si>
    <t>Dx</t>
  </si>
  <si>
    <t>c</t>
  </si>
  <si>
    <t>Dy</t>
  </si>
  <si>
    <t>d</t>
  </si>
  <si>
    <t>Dz</t>
  </si>
  <si>
    <t>e</t>
  </si>
  <si>
    <t>f</t>
  </si>
  <si>
    <t>g</t>
  </si>
  <si>
    <t>h</t>
  </si>
  <si>
    <t>i</t>
  </si>
  <si>
    <t>L.O.I.</t>
  </si>
  <si>
    <t>k</t>
  </si>
  <si>
    <t>l</t>
  </si>
  <si>
    <t>m</t>
  </si>
  <si>
    <t>n</t>
  </si>
  <si>
    <t>p</t>
  </si>
  <si>
    <t>q</t>
  </si>
  <si>
    <t>r</t>
  </si>
  <si>
    <t>s</t>
  </si>
  <si>
    <t>4 MATERIALS - LSF,SM AND AM</t>
  </si>
  <si>
    <t>RATIOS</t>
  </si>
  <si>
    <t xml:space="preserve"> Material Setting</t>
  </si>
  <si>
    <t>XRF Analysis</t>
  </si>
  <si>
    <t>Limestome</t>
  </si>
  <si>
    <t>Shale</t>
  </si>
  <si>
    <t>Sand</t>
  </si>
  <si>
    <t>MANUAL</t>
  </si>
  <si>
    <t>AVERAGE</t>
  </si>
  <si>
    <t>STDEV</t>
  </si>
  <si>
    <t>MIN</t>
  </si>
  <si>
    <t>MAX</t>
  </si>
  <si>
    <t>Target Rawmeal Composition</t>
  </si>
  <si>
    <t>Target</t>
  </si>
  <si>
    <t>RAWMIX TYPE:</t>
  </si>
  <si>
    <t>Potential  Clinker Composition</t>
  </si>
  <si>
    <t>Coal Ash Composition</t>
  </si>
  <si>
    <t xml:space="preserve">Liter Wt. </t>
  </si>
  <si>
    <t>Condition (M/A)</t>
  </si>
  <si>
    <t>MANUAL/AUTOMATIC</t>
  </si>
  <si>
    <t>LP @ 1450C</t>
  </si>
  <si>
    <t xml:space="preserve">3 MATERIALS - LSF and SM </t>
  </si>
  <si>
    <t>oxidize</t>
  </si>
  <si>
    <t>reducing</t>
  </si>
  <si>
    <t>OPC</t>
  </si>
  <si>
    <t>SRC</t>
  </si>
  <si>
    <t>Alkali/Sulphate Ratio</t>
  </si>
  <si>
    <t>LAYOUT</t>
  </si>
  <si>
    <t>WITH FORMULA</t>
  </si>
  <si>
    <t>formula</t>
  </si>
  <si>
    <t>Legend:</t>
  </si>
  <si>
    <t>TEXT BOX</t>
  </si>
  <si>
    <t>NUMBERS</t>
  </si>
  <si>
    <t>text</t>
  </si>
  <si>
    <t>numbers</t>
  </si>
  <si>
    <t>Iron Ore</t>
  </si>
  <si>
    <t>TEXT</t>
  </si>
  <si>
    <t xml:space="preserve">% Dry </t>
  </si>
  <si>
    <t>% H2O</t>
  </si>
  <si>
    <t>ACTUAL FEEDER SETTINGS</t>
  </si>
  <si>
    <t>Wet*</t>
  </si>
  <si>
    <t>% Wet (Actual Settings)</t>
  </si>
  <si>
    <t>RAW MATERIAL PERCENTAGE (%Dry)</t>
  </si>
  <si>
    <t>Burning Con</t>
  </si>
  <si>
    <t xml:space="preserve">Ltr. Wt. </t>
  </si>
  <si>
    <t xml:space="preserve">LAYOUT </t>
  </si>
  <si>
    <t xml:space="preserve">Ltr Wt. </t>
  </si>
  <si>
    <t>XRF ANALYSIS</t>
  </si>
  <si>
    <t>RAW MATERIAL PERCENTAGE (Actual Dry Basis)</t>
  </si>
  <si>
    <t>H2O %</t>
  </si>
  <si>
    <t>Dry Basis</t>
  </si>
  <si>
    <t>Actual Wet Basis</t>
  </si>
  <si>
    <t xml:space="preserve"> LSF</t>
  </si>
  <si>
    <t>Alk/Sul Ratio</t>
  </si>
  <si>
    <t xml:space="preserve">Tot Alkali </t>
  </si>
  <si>
    <t>Cond</t>
  </si>
  <si>
    <t>Alk/Sulp Ratio</t>
  </si>
  <si>
    <t xml:space="preserve"> % RAW MATERIAL  (WEIGHFEEDERS)</t>
  </si>
  <si>
    <t>Raw Material %  (Actual Wet Basis)</t>
  </si>
  <si>
    <t xml:space="preserve">3 MATERIALS - LSF &amp; AM </t>
  </si>
  <si>
    <t>3 MATERIALS - LSF &amp; AM</t>
  </si>
  <si>
    <t xml:space="preserve">3 MATERIALS - LSF &amp; SM </t>
  </si>
  <si>
    <t>ASH</t>
  </si>
  <si>
    <t>FUEL as Fired</t>
  </si>
  <si>
    <t>Fuel, TPH (Actual)</t>
  </si>
  <si>
    <t>TPH (Ideal)</t>
  </si>
  <si>
    <t>FUEL AND CLINKER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</si>
</sst>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0.000"/>
    <numFmt numFmtId="166" formatCode="0.0000000000000"/>
    <numFmt numFmtId="167" formatCode="0.0"/>
    <numFmt numFmtId="168" formatCode="0.000%"/>
  </numFmts>
  <fonts count="13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2"/>
      <name val="Arial Black"/>
      <family val="2"/>
    </font>
    <font>
      <b/>
      <sz val="12"/>
      <color theme="9" tint="-0.249977111117893"/>
      <name val="Arial Black"/>
      <family val="2"/>
    </font>
    <font>
      <b/>
      <sz val="12"/>
      <color theme="1"/>
      <name val="Arial Black"/>
      <family val="2"/>
    </font>
    <font>
      <b/>
      <sz val="12"/>
      <color theme="0"/>
      <name val="Arial Black"/>
      <family val="2"/>
    </font>
    <font>
      <b/>
      <sz val="12"/>
      <color theme="2" tint="-0.499984740745262"/>
      <name val="Arial Black"/>
      <family val="2"/>
    </font>
    <font>
      <b/>
      <sz val="12"/>
      <color rgb="FF00B050"/>
      <name val="Arial Black"/>
      <family val="2"/>
    </font>
    <font>
      <sz val="10"/>
      <color rgb="FF00B050"/>
      <name val="Arial Black"/>
      <family val="2"/>
    </font>
    <font>
      <sz val="12"/>
      <color rgb="FF00B050"/>
      <name val="Arial Black"/>
      <family val="2"/>
    </font>
    <font>
      <b/>
      <u/>
      <sz val="24"/>
      <color rgb="FF00B050"/>
      <name val="Arial Black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sz val="12"/>
      <color theme="0"/>
      <name val="Arial Black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rgb="FF00B0F0"/>
      <name val="Arial"/>
      <family val="2"/>
    </font>
    <font>
      <i/>
      <sz val="10"/>
      <color rgb="FFFFFF00"/>
      <name val="Arial"/>
      <family val="2"/>
    </font>
    <font>
      <sz val="10"/>
      <color rgb="FFFFFF00"/>
      <name val="Arial"/>
      <family val="2"/>
    </font>
    <font>
      <b/>
      <i/>
      <sz val="11"/>
      <color theme="0"/>
      <name val="Arial"/>
      <family val="2"/>
    </font>
    <font>
      <b/>
      <u/>
      <sz val="12"/>
      <color rgb="FF00B050"/>
      <name val="Arial Black"/>
      <family val="2"/>
    </font>
    <font>
      <b/>
      <u/>
      <sz val="12"/>
      <name val="Arial Black"/>
      <family val="2"/>
    </font>
    <font>
      <b/>
      <u/>
      <sz val="12"/>
      <color theme="2" tint="-0.499984740745262"/>
      <name val="Arial Black"/>
      <family val="2"/>
    </font>
    <font>
      <b/>
      <sz val="16"/>
      <color rgb="FF00B050"/>
      <name val="Arial"/>
      <family val="2"/>
    </font>
    <font>
      <b/>
      <sz val="9"/>
      <color theme="0"/>
      <name val="Arial Black"/>
      <family val="2"/>
    </font>
    <font>
      <b/>
      <sz val="12"/>
      <color theme="9" tint="-0.499984740745262"/>
      <name val="Arial Black"/>
      <family val="2"/>
    </font>
    <font>
      <b/>
      <u/>
      <sz val="12"/>
      <color theme="9" tint="-0.499984740745262"/>
      <name val="Arial Black"/>
      <family val="2"/>
    </font>
    <font>
      <b/>
      <sz val="14"/>
      <color rgb="FF00B050"/>
      <name val="Arial Black"/>
      <family val="2"/>
    </font>
    <font>
      <b/>
      <sz val="14"/>
      <color theme="0"/>
      <name val="Arial Black"/>
      <family val="2"/>
    </font>
    <font>
      <sz val="14"/>
      <color theme="0"/>
      <name val="Arial Black"/>
      <family val="2"/>
    </font>
    <font>
      <sz val="12"/>
      <color rgb="FFFFFF00"/>
      <name val="Arial Black"/>
      <family val="2"/>
    </font>
    <font>
      <u/>
      <sz val="10"/>
      <color theme="10"/>
      <name val="Arial"/>
      <family val="2"/>
    </font>
    <font>
      <sz val="12"/>
      <color theme="2" tint="-0.499984740745262"/>
      <name val="Arial Black"/>
      <family val="2"/>
    </font>
    <font>
      <sz val="12"/>
      <color theme="9" tint="-0.499984740745262"/>
      <name val="Arial Black"/>
      <family val="2"/>
    </font>
    <font>
      <sz val="12"/>
      <color theme="1" tint="0.499984740745262"/>
      <name val="Arial Black"/>
      <family val="2"/>
    </font>
    <font>
      <b/>
      <u/>
      <sz val="14"/>
      <name val="Arial Black"/>
      <family val="2"/>
    </font>
    <font>
      <b/>
      <sz val="14"/>
      <color rgb="FFFFFF00"/>
      <name val="Arial Black"/>
      <family val="2"/>
    </font>
    <font>
      <sz val="12"/>
      <name val="Arial Black"/>
      <family val="2"/>
    </font>
    <font>
      <b/>
      <sz val="14"/>
      <color theme="9" tint="-0.499984740745262"/>
      <name val="Arial Black"/>
      <family val="2"/>
    </font>
    <font>
      <b/>
      <sz val="14"/>
      <color theme="9" tint="-0.249977111117893"/>
      <name val="Arial Black"/>
      <family val="2"/>
    </font>
    <font>
      <b/>
      <u/>
      <sz val="20"/>
      <color theme="9" tint="-0.249977111117893"/>
      <name val="Arial Black"/>
      <family val="2"/>
    </font>
    <font>
      <b/>
      <u/>
      <sz val="14"/>
      <color theme="9" tint="-0.249977111117893"/>
      <name val="Arial Black"/>
      <family val="2"/>
    </font>
    <font>
      <sz val="10"/>
      <color rgb="FF0070C0"/>
      <name val="Arial"/>
      <family val="2"/>
    </font>
    <font>
      <b/>
      <sz val="14"/>
      <name val="Arial Black"/>
      <family val="2"/>
    </font>
    <font>
      <b/>
      <sz val="16"/>
      <name val="Arial Black"/>
      <family val="2"/>
    </font>
    <font>
      <b/>
      <sz val="16"/>
      <color theme="0"/>
      <name val="Arial Black"/>
      <family val="2"/>
    </font>
    <font>
      <sz val="14"/>
      <color rgb="FF00B050"/>
      <name val="Arial Black"/>
      <family val="2"/>
    </font>
    <font>
      <sz val="14"/>
      <color theme="9" tint="-0.499984740745262"/>
      <name val="Arial Black"/>
      <family val="2"/>
    </font>
    <font>
      <sz val="14"/>
      <color theme="2" tint="-0.499984740745262"/>
      <name val="Arial Black"/>
      <family val="2"/>
    </font>
    <font>
      <b/>
      <sz val="16"/>
      <color rgb="FF00B050"/>
      <name val="Arial Black"/>
      <family val="2"/>
    </font>
    <font>
      <b/>
      <i/>
      <u/>
      <sz val="14"/>
      <color rgb="FF00B050"/>
      <name val="Arial Black"/>
      <family val="2"/>
    </font>
    <font>
      <b/>
      <u/>
      <sz val="14"/>
      <color rgb="FF00B050"/>
      <name val="Arial Black"/>
      <family val="2"/>
    </font>
    <font>
      <b/>
      <sz val="14"/>
      <color theme="2" tint="-0.499984740745262"/>
      <name val="Arial Black"/>
      <family val="2"/>
    </font>
    <font>
      <b/>
      <sz val="16"/>
      <color rgb="FFFFFF00"/>
      <name val="Arial Black"/>
      <family val="2"/>
    </font>
    <font>
      <b/>
      <sz val="16"/>
      <color theme="9" tint="-0.499984740745262"/>
      <name val="Arial Black"/>
      <family val="2"/>
    </font>
    <font>
      <sz val="12"/>
      <color rgb="FFFF0000"/>
      <name val="Arial Black"/>
      <family val="2"/>
    </font>
    <font>
      <u/>
      <sz val="12"/>
      <color theme="10"/>
      <name val="Arial Black"/>
      <family val="2"/>
    </font>
    <font>
      <sz val="12"/>
      <color theme="1"/>
      <name val="Arial Black"/>
      <family val="2"/>
    </font>
    <font>
      <b/>
      <sz val="12"/>
      <color rgb="FFFFFF00"/>
      <name val="Arial Black"/>
      <family val="2"/>
    </font>
    <font>
      <b/>
      <sz val="12"/>
      <color indexed="10"/>
      <name val="Arial Black"/>
      <family val="2"/>
    </font>
    <font>
      <sz val="12"/>
      <color rgb="FF0070C0"/>
      <name val="Arial Black"/>
      <family val="2"/>
    </font>
    <font>
      <b/>
      <u/>
      <sz val="14"/>
      <color theme="0"/>
      <name val="Arial Black"/>
      <family val="2"/>
    </font>
    <font>
      <b/>
      <u/>
      <sz val="16"/>
      <color theme="0"/>
      <name val="Arial Black"/>
      <family val="2"/>
    </font>
    <font>
      <b/>
      <sz val="12"/>
      <color rgb="FFFF0000"/>
      <name val="Arial Black"/>
      <family val="2"/>
    </font>
    <font>
      <b/>
      <sz val="12"/>
      <color rgb="FF0070C0"/>
      <name val="Arial Black"/>
      <family val="2"/>
    </font>
    <font>
      <b/>
      <u/>
      <sz val="12"/>
      <color rgb="FFFFFF00"/>
      <name val="Arial Black"/>
      <family val="2"/>
    </font>
    <font>
      <b/>
      <u/>
      <sz val="14"/>
      <color theme="9" tint="-0.499984740745262"/>
      <name val="Arial Black"/>
      <family val="2"/>
    </font>
    <font>
      <b/>
      <u/>
      <sz val="16"/>
      <color theme="9" tint="-0.499984740745262"/>
      <name val="Arial Black"/>
      <family val="2"/>
    </font>
    <font>
      <b/>
      <u/>
      <sz val="14"/>
      <color theme="2" tint="-0.499984740745262"/>
      <name val="Arial Black"/>
      <family val="2"/>
    </font>
    <font>
      <b/>
      <sz val="14"/>
      <color theme="1"/>
      <name val="Arial Black"/>
      <family val="2"/>
    </font>
    <font>
      <b/>
      <sz val="16"/>
      <color theme="9" tint="-0.249977111117893"/>
      <name val="Arial Black"/>
      <family val="2"/>
    </font>
    <font>
      <sz val="14"/>
      <color theme="9" tint="-0.249977111117893"/>
      <name val="Arial Black"/>
      <family val="2"/>
    </font>
    <font>
      <b/>
      <sz val="16"/>
      <color theme="2" tint="-0.499984740745262"/>
      <name val="Arial Black"/>
      <family val="2"/>
    </font>
    <font>
      <b/>
      <u/>
      <sz val="18"/>
      <color theme="0"/>
      <name val="Arial Black"/>
      <family val="2"/>
    </font>
    <font>
      <u/>
      <sz val="14"/>
      <color rgb="FF00B050"/>
      <name val="Arial Black"/>
      <family val="2"/>
    </font>
    <font>
      <b/>
      <sz val="14"/>
      <color rgb="FF0070C0"/>
      <name val="Arial Black"/>
      <family val="2"/>
    </font>
    <font>
      <b/>
      <sz val="14"/>
      <color rgb="FFFF0000"/>
      <name val="Arial Black"/>
      <family val="2"/>
    </font>
    <font>
      <b/>
      <sz val="14"/>
      <color rgb="FF00B0F0"/>
      <name val="Arial Black"/>
      <family val="2"/>
    </font>
    <font>
      <sz val="12"/>
      <color rgb="FF00B0F0"/>
      <name val="Arial Black"/>
      <family val="2"/>
    </font>
    <font>
      <b/>
      <sz val="12"/>
      <color rgb="FF00B0F0"/>
      <name val="Arial Black"/>
      <family val="2"/>
    </font>
    <font>
      <b/>
      <sz val="9"/>
      <color rgb="FF00B050"/>
      <name val="Arial Black"/>
      <family val="2"/>
    </font>
    <font>
      <sz val="14"/>
      <color theme="0"/>
      <name val="Book Antiqua"/>
      <family val="1"/>
    </font>
    <font>
      <sz val="12"/>
      <color theme="0"/>
      <name val="Book Antiqua"/>
      <family val="1"/>
    </font>
    <font>
      <b/>
      <sz val="12"/>
      <color theme="0"/>
      <name val="Book Antiqua"/>
      <family val="1"/>
    </font>
    <font>
      <b/>
      <sz val="14"/>
      <color rgb="FFFFFF00"/>
      <name val="Book Antiqua"/>
      <family val="1"/>
    </font>
    <font>
      <b/>
      <sz val="14"/>
      <color theme="0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11"/>
      <color theme="0"/>
      <name val="Book Antiqua"/>
      <family val="1"/>
    </font>
    <font>
      <b/>
      <sz val="10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9"/>
      <name val="Book Antiqua"/>
      <family val="1"/>
    </font>
    <font>
      <b/>
      <sz val="15"/>
      <name val="Book Antiqua"/>
      <family val="1"/>
    </font>
    <font>
      <b/>
      <sz val="15"/>
      <color theme="0"/>
      <name val="Book Antiqua"/>
      <family val="1"/>
    </font>
    <font>
      <b/>
      <sz val="20"/>
      <color theme="0"/>
      <name val="Book Antiqua"/>
      <family val="1"/>
    </font>
    <font>
      <b/>
      <sz val="16"/>
      <color theme="0"/>
      <name val="Book Antiqua"/>
      <family val="1"/>
    </font>
    <font>
      <b/>
      <sz val="15"/>
      <color theme="1"/>
      <name val="Book Antiqua"/>
      <family val="1"/>
    </font>
    <font>
      <sz val="16"/>
      <name val="Book Antiqua"/>
      <family val="1"/>
    </font>
    <font>
      <b/>
      <sz val="16"/>
      <color theme="9" tint="-0.499984740745262"/>
      <name val="Book Antiqua"/>
      <family val="1"/>
    </font>
    <font>
      <b/>
      <u/>
      <sz val="12"/>
      <name val="Book Antiqua"/>
      <family val="1"/>
    </font>
    <font>
      <b/>
      <sz val="35"/>
      <color theme="0"/>
      <name val="Book Antiqua"/>
      <family val="1"/>
    </font>
    <font>
      <b/>
      <u/>
      <sz val="24"/>
      <color rgb="FF00B050"/>
      <name val="Book Antiqua"/>
      <family val="1"/>
    </font>
    <font>
      <b/>
      <sz val="14"/>
      <color theme="9" tint="-0.499984740745262"/>
      <name val="Book Antiqua"/>
      <family val="1"/>
    </font>
    <font>
      <b/>
      <sz val="14"/>
      <color theme="9" tint="-0.249977111117893"/>
      <name val="Book Antiqua"/>
      <family val="1"/>
    </font>
    <font>
      <b/>
      <sz val="16"/>
      <color theme="0" tint="-4.9989318521683403E-2"/>
      <name val="Book Antiqua"/>
      <family val="1"/>
    </font>
    <font>
      <sz val="12"/>
      <color theme="1"/>
      <name val="Book Antiqua"/>
      <family val="1"/>
    </font>
    <font>
      <sz val="11"/>
      <name val="Book Antiqua"/>
      <family val="1"/>
    </font>
    <font>
      <b/>
      <i/>
      <sz val="12"/>
      <name val="Book Antiqua"/>
      <family val="1"/>
    </font>
    <font>
      <i/>
      <sz val="12"/>
      <name val="Book Antiqua"/>
      <family val="1"/>
    </font>
    <font>
      <b/>
      <i/>
      <sz val="12"/>
      <color theme="0"/>
      <name val="Book Antiqua"/>
      <family val="1"/>
    </font>
    <font>
      <b/>
      <i/>
      <sz val="16"/>
      <color theme="0"/>
      <name val="Book Antiqua"/>
      <family val="1"/>
    </font>
    <font>
      <i/>
      <sz val="14"/>
      <name val="Book Antiqua"/>
      <family val="1"/>
    </font>
    <font>
      <b/>
      <i/>
      <sz val="14"/>
      <name val="Book Antiqua"/>
      <family val="1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2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/>
      <right/>
      <top/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/>
      <diagonal/>
    </border>
    <border>
      <left/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/>
      <top/>
      <bottom style="double">
        <color theme="2" tint="-0.499984740745262"/>
      </bottom>
      <diagonal/>
    </border>
    <border>
      <left/>
      <right style="double">
        <color theme="2" tint="-0.499984740745262"/>
      </right>
      <top/>
      <bottom style="double">
        <color theme="2" tint="-0.499984740745262"/>
      </bottom>
      <diagonal/>
    </border>
    <border>
      <left/>
      <right/>
      <top style="double">
        <color theme="2" tint="-0.499984740745262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 style="double">
        <color theme="2" tint="-0.499984740745262"/>
      </right>
      <top/>
      <bottom style="double">
        <color theme="2" tint="-0.499984740745262"/>
      </bottom>
      <diagonal/>
    </border>
    <border>
      <left style="double">
        <color theme="2" tint="-0.499984740745262"/>
      </left>
      <right style="double">
        <color theme="2" tint="-0.499984740745262"/>
      </right>
      <top/>
      <bottom/>
      <diagonal/>
    </border>
    <border>
      <left style="double">
        <color theme="0"/>
      </left>
      <right style="double">
        <color theme="2" tint="-0.499984740745262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0"/>
      </top>
      <bottom style="double">
        <color theme="0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/>
      <right/>
      <top style="double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double">
        <color theme="1"/>
      </left>
      <right style="thick">
        <color theme="1"/>
      </right>
      <top/>
      <bottom style="double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theme="1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medium">
        <color theme="1"/>
      </right>
      <top/>
      <bottom style="double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ck">
        <color theme="1"/>
      </right>
      <top style="medium">
        <color theme="1"/>
      </top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double">
        <color rgb="FF0070C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ck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 style="thick">
        <color theme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theme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double">
        <color theme="9" tint="-0.499984740745262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auto="1"/>
      </bottom>
      <diagonal/>
    </border>
    <border>
      <left/>
      <right style="medium">
        <color theme="1"/>
      </right>
      <top style="double">
        <color theme="1"/>
      </top>
      <bottom style="double">
        <color auto="1"/>
      </bottom>
      <diagonal/>
    </border>
    <border>
      <left/>
      <right style="thin">
        <color theme="1"/>
      </right>
      <top style="thick">
        <color theme="1"/>
      </top>
      <bottom/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ck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n">
        <color theme="1"/>
      </right>
      <top style="thick">
        <color theme="1"/>
      </top>
      <bottom style="medium">
        <color theme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theme="9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53" fillId="0" borderId="0" applyNumberFormat="0" applyFill="0" applyBorder="0" applyAlignment="0" applyProtection="0"/>
  </cellStyleXfs>
  <cellXfs count="1135">
    <xf numFmtId="0" fontId="0" fillId="0" borderId="0" xfId="0"/>
    <xf numFmtId="0" fontId="0" fillId="25" borderId="0" xfId="0" applyFill="1"/>
    <xf numFmtId="0" fontId="22" fillId="0" borderId="0" xfId="0" applyFont="1"/>
    <xf numFmtId="0" fontId="39" fillId="25" borderId="10" xfId="0" applyFont="1" applyFill="1" applyBorder="1" applyAlignment="1">
      <alignment horizontal="right"/>
    </xf>
    <xf numFmtId="0" fontId="39" fillId="25" borderId="13" xfId="0" applyFont="1" applyFill="1" applyBorder="1" applyAlignment="1">
      <alignment horizontal="right"/>
    </xf>
    <xf numFmtId="0" fontId="33" fillId="30" borderId="21" xfId="0" applyFont="1" applyFill="1" applyBorder="1" applyAlignment="1">
      <alignment horizontal="center"/>
    </xf>
    <xf numFmtId="0" fontId="36" fillId="25" borderId="21" xfId="0" applyFont="1" applyFill="1" applyBorder="1" applyAlignment="1">
      <alignment horizontal="center" vertical="center"/>
    </xf>
    <xf numFmtId="2" fontId="34" fillId="25" borderId="12" xfId="0" applyNumberFormat="1" applyFont="1" applyFill="1" applyBorder="1" applyAlignment="1">
      <alignment horizontal="right" vertical="center"/>
    </xf>
    <xf numFmtId="0" fontId="36" fillId="25" borderId="25" xfId="0" applyFont="1" applyFill="1" applyBorder="1" applyAlignment="1">
      <alignment horizontal="right" vertical="center"/>
    </xf>
    <xf numFmtId="0" fontId="38" fillId="25" borderId="25" xfId="0" applyFont="1" applyFill="1" applyBorder="1" applyAlignment="1">
      <alignment horizontal="right" vertical="center"/>
    </xf>
    <xf numFmtId="0" fontId="38" fillId="25" borderId="20" xfId="0" applyFont="1" applyFill="1" applyBorder="1" applyAlignment="1">
      <alignment horizontal="center" vertical="center"/>
    </xf>
    <xf numFmtId="0" fontId="32" fillId="25" borderId="0" xfId="0" applyFont="1" applyFill="1" applyAlignment="1">
      <alignment vertical="center"/>
    </xf>
    <xf numFmtId="0" fontId="35" fillId="25" borderId="0" xfId="0" applyFont="1" applyFill="1"/>
    <xf numFmtId="167" fontId="27" fillId="25" borderId="27" xfId="0" applyNumberFormat="1" applyFont="1" applyFill="1" applyBorder="1" applyAlignment="1">
      <alignment horizontal="center" vertical="center"/>
    </xf>
    <xf numFmtId="0" fontId="0" fillId="26" borderId="0" xfId="0" applyFill="1"/>
    <xf numFmtId="2" fontId="22" fillId="35" borderId="13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2" fontId="20" fillId="35" borderId="10" xfId="0" applyNumberFormat="1" applyFont="1" applyFill="1" applyBorder="1" applyAlignment="1">
      <alignment horizontal="center" vertical="center"/>
    </xf>
    <xf numFmtId="165" fontId="22" fillId="35" borderId="23" xfId="0" applyNumberFormat="1" applyFont="1" applyFill="1" applyBorder="1" applyAlignment="1">
      <alignment horizontal="center" vertical="center"/>
    </xf>
    <xf numFmtId="165" fontId="20" fillId="35" borderId="23" xfId="0" applyNumberFormat="1" applyFont="1" applyFill="1" applyBorder="1" applyAlignment="1">
      <alignment horizontal="center" vertical="center"/>
    </xf>
    <xf numFmtId="167" fontId="20" fillId="35" borderId="22" xfId="0" applyNumberFormat="1" applyFont="1" applyFill="1" applyBorder="1" applyAlignment="1">
      <alignment horizontal="center" vertical="center"/>
    </xf>
    <xf numFmtId="165" fontId="20" fillId="35" borderId="10" xfId="0" applyNumberFormat="1" applyFont="1" applyFill="1" applyBorder="1" applyAlignment="1">
      <alignment horizontal="center" vertical="center"/>
    </xf>
    <xf numFmtId="167" fontId="22" fillId="35" borderId="22" xfId="0" applyNumberFormat="1" applyFont="1" applyFill="1" applyBorder="1" applyAlignment="1">
      <alignment horizontal="center" vertical="center"/>
    </xf>
    <xf numFmtId="167" fontId="24" fillId="37" borderId="27" xfId="0" applyNumberFormat="1" applyFont="1" applyFill="1" applyBorder="1" applyAlignment="1">
      <alignment horizontal="center" vertical="center"/>
    </xf>
    <xf numFmtId="167" fontId="47" fillId="37" borderId="27" xfId="0" applyNumberFormat="1" applyFont="1" applyFill="1" applyBorder="1" applyAlignment="1">
      <alignment horizontal="center" vertical="center"/>
    </xf>
    <xf numFmtId="167" fontId="28" fillId="37" borderId="27" xfId="0" applyNumberFormat="1" applyFont="1" applyFill="1" applyBorder="1" applyAlignment="1">
      <alignment horizontal="center" vertical="center"/>
    </xf>
    <xf numFmtId="2" fontId="54" fillId="37" borderId="27" xfId="0" applyNumberFormat="1" applyFont="1" applyFill="1" applyBorder="1" applyAlignment="1">
      <alignment horizontal="center" vertical="center"/>
    </xf>
    <xf numFmtId="2" fontId="52" fillId="37" borderId="10" xfId="0" applyNumberFormat="1" applyFont="1" applyFill="1" applyBorder="1" applyAlignment="1">
      <alignment horizontal="center" vertical="center"/>
    </xf>
    <xf numFmtId="2" fontId="56" fillId="37" borderId="10" xfId="37" applyNumberFormat="1" applyFont="1" applyFill="1" applyBorder="1" applyAlignment="1">
      <alignment horizontal="center" vertical="center"/>
    </xf>
    <xf numFmtId="0" fontId="35" fillId="37" borderId="10" xfId="0" applyFont="1" applyFill="1" applyBorder="1" applyAlignment="1">
      <alignment horizontal="center" vertical="center"/>
    </xf>
    <xf numFmtId="2" fontId="35" fillId="37" borderId="10" xfId="0" applyNumberFormat="1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2" fontId="31" fillId="25" borderId="27" xfId="0" applyNumberFormat="1" applyFont="1" applyFill="1" applyBorder="1" applyAlignment="1">
      <alignment horizontal="center" vertical="center"/>
    </xf>
    <xf numFmtId="167" fontId="31" fillId="25" borderId="29" xfId="0" applyNumberFormat="1" applyFont="1" applyFill="1" applyBorder="1" applyAlignment="1">
      <alignment horizontal="center" vertical="center"/>
    </xf>
    <xf numFmtId="167" fontId="31" fillId="25" borderId="39" xfId="0" applyNumberFormat="1" applyFont="1" applyFill="1" applyBorder="1" applyAlignment="1">
      <alignment horizontal="center" vertical="center"/>
    </xf>
    <xf numFmtId="2" fontId="31" fillId="25" borderId="39" xfId="0" applyNumberFormat="1" applyFont="1" applyFill="1" applyBorder="1" applyAlignment="1">
      <alignment horizontal="center" vertical="center"/>
    </xf>
    <xf numFmtId="2" fontId="31" fillId="25" borderId="30" xfId="0" applyNumberFormat="1" applyFont="1" applyFill="1" applyBorder="1" applyAlignment="1">
      <alignment horizontal="center" vertical="center"/>
    </xf>
    <xf numFmtId="0" fontId="0" fillId="37" borderId="0" xfId="0" applyFill="1"/>
    <xf numFmtId="0" fontId="64" fillId="25" borderId="0" xfId="0" applyFont="1" applyFill="1"/>
    <xf numFmtId="167" fontId="25" fillId="37" borderId="27" xfId="0" applyNumberFormat="1" applyFont="1" applyFill="1" applyBorder="1" applyAlignment="1">
      <alignment horizontal="center" vertical="center"/>
    </xf>
    <xf numFmtId="10" fontId="23" fillId="37" borderId="20" xfId="0" applyNumberFormat="1" applyFont="1" applyFill="1" applyBorder="1" applyAlignment="1">
      <alignment horizontal="center" vertical="center"/>
    </xf>
    <xf numFmtId="2" fontId="23" fillId="37" borderId="20" xfId="0" applyNumberFormat="1" applyFont="1" applyFill="1" applyBorder="1" applyAlignment="1">
      <alignment horizontal="center" vertical="center"/>
    </xf>
    <xf numFmtId="2" fontId="36" fillId="37" borderId="20" xfId="0" applyNumberFormat="1" applyFont="1" applyFill="1" applyBorder="1" applyAlignment="1">
      <alignment horizontal="center" vertical="center"/>
    </xf>
    <xf numFmtId="10" fontId="36" fillId="37" borderId="20" xfId="0" applyNumberFormat="1" applyFont="1" applyFill="1" applyBorder="1" applyAlignment="1">
      <alignment horizontal="center" vertical="center"/>
    </xf>
    <xf numFmtId="2" fontId="38" fillId="37" borderId="20" xfId="0" applyNumberFormat="1" applyFont="1" applyFill="1" applyBorder="1" applyAlignment="1">
      <alignment horizontal="center" vertical="center"/>
    </xf>
    <xf numFmtId="10" fontId="38" fillId="37" borderId="20" xfId="0" applyNumberFormat="1" applyFont="1" applyFill="1" applyBorder="1" applyAlignment="1">
      <alignment horizontal="center" vertical="center"/>
    </xf>
    <xf numFmtId="2" fontId="23" fillId="37" borderId="24" xfId="0" applyNumberFormat="1" applyFont="1" applyFill="1" applyBorder="1" applyAlignment="1">
      <alignment horizontal="left" vertical="center"/>
    </xf>
    <xf numFmtId="0" fontId="23" fillId="37" borderId="20" xfId="0" applyFont="1" applyFill="1" applyBorder="1" applyAlignment="1">
      <alignment horizontal="center" vertical="center"/>
    </xf>
    <xf numFmtId="165" fontId="23" fillId="37" borderId="24" xfId="0" applyNumberFormat="1" applyFont="1" applyFill="1" applyBorder="1" applyAlignment="1">
      <alignment horizontal="left" vertical="center"/>
    </xf>
    <xf numFmtId="2" fontId="23" fillId="37" borderId="24" xfId="0" applyNumberFormat="1" applyFont="1" applyFill="1" applyBorder="1" applyAlignment="1">
      <alignment horizontal="left"/>
    </xf>
    <xf numFmtId="165" fontId="23" fillId="37" borderId="24" xfId="0" applyNumberFormat="1" applyFont="1" applyFill="1" applyBorder="1" applyAlignment="1">
      <alignment horizontal="left"/>
    </xf>
    <xf numFmtId="167" fontId="27" fillId="35" borderId="27" xfId="0" applyNumberFormat="1" applyFont="1" applyFill="1" applyBorder="1" applyAlignment="1">
      <alignment horizontal="center" vertical="center"/>
    </xf>
    <xf numFmtId="167" fontId="47" fillId="35" borderId="27" xfId="0" applyNumberFormat="1" applyFont="1" applyFill="1" applyBorder="1" applyAlignment="1">
      <alignment horizontal="center" vertical="center"/>
    </xf>
    <xf numFmtId="167" fontId="28" fillId="35" borderId="27" xfId="0" applyNumberFormat="1" applyFont="1" applyFill="1" applyBorder="1" applyAlignment="1">
      <alignment horizontal="center" vertical="center"/>
    </xf>
    <xf numFmtId="2" fontId="35" fillId="35" borderId="27" xfId="0" applyNumberFormat="1" applyFont="1" applyFill="1" applyBorder="1" applyAlignment="1">
      <alignment horizontal="center" vertical="center"/>
    </xf>
    <xf numFmtId="167" fontId="31" fillId="35" borderId="27" xfId="0" applyNumberFormat="1" applyFont="1" applyFill="1" applyBorder="1" applyAlignment="1">
      <alignment horizontal="center" vertical="center"/>
    </xf>
    <xf numFmtId="2" fontId="31" fillId="35" borderId="27" xfId="0" applyNumberFormat="1" applyFont="1" applyFill="1" applyBorder="1" applyAlignment="1">
      <alignment horizontal="center" vertical="center"/>
    </xf>
    <xf numFmtId="2" fontId="31" fillId="35" borderId="28" xfId="0" applyNumberFormat="1" applyFont="1" applyFill="1" applyBorder="1" applyAlignment="1">
      <alignment horizontal="center" vertical="center"/>
    </xf>
    <xf numFmtId="2" fontId="35" fillId="35" borderId="10" xfId="0" applyNumberFormat="1" applyFont="1" applyFill="1" applyBorder="1" applyAlignment="1">
      <alignment horizontal="center" vertical="center"/>
    </xf>
    <xf numFmtId="2" fontId="52" fillId="35" borderId="10" xfId="0" applyNumberFormat="1" applyFont="1" applyFill="1" applyBorder="1" applyAlignment="1">
      <alignment horizontal="center" vertical="center"/>
    </xf>
    <xf numFmtId="2" fontId="56" fillId="35" borderId="10" xfId="0" applyNumberFormat="1" applyFont="1" applyFill="1" applyBorder="1" applyAlignment="1">
      <alignment horizontal="center" vertical="center"/>
    </xf>
    <xf numFmtId="167" fontId="25" fillId="35" borderId="27" xfId="0" applyNumberFormat="1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49" fillId="27" borderId="10" xfId="43" applyFont="1" applyFill="1" applyBorder="1" applyAlignment="1">
      <alignment horizontal="center" vertical="center"/>
    </xf>
    <xf numFmtId="0" fontId="49" fillId="27" borderId="10" xfId="43" applyFont="1" applyFill="1" applyBorder="1" applyAlignment="1">
      <alignment horizontal="center" vertical="center" wrapText="1"/>
    </xf>
    <xf numFmtId="0" fontId="68" fillId="27" borderId="10" xfId="0" applyFont="1" applyFill="1" applyBorder="1" applyAlignment="1">
      <alignment horizontal="center" vertical="center"/>
    </xf>
    <xf numFmtId="2" fontId="27" fillId="36" borderId="10" xfId="0" applyNumberFormat="1" applyFont="1" applyFill="1" applyBorder="1" applyAlignment="1">
      <alignment horizontal="center" vertical="center"/>
    </xf>
    <xf numFmtId="168" fontId="59" fillId="37" borderId="10" xfId="0" applyNumberFormat="1" applyFont="1" applyFill="1" applyBorder="1" applyAlignment="1">
      <alignment horizontal="center" vertical="center"/>
    </xf>
    <xf numFmtId="0" fontId="59" fillId="0" borderId="0" xfId="0" applyFont="1"/>
    <xf numFmtId="2" fontId="35" fillId="25" borderId="0" xfId="0" applyNumberFormat="1" applyFont="1" applyFill="1"/>
    <xf numFmtId="0" fontId="78" fillId="0" borderId="0" xfId="44" applyFont="1" applyAlignment="1" applyProtection="1"/>
    <xf numFmtId="167" fontId="59" fillId="0" borderId="0" xfId="0" applyNumberFormat="1" applyFont="1"/>
    <xf numFmtId="2" fontId="79" fillId="0" borderId="0" xfId="0" applyNumberFormat="1" applyFont="1"/>
    <xf numFmtId="0" fontId="59" fillId="25" borderId="0" xfId="0" applyFont="1" applyFill="1"/>
    <xf numFmtId="0" fontId="78" fillId="25" borderId="0" xfId="44" applyFont="1" applyFill="1" applyAlignment="1" applyProtection="1"/>
    <xf numFmtId="167" fontId="59" fillId="25" borderId="0" xfId="0" applyNumberFormat="1" applyFont="1" applyFill="1"/>
    <xf numFmtId="2" fontId="79" fillId="25" borderId="0" xfId="0" applyNumberFormat="1" applyFont="1" applyFill="1"/>
    <xf numFmtId="0" fontId="35" fillId="25" borderId="31" xfId="0" applyFont="1" applyFill="1" applyBorder="1"/>
    <xf numFmtId="0" fontId="35" fillId="25" borderId="32" xfId="0" applyFont="1" applyFill="1" applyBorder="1"/>
    <xf numFmtId="0" fontId="35" fillId="25" borderId="33" xfId="0" applyFont="1" applyFill="1" applyBorder="1"/>
    <xf numFmtId="0" fontId="35" fillId="25" borderId="40" xfId="0" applyFont="1" applyFill="1" applyBorder="1"/>
    <xf numFmtId="0" fontId="35" fillId="25" borderId="41" xfId="0" applyFont="1" applyFill="1" applyBorder="1"/>
    <xf numFmtId="0" fontId="35" fillId="25" borderId="45" xfId="0" applyFont="1" applyFill="1" applyBorder="1"/>
    <xf numFmtId="0" fontId="35" fillId="25" borderId="46" xfId="0" applyFont="1" applyFill="1" applyBorder="1"/>
    <xf numFmtId="0" fontId="35" fillId="25" borderId="47" xfId="0" applyFont="1" applyFill="1" applyBorder="1"/>
    <xf numFmtId="0" fontId="35" fillId="25" borderId="34" xfId="0" applyFont="1" applyFill="1" applyBorder="1"/>
    <xf numFmtId="0" fontId="35" fillId="25" borderId="42" xfId="0" applyFont="1" applyFill="1" applyBorder="1"/>
    <xf numFmtId="0" fontId="35" fillId="36" borderId="0" xfId="0" applyFont="1" applyFill="1"/>
    <xf numFmtId="0" fontId="35" fillId="25" borderId="48" xfId="0" applyFont="1" applyFill="1" applyBorder="1"/>
    <xf numFmtId="0" fontId="35" fillId="37" borderId="0" xfId="0" applyFont="1" applyFill="1"/>
    <xf numFmtId="0" fontId="35" fillId="25" borderId="49" xfId="0" applyFont="1" applyFill="1" applyBorder="1"/>
    <xf numFmtId="0" fontId="35" fillId="25" borderId="36" xfId="0" applyFont="1" applyFill="1" applyBorder="1"/>
    <xf numFmtId="0" fontId="35" fillId="25" borderId="37" xfId="0" applyFont="1" applyFill="1" applyBorder="1"/>
    <xf numFmtId="0" fontId="35" fillId="25" borderId="38" xfId="0" applyFont="1" applyFill="1" applyBorder="1"/>
    <xf numFmtId="0" fontId="35" fillId="25" borderId="43" xfId="0" applyFont="1" applyFill="1" applyBorder="1"/>
    <xf numFmtId="0" fontId="35" fillId="25" borderId="44" xfId="0" applyFont="1" applyFill="1" applyBorder="1"/>
    <xf numFmtId="0" fontId="35" fillId="25" borderId="50" xfId="0" applyFont="1" applyFill="1" applyBorder="1"/>
    <xf numFmtId="0" fontId="35" fillId="25" borderId="51" xfId="0" applyFont="1" applyFill="1" applyBorder="1"/>
    <xf numFmtId="0" fontId="35" fillId="25" borderId="52" xfId="0" applyFont="1" applyFill="1" applyBorder="1"/>
    <xf numFmtId="0" fontId="80" fillId="25" borderId="0" xfId="0" applyFont="1" applyFill="1" applyAlignment="1">
      <alignment horizontal="center" vertical="center"/>
    </xf>
    <xf numFmtId="0" fontId="81" fillId="25" borderId="0" xfId="37" applyFont="1" applyFill="1"/>
    <xf numFmtId="0" fontId="81" fillId="25" borderId="0" xfId="37" applyFont="1" applyFill="1" applyAlignment="1">
      <alignment horizontal="center"/>
    </xf>
    <xf numFmtId="0" fontId="59" fillId="26" borderId="0" xfId="0" applyFont="1" applyFill="1"/>
    <xf numFmtId="0" fontId="35" fillId="26" borderId="0" xfId="0" applyFont="1" applyFill="1"/>
    <xf numFmtId="2" fontId="35" fillId="26" borderId="0" xfId="0" applyNumberFormat="1" applyFont="1" applyFill="1"/>
    <xf numFmtId="2" fontId="35" fillId="36" borderId="0" xfId="0" applyNumberFormat="1" applyFont="1" applyFill="1"/>
    <xf numFmtId="0" fontId="27" fillId="25" borderId="0" xfId="0" applyFont="1" applyFill="1" applyAlignment="1">
      <alignment vertical="center"/>
    </xf>
    <xf numFmtId="0" fontId="27" fillId="37" borderId="0" xfId="0" applyFont="1" applyFill="1" applyAlignment="1">
      <alignment vertical="center"/>
    </xf>
    <xf numFmtId="0" fontId="87" fillId="25" borderId="0" xfId="0" applyFont="1" applyFill="1" applyAlignment="1">
      <alignment horizontal="center" vertical="center"/>
    </xf>
    <xf numFmtId="2" fontId="59" fillId="25" borderId="0" xfId="0" applyNumberFormat="1" applyFont="1" applyFill="1"/>
    <xf numFmtId="2" fontId="59" fillId="0" borderId="0" xfId="0" applyNumberFormat="1" applyFont="1"/>
    <xf numFmtId="165" fontId="59" fillId="0" borderId="0" xfId="0" applyNumberFormat="1" applyFont="1"/>
    <xf numFmtId="0" fontId="24" fillId="25" borderId="0" xfId="37" applyFont="1" applyFill="1"/>
    <xf numFmtId="166" fontId="59" fillId="25" borderId="0" xfId="0" applyNumberFormat="1" applyFont="1" applyFill="1"/>
    <xf numFmtId="164" fontId="24" fillId="25" borderId="0" xfId="37" applyNumberFormat="1" applyFont="1" applyFill="1"/>
    <xf numFmtId="0" fontId="49" fillId="25" borderId="53" xfId="37" applyFont="1" applyFill="1" applyBorder="1" applyAlignment="1">
      <alignment horizontal="center" vertical="center"/>
    </xf>
    <xf numFmtId="0" fontId="50" fillId="25" borderId="53" xfId="37" applyFont="1" applyFill="1" applyBorder="1" applyAlignment="1">
      <alignment horizontal="center" vertical="center"/>
    </xf>
    <xf numFmtId="0" fontId="60" fillId="25" borderId="53" xfId="37" applyFont="1" applyFill="1" applyBorder="1" applyAlignment="1">
      <alignment horizontal="center" vertical="center"/>
    </xf>
    <xf numFmtId="0" fontId="74" fillId="25" borderId="53" xfId="37" applyFont="1" applyFill="1" applyBorder="1" applyAlignment="1">
      <alignment horizontal="center" vertical="center"/>
    </xf>
    <xf numFmtId="0" fontId="91" fillId="26" borderId="53" xfId="37" applyFont="1" applyFill="1" applyBorder="1" applyAlignment="1">
      <alignment horizontal="right"/>
    </xf>
    <xf numFmtId="0" fontId="72" fillId="29" borderId="53" xfId="37" applyFont="1" applyFill="1" applyBorder="1" applyAlignment="1">
      <alignment horizontal="right" vertical="center"/>
    </xf>
    <xf numFmtId="0" fontId="51" fillId="25" borderId="53" xfId="37" applyFont="1" applyFill="1" applyBorder="1" applyAlignment="1">
      <alignment horizontal="center" vertical="center"/>
    </xf>
    <xf numFmtId="0" fontId="35" fillId="25" borderId="53" xfId="37" applyFont="1" applyFill="1" applyBorder="1" applyAlignment="1">
      <alignment horizontal="right"/>
    </xf>
    <xf numFmtId="0" fontId="49" fillId="25" borderId="54" xfId="37" applyFont="1" applyFill="1" applyBorder="1" applyAlignment="1">
      <alignment horizontal="center"/>
    </xf>
    <xf numFmtId="0" fontId="65" fillId="26" borderId="54" xfId="37" applyFont="1" applyFill="1" applyBorder="1" applyAlignment="1">
      <alignment horizontal="left"/>
    </xf>
    <xf numFmtId="0" fontId="68" fillId="29" borderId="54" xfId="37" applyFont="1" applyFill="1" applyBorder="1" applyAlignment="1">
      <alignment horizontal="right"/>
    </xf>
    <xf numFmtId="0" fontId="67" fillId="25" borderId="54" xfId="37" applyFont="1" applyFill="1" applyBorder="1" applyAlignment="1">
      <alignment horizontal="center" vertical="center"/>
    </xf>
    <xf numFmtId="0" fontId="76" fillId="25" borderId="54" xfId="37" applyFont="1" applyFill="1" applyBorder="1" applyAlignment="1">
      <alignment horizontal="center" vertical="center"/>
    </xf>
    <xf numFmtId="0" fontId="92" fillId="25" borderId="54" xfId="37" applyFont="1" applyFill="1" applyBorder="1" applyAlignment="1">
      <alignment horizontal="center" vertical="center"/>
    </xf>
    <xf numFmtId="0" fontId="94" fillId="25" borderId="54" xfId="37" applyFont="1" applyFill="1" applyBorder="1" applyAlignment="1">
      <alignment horizontal="center" vertical="center"/>
    </xf>
    <xf numFmtId="0" fontId="33" fillId="25" borderId="54" xfId="37" applyFont="1" applyFill="1" applyBorder="1" applyAlignment="1">
      <alignment horizontal="center"/>
    </xf>
    <xf numFmtId="0" fontId="33" fillId="25" borderId="54" xfId="37" applyFont="1" applyFill="1" applyBorder="1" applyAlignment="1">
      <alignment horizontal="left"/>
    </xf>
    <xf numFmtId="0" fontId="95" fillId="25" borderId="0" xfId="0" applyFont="1" applyFill="1" applyAlignment="1">
      <alignment vertical="center"/>
    </xf>
    <xf numFmtId="0" fontId="49" fillId="29" borderId="53" xfId="0" applyFont="1" applyFill="1" applyBorder="1" applyAlignment="1">
      <alignment horizontal="center"/>
    </xf>
    <xf numFmtId="0" fontId="97" fillId="29" borderId="53" xfId="0" applyFont="1" applyFill="1" applyBorder="1" applyAlignment="1">
      <alignment horizontal="center"/>
    </xf>
    <xf numFmtId="0" fontId="65" fillId="26" borderId="53" xfId="0" applyFont="1" applyFill="1" applyBorder="1" applyAlignment="1">
      <alignment horizontal="center" vertical="center"/>
    </xf>
    <xf numFmtId="0" fontId="60" fillId="26" borderId="53" xfId="0" applyFont="1" applyFill="1" applyBorder="1" applyAlignment="1">
      <alignment horizontal="center" vertical="center"/>
    </xf>
    <xf numFmtId="0" fontId="74" fillId="26" borderId="53" xfId="0" applyFont="1" applyFill="1" applyBorder="1" applyAlignment="1">
      <alignment horizontal="center" vertical="center"/>
    </xf>
    <xf numFmtId="0" fontId="50" fillId="25" borderId="55" xfId="37" applyFont="1" applyFill="1" applyBorder="1" applyAlignment="1">
      <alignment horizontal="center" vertical="center"/>
    </xf>
    <xf numFmtId="0" fontId="60" fillId="25" borderId="55" xfId="37" applyFont="1" applyFill="1" applyBorder="1" applyAlignment="1">
      <alignment horizontal="center" vertical="center"/>
    </xf>
    <xf numFmtId="0" fontId="74" fillId="25" borderId="55" xfId="37" applyFont="1" applyFill="1" applyBorder="1" applyAlignment="1">
      <alignment horizontal="center" vertical="center"/>
    </xf>
    <xf numFmtId="0" fontId="68" fillId="25" borderId="55" xfId="37" applyFont="1" applyFill="1" applyBorder="1" applyAlignment="1">
      <alignment horizontal="center" vertical="center"/>
    </xf>
    <xf numFmtId="0" fontId="65" fillId="26" borderId="55" xfId="37" applyFont="1" applyFill="1" applyBorder="1" applyAlignment="1">
      <alignment horizontal="center" vertical="center"/>
    </xf>
    <xf numFmtId="0" fontId="72" fillId="29" borderId="55" xfId="37" applyFont="1" applyFill="1" applyBorder="1" applyAlignment="1">
      <alignment horizontal="right" vertical="center"/>
    </xf>
    <xf numFmtId="0" fontId="97" fillId="29" borderId="55" xfId="0" applyFont="1" applyFill="1" applyBorder="1" applyAlignment="1">
      <alignment horizontal="center"/>
    </xf>
    <xf numFmtId="0" fontId="65" fillId="26" borderId="55" xfId="0" applyFont="1" applyFill="1" applyBorder="1" applyAlignment="1">
      <alignment horizontal="center" vertical="center"/>
    </xf>
    <xf numFmtId="0" fontId="60" fillId="26" borderId="55" xfId="0" applyFont="1" applyFill="1" applyBorder="1" applyAlignment="1">
      <alignment horizontal="center" vertical="center"/>
    </xf>
    <xf numFmtId="0" fontId="74" fillId="26" borderId="55" xfId="0" applyFont="1" applyFill="1" applyBorder="1" applyAlignment="1">
      <alignment horizontal="center" vertical="center"/>
    </xf>
    <xf numFmtId="0" fontId="35" fillId="25" borderId="55" xfId="37" applyFont="1" applyFill="1" applyBorder="1" applyAlignment="1">
      <alignment horizontal="right"/>
    </xf>
    <xf numFmtId="0" fontId="97" fillId="29" borderId="54" xfId="0" applyFont="1" applyFill="1" applyBorder="1" applyAlignment="1">
      <alignment horizontal="center"/>
    </xf>
    <xf numFmtId="0" fontId="65" fillId="26" borderId="54" xfId="0" applyFont="1" applyFill="1" applyBorder="1" applyAlignment="1">
      <alignment horizontal="center" vertical="center"/>
    </xf>
    <xf numFmtId="0" fontId="60" fillId="26" borderId="54" xfId="0" applyFont="1" applyFill="1" applyBorder="1" applyAlignment="1">
      <alignment horizontal="center" vertical="center"/>
    </xf>
    <xf numFmtId="0" fontId="74" fillId="26" borderId="54" xfId="0" applyFont="1" applyFill="1" applyBorder="1" applyAlignment="1">
      <alignment horizontal="center" vertical="center"/>
    </xf>
    <xf numFmtId="0" fontId="61" fillId="26" borderId="54" xfId="0" applyFont="1" applyFill="1" applyBorder="1" applyAlignment="1">
      <alignment horizontal="center" vertical="center"/>
    </xf>
    <xf numFmtId="0" fontId="65" fillId="26" borderId="54" xfId="0" applyFont="1" applyFill="1" applyBorder="1" applyAlignment="1">
      <alignment horizontal="center"/>
    </xf>
    <xf numFmtId="0" fontId="98" fillId="29" borderId="55" xfId="0" applyFont="1" applyFill="1" applyBorder="1" applyAlignment="1">
      <alignment horizontal="center"/>
    </xf>
    <xf numFmtId="0" fontId="99" fillId="29" borderId="55" xfId="0" applyFont="1" applyFill="1" applyBorder="1" applyAlignment="1">
      <alignment horizontal="center"/>
    </xf>
    <xf numFmtId="0" fontId="99" fillId="29" borderId="53" xfId="0" applyFont="1" applyFill="1" applyBorder="1" applyAlignment="1">
      <alignment horizontal="center"/>
    </xf>
    <xf numFmtId="0" fontId="98" fillId="29" borderId="53" xfId="0" applyFont="1" applyFill="1" applyBorder="1" applyAlignment="1">
      <alignment horizontal="center"/>
    </xf>
    <xf numFmtId="0" fontId="49" fillId="29" borderId="55" xfId="0" applyFont="1" applyFill="1" applyBorder="1" applyAlignment="1">
      <alignment horizontal="center"/>
    </xf>
    <xf numFmtId="0" fontId="49" fillId="29" borderId="54" xfId="0" applyFont="1" applyFill="1" applyBorder="1" applyAlignment="1">
      <alignment horizontal="center"/>
    </xf>
    <xf numFmtId="0" fontId="98" fillId="29" borderId="54" xfId="0" applyFont="1" applyFill="1" applyBorder="1" applyAlignment="1">
      <alignment horizontal="center"/>
    </xf>
    <xf numFmtId="2" fontId="24" fillId="37" borderId="55" xfId="37" applyNumberFormat="1" applyFont="1" applyFill="1" applyBorder="1" applyAlignment="1">
      <alignment horizontal="center" vertical="center"/>
    </xf>
    <xf numFmtId="2" fontId="47" fillId="37" borderId="55" xfId="37" applyNumberFormat="1" applyFont="1" applyFill="1" applyBorder="1" applyAlignment="1">
      <alignment horizontal="center" vertical="center"/>
    </xf>
    <xf numFmtId="2" fontId="28" fillId="37" borderId="55" xfId="37" applyNumberFormat="1" applyFont="1" applyFill="1" applyBorder="1" applyAlignment="1">
      <alignment horizontal="center" vertical="center"/>
    </xf>
    <xf numFmtId="2" fontId="35" fillId="37" borderId="55" xfId="37" applyNumberFormat="1" applyFont="1" applyFill="1" applyBorder="1" applyAlignment="1">
      <alignment horizontal="center"/>
    </xf>
    <xf numFmtId="2" fontId="55" fillId="37" borderId="55" xfId="37" applyNumberFormat="1" applyFont="1" applyFill="1" applyBorder="1" applyAlignment="1">
      <alignment horizontal="center"/>
    </xf>
    <xf numFmtId="2" fontId="54" fillId="37" borderId="55" xfId="37" applyNumberFormat="1" applyFont="1" applyFill="1" applyBorder="1" applyAlignment="1">
      <alignment horizontal="center"/>
    </xf>
    <xf numFmtId="2" fontId="100" fillId="37" borderId="55" xfId="0" applyNumberFormat="1" applyFont="1" applyFill="1" applyBorder="1" applyAlignment="1">
      <alignment horizontal="center" vertical="center"/>
    </xf>
    <xf numFmtId="2" fontId="77" fillId="37" borderId="55" xfId="0" applyNumberFormat="1" applyFont="1" applyFill="1" applyBorder="1" applyAlignment="1">
      <alignment horizontal="center" vertical="center"/>
    </xf>
    <xf numFmtId="2" fontId="29" fillId="35" borderId="55" xfId="37" applyNumberFormat="1" applyFont="1" applyFill="1" applyBorder="1" applyAlignment="1">
      <alignment horizontal="center" vertical="center"/>
    </xf>
    <xf numFmtId="2" fontId="24" fillId="35" borderId="55" xfId="37" applyNumberFormat="1" applyFont="1" applyFill="1" applyBorder="1" applyAlignment="1">
      <alignment horizontal="center"/>
    </xf>
    <xf numFmtId="2" fontId="35" fillId="35" borderId="55" xfId="37" applyNumberFormat="1" applyFont="1" applyFill="1" applyBorder="1" applyAlignment="1">
      <alignment horizontal="center" vertical="center"/>
    </xf>
    <xf numFmtId="2" fontId="82" fillId="35" borderId="55" xfId="0" applyNumberFormat="1" applyFont="1" applyFill="1" applyBorder="1" applyAlignment="1">
      <alignment horizontal="center" vertical="center"/>
    </xf>
    <xf numFmtId="2" fontId="59" fillId="35" borderId="55" xfId="0" applyNumberFormat="1" applyFont="1" applyFill="1" applyBorder="1" applyAlignment="1">
      <alignment horizontal="center" vertical="center"/>
    </xf>
    <xf numFmtId="2" fontId="26" fillId="35" borderId="53" xfId="37" applyNumberFormat="1" applyFont="1" applyFill="1" applyBorder="1" applyAlignment="1">
      <alignment horizontal="center"/>
    </xf>
    <xf numFmtId="2" fontId="35" fillId="35" borderId="53" xfId="37" applyNumberFormat="1" applyFont="1" applyFill="1" applyBorder="1" applyAlignment="1">
      <alignment horizontal="center" vertical="center"/>
    </xf>
    <xf numFmtId="2" fontId="31" fillId="35" borderId="53" xfId="37" applyNumberFormat="1" applyFont="1" applyFill="1" applyBorder="1" applyAlignment="1">
      <alignment horizontal="center" vertical="center"/>
    </xf>
    <xf numFmtId="2" fontId="82" fillId="35" borderId="53" xfId="0" applyNumberFormat="1" applyFont="1" applyFill="1" applyBorder="1" applyAlignment="1">
      <alignment horizontal="center" vertical="center"/>
    </xf>
    <xf numFmtId="2" fontId="59" fillId="35" borderId="53" xfId="0" applyNumberFormat="1" applyFont="1" applyFill="1" applyBorder="1" applyAlignment="1">
      <alignment horizontal="center" vertical="center"/>
    </xf>
    <xf numFmtId="2" fontId="43" fillId="37" borderId="53" xfId="37" applyNumberFormat="1" applyFont="1" applyFill="1" applyBorder="1" applyAlignment="1">
      <alignment horizontal="center" vertical="center"/>
    </xf>
    <xf numFmtId="2" fontId="48" fillId="37" borderId="53" xfId="37" applyNumberFormat="1" applyFont="1" applyFill="1" applyBorder="1" applyAlignment="1">
      <alignment horizontal="center" vertical="center"/>
    </xf>
    <xf numFmtId="2" fontId="44" fillId="37" borderId="53" xfId="37" applyNumberFormat="1" applyFont="1" applyFill="1" applyBorder="1" applyAlignment="1">
      <alignment horizontal="center" vertical="center"/>
    </xf>
    <xf numFmtId="2" fontId="35" fillId="37" borderId="53" xfId="37" applyNumberFormat="1" applyFont="1" applyFill="1" applyBorder="1" applyAlignment="1">
      <alignment horizontal="center"/>
    </xf>
    <xf numFmtId="2" fontId="55" fillId="37" borderId="53" xfId="37" applyNumberFormat="1" applyFont="1" applyFill="1" applyBorder="1" applyAlignment="1">
      <alignment horizontal="center"/>
    </xf>
    <xf numFmtId="2" fontId="54" fillId="37" borderId="53" xfId="37" applyNumberFormat="1" applyFont="1" applyFill="1" applyBorder="1" applyAlignment="1">
      <alignment horizontal="center"/>
    </xf>
    <xf numFmtId="2" fontId="100" fillId="37" borderId="53" xfId="0" applyNumberFormat="1" applyFont="1" applyFill="1" applyBorder="1" applyAlignment="1">
      <alignment horizontal="center" vertical="center"/>
    </xf>
    <xf numFmtId="2" fontId="77" fillId="37" borderId="53" xfId="0" applyNumberFormat="1" applyFont="1" applyFill="1" applyBorder="1" applyAlignment="1">
      <alignment horizontal="center" vertical="center"/>
    </xf>
    <xf numFmtId="2" fontId="66" fillId="37" borderId="54" xfId="37" applyNumberFormat="1" applyFont="1" applyFill="1" applyBorder="1" applyAlignment="1">
      <alignment horizontal="center" vertical="center"/>
    </xf>
    <xf numFmtId="2" fontId="76" fillId="37" borderId="54" xfId="37" applyNumberFormat="1" applyFont="1" applyFill="1" applyBorder="1" applyAlignment="1">
      <alignment horizontal="center" vertical="center"/>
    </xf>
    <xf numFmtId="2" fontId="92" fillId="37" borderId="54" xfId="37" applyNumberFormat="1" applyFont="1" applyFill="1" applyBorder="1" applyAlignment="1">
      <alignment horizontal="center" vertical="center"/>
    </xf>
    <xf numFmtId="2" fontId="94" fillId="37" borderId="54" xfId="37" applyNumberFormat="1" applyFont="1" applyFill="1" applyBorder="1" applyAlignment="1">
      <alignment horizontal="center" vertical="center"/>
    </xf>
    <xf numFmtId="2" fontId="27" fillId="37" borderId="54" xfId="37" applyNumberFormat="1" applyFont="1" applyFill="1" applyBorder="1" applyAlignment="1">
      <alignment horizontal="center" vertical="center"/>
    </xf>
    <xf numFmtId="2" fontId="47" fillId="37" borderId="54" xfId="37" applyNumberFormat="1" applyFont="1" applyFill="1" applyBorder="1" applyAlignment="1">
      <alignment horizontal="center" vertical="center"/>
    </xf>
    <xf numFmtId="2" fontId="25" fillId="37" borderId="54" xfId="37" applyNumberFormat="1" applyFont="1" applyFill="1" applyBorder="1" applyAlignment="1">
      <alignment horizontal="center" vertical="center"/>
    </xf>
    <xf numFmtId="2" fontId="28" fillId="37" borderId="54" xfId="37" applyNumberFormat="1" applyFont="1" applyFill="1" applyBorder="1" applyAlignment="1">
      <alignment horizontal="center" vertical="center"/>
    </xf>
    <xf numFmtId="2" fontId="101" fillId="37" borderId="54" xfId="0" applyNumberFormat="1" applyFont="1" applyFill="1" applyBorder="1" applyAlignment="1">
      <alignment horizontal="center"/>
    </xf>
    <xf numFmtId="2" fontId="77" fillId="37" borderId="54" xfId="0" applyNumberFormat="1" applyFont="1" applyFill="1" applyBorder="1" applyAlignment="1">
      <alignment horizontal="center" vertical="center"/>
    </xf>
    <xf numFmtId="2" fontId="100" fillId="37" borderId="54" xfId="0" applyNumberFormat="1" applyFont="1" applyFill="1" applyBorder="1" applyAlignment="1">
      <alignment horizontal="center" vertical="center"/>
    </xf>
    <xf numFmtId="2" fontId="82" fillId="35" borderId="54" xfId="0" applyNumberFormat="1" applyFont="1" applyFill="1" applyBorder="1" applyAlignment="1">
      <alignment horizontal="center" vertical="center"/>
    </xf>
    <xf numFmtId="2" fontId="59" fillId="35" borderId="54" xfId="0" applyNumberFormat="1" applyFont="1" applyFill="1" applyBorder="1" applyAlignment="1">
      <alignment horizontal="center" vertical="center"/>
    </xf>
    <xf numFmtId="2" fontId="24" fillId="35" borderId="54" xfId="37" applyNumberFormat="1" applyFont="1" applyFill="1" applyBorder="1" applyAlignment="1">
      <alignment horizontal="center"/>
    </xf>
    <xf numFmtId="2" fontId="31" fillId="35" borderId="54" xfId="37" applyNumberFormat="1" applyFont="1" applyFill="1" applyBorder="1" applyAlignment="1">
      <alignment horizontal="center"/>
    </xf>
    <xf numFmtId="0" fontId="33" fillId="35" borderId="54" xfId="37" applyFont="1" applyFill="1" applyBorder="1"/>
    <xf numFmtId="0" fontId="33" fillId="35" borderId="54" xfId="37" applyFont="1" applyFill="1" applyBorder="1" applyAlignment="1">
      <alignment horizontal="center"/>
    </xf>
    <xf numFmtId="0" fontId="49" fillId="27" borderId="10" xfId="0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/>
    <xf numFmtId="0" fontId="24" fillId="26" borderId="0" xfId="37" applyFont="1" applyFill="1"/>
    <xf numFmtId="166" fontId="59" fillId="26" borderId="0" xfId="0" applyNumberFormat="1" applyFont="1" applyFill="1"/>
    <xf numFmtId="164" fontId="24" fillId="26" borderId="0" xfId="37" applyNumberFormat="1" applyFont="1" applyFill="1"/>
    <xf numFmtId="167" fontId="105" fillId="39" borderId="57" xfId="0" applyNumberFormat="1" applyFont="1" applyFill="1" applyBorder="1" applyAlignment="1">
      <alignment horizontal="center" vertical="center"/>
    </xf>
    <xf numFmtId="167" fontId="105" fillId="28" borderId="57" xfId="0" applyNumberFormat="1" applyFont="1" applyFill="1" applyBorder="1" applyAlignment="1">
      <alignment horizontal="center" vertical="center"/>
    </xf>
    <xf numFmtId="167" fontId="105" fillId="39" borderId="78" xfId="0" applyNumberFormat="1" applyFont="1" applyFill="1" applyBorder="1" applyAlignment="1">
      <alignment horizontal="center" vertical="center"/>
    </xf>
    <xf numFmtId="167" fontId="105" fillId="28" borderId="78" xfId="0" applyNumberFormat="1" applyFont="1" applyFill="1" applyBorder="1" applyAlignment="1">
      <alignment horizontal="center" vertical="center"/>
    </xf>
    <xf numFmtId="0" fontId="59" fillId="48" borderId="0" xfId="0" applyFont="1" applyFill="1"/>
    <xf numFmtId="167" fontId="115" fillId="48" borderId="198" xfId="0" applyNumberFormat="1" applyFont="1" applyFill="1" applyBorder="1" applyAlignment="1">
      <alignment horizontal="center" vertical="center"/>
    </xf>
    <xf numFmtId="2" fontId="116" fillId="48" borderId="59" xfId="0" applyNumberFormat="1" applyFont="1" applyFill="1" applyBorder="1" applyAlignment="1">
      <alignment horizontal="center" vertical="center"/>
    </xf>
    <xf numFmtId="2" fontId="116" fillId="48" borderId="56" xfId="0" applyNumberFormat="1" applyFont="1" applyFill="1" applyBorder="1" applyAlignment="1">
      <alignment horizontal="center" vertical="center"/>
    </xf>
    <xf numFmtId="167" fontId="115" fillId="48" borderId="199" xfId="0" applyNumberFormat="1" applyFont="1" applyFill="1" applyBorder="1" applyAlignment="1">
      <alignment horizontal="center" vertical="center"/>
    </xf>
    <xf numFmtId="2" fontId="116" fillId="48" borderId="79" xfId="0" applyNumberFormat="1" applyFont="1" applyFill="1" applyBorder="1" applyAlignment="1">
      <alignment horizontal="center" vertical="center"/>
    </xf>
    <xf numFmtId="2" fontId="116" fillId="48" borderId="80" xfId="0" applyNumberFormat="1" applyFont="1" applyFill="1" applyBorder="1" applyAlignment="1">
      <alignment horizontal="center" vertical="center"/>
    </xf>
    <xf numFmtId="167" fontId="115" fillId="48" borderId="200" xfId="0" applyNumberFormat="1" applyFont="1" applyFill="1" applyBorder="1" applyAlignment="1">
      <alignment horizontal="center" vertical="center"/>
    </xf>
    <xf numFmtId="0" fontId="116" fillId="48" borderId="0" xfId="0" applyFont="1" applyFill="1"/>
    <xf numFmtId="2" fontId="116" fillId="48" borderId="64" xfId="0" applyNumberFormat="1" applyFont="1" applyFill="1" applyBorder="1" applyAlignment="1">
      <alignment horizontal="center" vertical="center"/>
    </xf>
    <xf numFmtId="2" fontId="116" fillId="48" borderId="60" xfId="0" applyNumberFormat="1" applyFont="1" applyFill="1" applyBorder="1" applyAlignment="1">
      <alignment horizontal="center" vertical="center"/>
    </xf>
    <xf numFmtId="2" fontId="116" fillId="48" borderId="90" xfId="0" applyNumberFormat="1" applyFont="1" applyFill="1" applyBorder="1" applyAlignment="1">
      <alignment horizontal="center" vertical="center"/>
    </xf>
    <xf numFmtId="2" fontId="115" fillId="48" borderId="86" xfId="0" applyNumberFormat="1" applyFont="1" applyFill="1" applyBorder="1" applyAlignment="1">
      <alignment horizontal="center" vertical="center"/>
    </xf>
    <xf numFmtId="2" fontId="115" fillId="48" borderId="87" xfId="0" applyNumberFormat="1" applyFont="1" applyFill="1" applyBorder="1" applyAlignment="1">
      <alignment horizontal="center" vertical="center"/>
    </xf>
    <xf numFmtId="2" fontId="116" fillId="48" borderId="87" xfId="0" applyNumberFormat="1" applyFont="1" applyFill="1" applyBorder="1" applyAlignment="1">
      <alignment horizontal="center" vertical="center"/>
    </xf>
    <xf numFmtId="2" fontId="116" fillId="48" borderId="88" xfId="0" applyNumberFormat="1" applyFont="1" applyFill="1" applyBorder="1" applyAlignment="1">
      <alignment horizontal="center" vertical="center"/>
    </xf>
    <xf numFmtId="167" fontId="115" fillId="26" borderId="57" xfId="0" applyNumberFormat="1" applyFont="1" applyFill="1" applyBorder="1" applyAlignment="1">
      <alignment horizontal="center" vertical="center"/>
    </xf>
    <xf numFmtId="167" fontId="115" fillId="26" borderId="78" xfId="0" applyNumberFormat="1" applyFont="1" applyFill="1" applyBorder="1" applyAlignment="1">
      <alignment horizontal="center" vertical="center"/>
    </xf>
    <xf numFmtId="2" fontId="115" fillId="26" borderId="56" xfId="0" applyNumberFormat="1" applyFont="1" applyFill="1" applyBorder="1" applyAlignment="1">
      <alignment horizontal="center" vertical="center"/>
    </xf>
    <xf numFmtId="2" fontId="115" fillId="26" borderId="80" xfId="0" applyNumberFormat="1" applyFont="1" applyFill="1" applyBorder="1" applyAlignment="1">
      <alignment horizontal="center" vertical="center"/>
    </xf>
    <xf numFmtId="2" fontId="115" fillId="26" borderId="60" xfId="0" applyNumberFormat="1" applyFont="1" applyFill="1" applyBorder="1" applyAlignment="1">
      <alignment horizontal="center" vertical="center"/>
    </xf>
    <xf numFmtId="2" fontId="116" fillId="50" borderId="56" xfId="0" applyNumberFormat="1" applyFont="1" applyFill="1" applyBorder="1" applyAlignment="1">
      <alignment horizontal="center" vertical="center"/>
    </xf>
    <xf numFmtId="2" fontId="116" fillId="50" borderId="80" xfId="0" applyNumberFormat="1" applyFont="1" applyFill="1" applyBorder="1" applyAlignment="1">
      <alignment horizontal="center" vertical="center"/>
    </xf>
    <xf numFmtId="2" fontId="115" fillId="26" borderId="71" xfId="0" applyNumberFormat="1" applyFont="1" applyFill="1" applyBorder="1" applyAlignment="1">
      <alignment horizontal="center" vertical="center"/>
    </xf>
    <xf numFmtId="2" fontId="115" fillId="26" borderId="90" xfId="0" applyNumberFormat="1" applyFont="1" applyFill="1" applyBorder="1" applyAlignment="1">
      <alignment horizontal="center" vertical="center"/>
    </xf>
    <xf numFmtId="2" fontId="115" fillId="26" borderId="75" xfId="0" applyNumberFormat="1" applyFont="1" applyFill="1" applyBorder="1" applyAlignment="1">
      <alignment horizontal="center" vertical="center"/>
    </xf>
    <xf numFmtId="2" fontId="116" fillId="26" borderId="57" xfId="0" applyNumberFormat="1" applyFont="1" applyFill="1" applyBorder="1" applyAlignment="1">
      <alignment horizontal="center" vertical="center"/>
    </xf>
    <xf numFmtId="2" fontId="116" fillId="26" borderId="78" xfId="0" applyNumberFormat="1" applyFont="1" applyFill="1" applyBorder="1" applyAlignment="1">
      <alignment horizontal="center" vertical="center"/>
    </xf>
    <xf numFmtId="2" fontId="116" fillId="26" borderId="84" xfId="0" applyNumberFormat="1" applyFont="1" applyFill="1" applyBorder="1" applyAlignment="1">
      <alignment horizontal="center" vertical="center"/>
    </xf>
    <xf numFmtId="2" fontId="116" fillId="26" borderId="78" xfId="37" applyNumberFormat="1" applyFont="1" applyFill="1" applyBorder="1" applyAlignment="1">
      <alignment horizontal="center" vertical="center"/>
    </xf>
    <xf numFmtId="2" fontId="116" fillId="26" borderId="77" xfId="0" applyNumberFormat="1" applyFont="1" applyFill="1" applyBorder="1" applyAlignment="1">
      <alignment horizontal="center" vertical="center"/>
    </xf>
    <xf numFmtId="2" fontId="115" fillId="26" borderId="78" xfId="0" applyNumberFormat="1" applyFont="1" applyFill="1" applyBorder="1" applyAlignment="1">
      <alignment horizontal="center" vertical="center"/>
    </xf>
    <xf numFmtId="0" fontId="116" fillId="26" borderId="78" xfId="0" applyFont="1" applyFill="1" applyBorder="1" applyAlignment="1">
      <alignment horizontal="center" vertical="center"/>
    </xf>
    <xf numFmtId="2" fontId="116" fillId="26" borderId="94" xfId="0" applyNumberFormat="1" applyFont="1" applyFill="1" applyBorder="1" applyAlignment="1">
      <alignment horizontal="center" vertical="center"/>
    </xf>
    <xf numFmtId="0" fontId="116" fillId="26" borderId="82" xfId="0" applyFont="1" applyFill="1" applyBorder="1" applyAlignment="1">
      <alignment horizontal="center" vertical="center"/>
    </xf>
    <xf numFmtId="2" fontId="116" fillId="48" borderId="109" xfId="0" applyNumberFormat="1" applyFont="1" applyFill="1" applyBorder="1" applyAlignment="1">
      <alignment horizontal="center" vertical="center"/>
    </xf>
    <xf numFmtId="2" fontId="115" fillId="40" borderId="203" xfId="0" applyNumberFormat="1" applyFont="1" applyFill="1" applyBorder="1" applyAlignment="1">
      <alignment horizontal="center" vertical="center"/>
    </xf>
    <xf numFmtId="0" fontId="35" fillId="48" borderId="0" xfId="0" applyFont="1" applyFill="1"/>
    <xf numFmtId="0" fontId="42" fillId="48" borderId="0" xfId="0" applyFont="1" applyFill="1" applyAlignment="1">
      <alignment vertical="center"/>
    </xf>
    <xf numFmtId="0" fontId="80" fillId="48" borderId="0" xfId="0" applyFont="1" applyFill="1" applyAlignment="1">
      <alignment horizontal="center" vertical="center"/>
    </xf>
    <xf numFmtId="0" fontId="24" fillId="48" borderId="0" xfId="0" applyFont="1" applyFill="1" applyAlignment="1">
      <alignment horizontal="center" vertical="center"/>
    </xf>
    <xf numFmtId="0" fontId="24" fillId="48" borderId="0" xfId="37" applyFont="1" applyFill="1"/>
    <xf numFmtId="0" fontId="24" fillId="48" borderId="0" xfId="37" applyFont="1" applyFill="1" applyAlignment="1">
      <alignment horizontal="center"/>
    </xf>
    <xf numFmtId="2" fontId="116" fillId="48" borderId="206" xfId="0" applyNumberFormat="1" applyFont="1" applyFill="1" applyBorder="1" applyAlignment="1">
      <alignment horizontal="center" vertical="center"/>
    </xf>
    <xf numFmtId="2" fontId="116" fillId="50" borderId="57" xfId="0" applyNumberFormat="1" applyFont="1" applyFill="1" applyBorder="1" applyAlignment="1">
      <alignment horizontal="center" vertical="center"/>
    </xf>
    <xf numFmtId="0" fontId="118" fillId="42" borderId="60" xfId="0" applyFont="1" applyFill="1" applyBorder="1" applyAlignment="1">
      <alignment horizontal="center" vertical="center"/>
    </xf>
    <xf numFmtId="0" fontId="118" fillId="42" borderId="80" xfId="0" applyFont="1" applyFill="1" applyBorder="1" applyAlignment="1">
      <alignment horizontal="center" vertical="center"/>
    </xf>
    <xf numFmtId="0" fontId="118" fillId="42" borderId="75" xfId="0" applyFont="1" applyFill="1" applyBorder="1" applyAlignment="1">
      <alignment horizontal="center" vertical="center"/>
    </xf>
    <xf numFmtId="0" fontId="118" fillId="42" borderId="73" xfId="43" applyFont="1" applyFill="1" applyBorder="1" applyAlignment="1">
      <alignment horizontal="center" vertical="center"/>
    </xf>
    <xf numFmtId="0" fontId="118" fillId="42" borderId="66" xfId="43" applyFont="1" applyFill="1" applyBorder="1" applyAlignment="1">
      <alignment horizontal="center" vertical="center"/>
    </xf>
    <xf numFmtId="0" fontId="118" fillId="42" borderId="61" xfId="43" applyFont="1" applyFill="1" applyBorder="1" applyAlignment="1">
      <alignment horizontal="center" vertical="center" wrapText="1"/>
    </xf>
    <xf numFmtId="0" fontId="119" fillId="25" borderId="61" xfId="43" applyFont="1" applyFill="1" applyBorder="1" applyAlignment="1">
      <alignment horizontal="center" vertical="center" wrapText="1"/>
    </xf>
    <xf numFmtId="0" fontId="119" fillId="25" borderId="91" xfId="43" applyFont="1" applyFill="1" applyBorder="1" applyAlignment="1">
      <alignment horizontal="center" vertical="center" wrapText="1"/>
    </xf>
    <xf numFmtId="0" fontId="118" fillId="38" borderId="73" xfId="43" applyFont="1" applyFill="1" applyBorder="1" applyAlignment="1">
      <alignment horizontal="center" vertical="center"/>
    </xf>
    <xf numFmtId="0" fontId="118" fillId="38" borderId="66" xfId="43" applyFont="1" applyFill="1" applyBorder="1" applyAlignment="1">
      <alignment horizontal="center" vertical="center"/>
    </xf>
    <xf numFmtId="0" fontId="118" fillId="38" borderId="61" xfId="43" applyFont="1" applyFill="1" applyBorder="1" applyAlignment="1">
      <alignment horizontal="center" vertical="center" wrapText="1"/>
    </xf>
    <xf numFmtId="10" fontId="115" fillId="44" borderId="205" xfId="0" applyNumberFormat="1" applyFont="1" applyFill="1" applyBorder="1" applyAlignment="1">
      <alignment horizontal="center" vertical="center"/>
    </xf>
    <xf numFmtId="2" fontId="115" fillId="26" borderId="65" xfId="0" applyNumberFormat="1" applyFont="1" applyFill="1" applyBorder="1" applyAlignment="1">
      <alignment horizontal="center" vertical="center"/>
    </xf>
    <xf numFmtId="2" fontId="115" fillId="26" borderId="57" xfId="0" applyNumberFormat="1" applyFont="1" applyFill="1" applyBorder="1" applyAlignment="1">
      <alignment horizontal="center" vertical="center"/>
    </xf>
    <xf numFmtId="2" fontId="115" fillId="26" borderId="83" xfId="0" applyNumberFormat="1" applyFont="1" applyFill="1" applyBorder="1" applyAlignment="1">
      <alignment horizontal="center" vertical="center"/>
    </xf>
    <xf numFmtId="2" fontId="115" fillId="26" borderId="84" xfId="0" applyNumberFormat="1" applyFont="1" applyFill="1" applyBorder="1" applyAlignment="1">
      <alignment horizontal="center" vertical="center"/>
    </xf>
    <xf numFmtId="2" fontId="115" fillId="26" borderId="77" xfId="37" applyNumberFormat="1" applyFont="1" applyFill="1" applyBorder="1" applyAlignment="1">
      <alignment horizontal="center" vertical="center"/>
    </xf>
    <xf numFmtId="2" fontId="115" fillId="26" borderId="78" xfId="37" applyNumberFormat="1" applyFont="1" applyFill="1" applyBorder="1" applyAlignment="1">
      <alignment horizontal="center" vertical="center"/>
    </xf>
    <xf numFmtId="2" fontId="115" fillId="44" borderId="78" xfId="37" applyNumberFormat="1" applyFont="1" applyFill="1" applyBorder="1" applyAlignment="1">
      <alignment horizontal="center" vertical="center"/>
    </xf>
    <xf numFmtId="0" fontId="35" fillId="50" borderId="0" xfId="0" applyFont="1" applyFill="1"/>
    <xf numFmtId="0" fontId="59" fillId="50" borderId="0" xfId="0" applyFont="1" applyFill="1"/>
    <xf numFmtId="2" fontId="35" fillId="50" borderId="0" xfId="0" applyNumberFormat="1" applyFont="1" applyFill="1"/>
    <xf numFmtId="0" fontId="119" fillId="28" borderId="66" xfId="37" applyFont="1" applyFill="1" applyBorder="1" applyAlignment="1">
      <alignment horizontal="center" vertical="center"/>
    </xf>
    <xf numFmtId="2" fontId="115" fillId="26" borderId="57" xfId="37" applyNumberFormat="1" applyFont="1" applyFill="1" applyBorder="1" applyAlignment="1">
      <alignment horizontal="center" vertical="center"/>
    </xf>
    <xf numFmtId="2" fontId="105" fillId="39" borderId="57" xfId="37" applyNumberFormat="1" applyFont="1" applyFill="1" applyBorder="1" applyAlignment="1">
      <alignment horizontal="center" vertical="center"/>
    </xf>
    <xf numFmtId="2" fontId="105" fillId="28" borderId="57" xfId="37" applyNumberFormat="1" applyFont="1" applyFill="1" applyBorder="1" applyAlignment="1">
      <alignment horizontal="center" vertical="center"/>
    </xf>
    <xf numFmtId="0" fontId="116" fillId="48" borderId="114" xfId="37" applyFont="1" applyFill="1" applyBorder="1" applyAlignment="1">
      <alignment horizontal="center" vertical="center"/>
    </xf>
    <xf numFmtId="2" fontId="115" fillId="26" borderId="57" xfId="37" applyNumberFormat="1" applyFont="1" applyFill="1" applyBorder="1" applyAlignment="1">
      <alignment horizontal="center"/>
    </xf>
    <xf numFmtId="2" fontId="105" fillId="39" borderId="57" xfId="37" applyNumberFormat="1" applyFont="1" applyFill="1" applyBorder="1" applyAlignment="1">
      <alignment horizontal="center"/>
    </xf>
    <xf numFmtId="2" fontId="105" fillId="28" borderId="57" xfId="37" applyNumberFormat="1" applyFont="1" applyFill="1" applyBorder="1" applyAlignment="1">
      <alignment horizontal="center"/>
    </xf>
    <xf numFmtId="2" fontId="116" fillId="26" borderId="57" xfId="37" applyNumberFormat="1" applyFont="1" applyFill="1" applyBorder="1" applyAlignment="1">
      <alignment horizontal="center"/>
    </xf>
    <xf numFmtId="2" fontId="104" fillId="39" borderId="57" xfId="37" applyNumberFormat="1" applyFont="1" applyFill="1" applyBorder="1" applyAlignment="1">
      <alignment horizontal="center"/>
    </xf>
    <xf numFmtId="2" fontId="104" fillId="28" borderId="57" xfId="37" applyNumberFormat="1" applyFont="1" applyFill="1" applyBorder="1" applyAlignment="1">
      <alignment horizontal="center"/>
    </xf>
    <xf numFmtId="0" fontId="116" fillId="48" borderId="98" xfId="37" applyFont="1" applyFill="1" applyBorder="1" applyAlignment="1">
      <alignment horizontal="center" vertical="center"/>
    </xf>
    <xf numFmtId="2" fontId="116" fillId="48" borderId="61" xfId="37" applyNumberFormat="1" applyFont="1" applyFill="1" applyBorder="1" applyAlignment="1">
      <alignment horizontal="center"/>
    </xf>
    <xf numFmtId="2" fontId="116" fillId="48" borderId="56" xfId="37" applyNumberFormat="1" applyFont="1" applyFill="1" applyBorder="1" applyAlignment="1">
      <alignment horizontal="center" vertical="center"/>
    </xf>
    <xf numFmtId="0" fontId="113" fillId="32" borderId="111" xfId="0" applyFont="1" applyFill="1" applyBorder="1" applyAlignment="1">
      <alignment horizontal="center" vertical="center"/>
    </xf>
    <xf numFmtId="0" fontId="113" fillId="48" borderId="120" xfId="0" applyFont="1" applyFill="1" applyBorder="1" applyAlignment="1">
      <alignment horizontal="center"/>
    </xf>
    <xf numFmtId="167" fontId="112" fillId="26" borderId="118" xfId="0" applyNumberFormat="1" applyFont="1" applyFill="1" applyBorder="1" applyAlignment="1">
      <alignment horizontal="center" vertical="center"/>
    </xf>
    <xf numFmtId="167" fontId="124" fillId="26" borderId="76" xfId="0" applyNumberFormat="1" applyFont="1" applyFill="1" applyBorder="1" applyAlignment="1">
      <alignment horizontal="center" vertical="center"/>
    </xf>
    <xf numFmtId="167" fontId="112" fillId="26" borderId="186" xfId="0" applyNumberFormat="1" applyFont="1" applyFill="1" applyBorder="1" applyAlignment="1">
      <alignment horizontal="center" vertical="center"/>
    </xf>
    <xf numFmtId="167" fontId="116" fillId="48" borderId="187" xfId="0" applyNumberFormat="1" applyFont="1" applyFill="1" applyBorder="1" applyAlignment="1">
      <alignment horizontal="center" vertical="center"/>
    </xf>
    <xf numFmtId="167" fontId="116" fillId="48" borderId="185" xfId="0" applyNumberFormat="1" applyFont="1" applyFill="1" applyBorder="1" applyAlignment="1">
      <alignment horizontal="center" vertical="center"/>
    </xf>
    <xf numFmtId="0" fontId="116" fillId="48" borderId="55" xfId="37" applyFont="1" applyFill="1" applyBorder="1" applyAlignment="1">
      <alignment horizontal="right"/>
    </xf>
    <xf numFmtId="167" fontId="115" fillId="50" borderId="170" xfId="0" applyNumberFormat="1" applyFont="1" applyFill="1" applyBorder="1" applyAlignment="1">
      <alignment horizontal="center" vertical="center"/>
    </xf>
    <xf numFmtId="2" fontId="116" fillId="50" borderId="172" xfId="0" applyNumberFormat="1" applyFont="1" applyFill="1" applyBorder="1" applyAlignment="1">
      <alignment horizontal="center" vertical="center"/>
    </xf>
    <xf numFmtId="2" fontId="116" fillId="50" borderId="164" xfId="0" applyNumberFormat="1" applyFont="1" applyFill="1" applyBorder="1" applyAlignment="1">
      <alignment horizontal="center" vertical="center"/>
    </xf>
    <xf numFmtId="2" fontId="116" fillId="50" borderId="165" xfId="0" applyNumberFormat="1" applyFont="1" applyFill="1" applyBorder="1" applyAlignment="1">
      <alignment horizontal="center" vertical="center"/>
    </xf>
    <xf numFmtId="2" fontId="116" fillId="50" borderId="169" xfId="0" applyNumberFormat="1" applyFont="1" applyFill="1" applyBorder="1" applyAlignment="1">
      <alignment horizontal="center" vertical="center"/>
    </xf>
    <xf numFmtId="2" fontId="116" fillId="50" borderId="167" xfId="0" applyNumberFormat="1" applyFont="1" applyFill="1" applyBorder="1" applyAlignment="1">
      <alignment horizontal="center" vertical="center"/>
    </xf>
    <xf numFmtId="2" fontId="116" fillId="50" borderId="168" xfId="0" applyNumberFormat="1" applyFont="1" applyFill="1" applyBorder="1" applyAlignment="1">
      <alignment horizontal="center" vertical="center"/>
    </xf>
    <xf numFmtId="167" fontId="115" fillId="50" borderId="131" xfId="0" applyNumberFormat="1" applyFont="1" applyFill="1" applyBorder="1" applyAlignment="1">
      <alignment horizontal="center" vertical="center"/>
    </xf>
    <xf numFmtId="0" fontId="116" fillId="50" borderId="0" xfId="0" applyFont="1" applyFill="1"/>
    <xf numFmtId="2" fontId="116" fillId="50" borderId="84" xfId="0" applyNumberFormat="1" applyFont="1" applyFill="1" applyBorder="1" applyAlignment="1">
      <alignment horizontal="center" vertical="center"/>
    </xf>
    <xf numFmtId="2" fontId="116" fillId="50" borderId="64" xfId="0" applyNumberFormat="1" applyFont="1" applyFill="1" applyBorder="1" applyAlignment="1">
      <alignment horizontal="center" vertical="center"/>
    </xf>
    <xf numFmtId="2" fontId="116" fillId="50" borderId="60" xfId="0" applyNumberFormat="1" applyFont="1" applyFill="1" applyBorder="1" applyAlignment="1">
      <alignment horizontal="center" vertical="center"/>
    </xf>
    <xf numFmtId="2" fontId="116" fillId="50" borderId="75" xfId="0" applyNumberFormat="1" applyFont="1" applyFill="1" applyBorder="1" applyAlignment="1">
      <alignment horizontal="center" vertical="center"/>
    </xf>
    <xf numFmtId="2" fontId="116" fillId="50" borderId="71" xfId="0" applyNumberFormat="1" applyFont="1" applyFill="1" applyBorder="1" applyAlignment="1">
      <alignment horizontal="center" vertical="center"/>
    </xf>
    <xf numFmtId="2" fontId="116" fillId="50" borderId="79" xfId="0" applyNumberFormat="1" applyFont="1" applyFill="1" applyBorder="1" applyAlignment="1">
      <alignment horizontal="center" vertical="center"/>
    </xf>
    <xf numFmtId="2" fontId="116" fillId="50" borderId="81" xfId="0" applyNumberFormat="1" applyFont="1" applyFill="1" applyBorder="1" applyAlignment="1">
      <alignment horizontal="center" vertical="center"/>
    </xf>
    <xf numFmtId="167" fontId="115" fillId="26" borderId="121" xfId="0" applyNumberFormat="1" applyFont="1" applyFill="1" applyBorder="1" applyAlignment="1">
      <alignment horizontal="center" vertical="center"/>
    </xf>
    <xf numFmtId="167" fontId="115" fillId="26" borderId="130" xfId="0" applyNumberFormat="1" applyFont="1" applyFill="1" applyBorder="1" applyAlignment="1">
      <alignment horizontal="center" vertical="center"/>
    </xf>
    <xf numFmtId="167" fontId="105" fillId="39" borderId="121" xfId="0" applyNumberFormat="1" applyFont="1" applyFill="1" applyBorder="1" applyAlignment="1">
      <alignment horizontal="center" vertical="center"/>
    </xf>
    <xf numFmtId="167" fontId="105" fillId="39" borderId="130" xfId="0" applyNumberFormat="1" applyFont="1" applyFill="1" applyBorder="1" applyAlignment="1">
      <alignment horizontal="center" vertical="center"/>
    </xf>
    <xf numFmtId="167" fontId="105" fillId="28" borderId="121" xfId="0" applyNumberFormat="1" applyFont="1" applyFill="1" applyBorder="1" applyAlignment="1">
      <alignment horizontal="center" vertical="center"/>
    </xf>
    <xf numFmtId="167" fontId="105" fillId="28" borderId="130" xfId="0" applyNumberFormat="1" applyFont="1" applyFill="1" applyBorder="1" applyAlignment="1">
      <alignment horizontal="center" vertical="center"/>
    </xf>
    <xf numFmtId="2" fontId="116" fillId="26" borderId="121" xfId="0" applyNumberFormat="1" applyFont="1" applyFill="1" applyBorder="1" applyAlignment="1">
      <alignment horizontal="center" vertical="center"/>
    </xf>
    <xf numFmtId="2" fontId="116" fillId="26" borderId="130" xfId="0" applyNumberFormat="1" applyFont="1" applyFill="1" applyBorder="1" applyAlignment="1">
      <alignment horizontal="center" vertical="center"/>
    </xf>
    <xf numFmtId="2" fontId="115" fillId="26" borderId="121" xfId="0" applyNumberFormat="1" applyFont="1" applyFill="1" applyBorder="1" applyAlignment="1">
      <alignment horizontal="center" vertical="center"/>
    </xf>
    <xf numFmtId="2" fontId="115" fillId="26" borderId="130" xfId="0" applyNumberFormat="1" applyFont="1" applyFill="1" applyBorder="1" applyAlignment="1">
      <alignment horizontal="center" vertical="center"/>
    </xf>
    <xf numFmtId="0" fontId="107" fillId="25" borderId="164" xfId="43" applyFont="1" applyFill="1" applyBorder="1" applyAlignment="1">
      <alignment horizontal="center" vertical="center" wrapText="1"/>
    </xf>
    <xf numFmtId="2" fontId="115" fillId="26" borderId="164" xfId="0" applyNumberFormat="1" applyFont="1" applyFill="1" applyBorder="1" applyAlignment="1">
      <alignment horizontal="center" vertical="center"/>
    </xf>
    <xf numFmtId="2" fontId="115" fillId="26" borderId="167" xfId="0" applyNumberFormat="1" applyFont="1" applyFill="1" applyBorder="1" applyAlignment="1">
      <alignment horizontal="center" vertical="center"/>
    </xf>
    <xf numFmtId="2" fontId="115" fillId="26" borderId="72" xfId="0" applyNumberFormat="1" applyFont="1" applyFill="1" applyBorder="1" applyAlignment="1">
      <alignment horizontal="center" vertical="center"/>
    </xf>
    <xf numFmtId="0" fontId="116" fillId="26" borderId="77" xfId="0" applyFont="1" applyFill="1" applyBorder="1" applyAlignment="1">
      <alignment horizontal="center" vertical="center"/>
    </xf>
    <xf numFmtId="0" fontId="118" fillId="42" borderId="56" xfId="0" applyFont="1" applyFill="1" applyBorder="1" applyAlignment="1">
      <alignment horizontal="center" vertical="center"/>
    </xf>
    <xf numFmtId="0" fontId="24" fillId="50" borderId="0" xfId="37" applyFont="1" applyFill="1"/>
    <xf numFmtId="164" fontId="24" fillId="50" borderId="0" xfId="37" applyNumberFormat="1" applyFont="1" applyFill="1"/>
    <xf numFmtId="2" fontId="59" fillId="50" borderId="0" xfId="0" applyNumberFormat="1" applyFont="1" applyFill="1"/>
    <xf numFmtId="0" fontId="125" fillId="50" borderId="0" xfId="0" applyFont="1" applyFill="1" applyAlignment="1">
      <alignment vertical="center"/>
    </xf>
    <xf numFmtId="0" fontId="125" fillId="50" borderId="0" xfId="0" applyFont="1" applyFill="1" applyAlignment="1">
      <alignment horizontal="center" vertical="center"/>
    </xf>
    <xf numFmtId="0" fontId="115" fillId="50" borderId="0" xfId="37" applyFont="1" applyFill="1"/>
    <xf numFmtId="0" fontId="115" fillId="50" borderId="0" xfId="37" applyFont="1" applyFill="1" applyAlignment="1">
      <alignment horizontal="center"/>
    </xf>
    <xf numFmtId="0" fontId="116" fillId="50" borderId="53" xfId="37" applyFont="1" applyFill="1" applyBorder="1" applyAlignment="1">
      <alignment horizontal="right"/>
    </xf>
    <xf numFmtId="0" fontId="114" fillId="50" borderId="153" xfId="37" applyFont="1" applyFill="1" applyBorder="1" applyAlignment="1">
      <alignment horizontal="center" vertical="center"/>
    </xf>
    <xf numFmtId="2" fontId="116" fillId="50" borderId="134" xfId="37" applyNumberFormat="1" applyFont="1" applyFill="1" applyBorder="1" applyAlignment="1">
      <alignment horizontal="center"/>
    </xf>
    <xf numFmtId="2" fontId="116" fillId="50" borderId="122" xfId="37" applyNumberFormat="1" applyFont="1" applyFill="1" applyBorder="1" applyAlignment="1">
      <alignment horizontal="center" vertical="center"/>
    </xf>
    <xf numFmtId="0" fontId="114" fillId="50" borderId="126" xfId="37" applyFont="1" applyFill="1" applyBorder="1" applyAlignment="1">
      <alignment horizontal="center" vertical="center"/>
    </xf>
    <xf numFmtId="164" fontId="115" fillId="50" borderId="0" xfId="37" applyNumberFormat="1" applyFont="1" applyFill="1"/>
    <xf numFmtId="0" fontId="113" fillId="50" borderId="159" xfId="0" applyFont="1" applyFill="1" applyBorder="1" applyAlignment="1">
      <alignment horizontal="center"/>
    </xf>
    <xf numFmtId="167" fontId="113" fillId="50" borderId="162" xfId="0" applyNumberFormat="1" applyFont="1" applyFill="1" applyBorder="1" applyAlignment="1">
      <alignment horizontal="center" vertical="center"/>
    </xf>
    <xf numFmtId="2" fontId="116" fillId="50" borderId="190" xfId="0" applyNumberFormat="1" applyFont="1" applyFill="1" applyBorder="1" applyAlignment="1">
      <alignment horizontal="center" vertical="center"/>
    </xf>
    <xf numFmtId="2" fontId="114" fillId="50" borderId="190" xfId="0" applyNumberFormat="1" applyFont="1" applyFill="1" applyBorder="1" applyAlignment="1">
      <alignment horizontal="center" vertical="center"/>
    </xf>
    <xf numFmtId="167" fontId="114" fillId="50" borderId="181" xfId="0" applyNumberFormat="1" applyFont="1" applyFill="1" applyBorder="1" applyAlignment="1">
      <alignment horizontal="center" vertical="center"/>
    </xf>
    <xf numFmtId="167" fontId="115" fillId="26" borderId="121" xfId="37" applyNumberFormat="1" applyFont="1" applyFill="1" applyBorder="1" applyAlignment="1">
      <alignment horizontal="center" vertical="center"/>
    </xf>
    <xf numFmtId="2" fontId="116" fillId="26" borderId="121" xfId="37" applyNumberFormat="1" applyFont="1" applyFill="1" applyBorder="1" applyAlignment="1">
      <alignment horizontal="center"/>
    </xf>
    <xf numFmtId="167" fontId="105" fillId="39" borderId="121" xfId="37" applyNumberFormat="1" applyFont="1" applyFill="1" applyBorder="1" applyAlignment="1">
      <alignment horizontal="center" vertical="center"/>
    </xf>
    <xf numFmtId="2" fontId="104" fillId="39" borderId="121" xfId="37" applyNumberFormat="1" applyFont="1" applyFill="1" applyBorder="1" applyAlignment="1">
      <alignment horizontal="center"/>
    </xf>
    <xf numFmtId="167" fontId="105" fillId="28" borderId="121" xfId="37" applyNumberFormat="1" applyFont="1" applyFill="1" applyBorder="1" applyAlignment="1">
      <alignment horizontal="center" vertical="center"/>
    </xf>
    <xf numFmtId="2" fontId="104" fillId="28" borderId="121" xfId="37" applyNumberFormat="1" applyFont="1" applyFill="1" applyBorder="1" applyAlignment="1">
      <alignment horizontal="center"/>
    </xf>
    <xf numFmtId="0" fontId="119" fillId="28" borderId="133" xfId="37" applyFont="1" applyFill="1" applyBorder="1" applyAlignment="1">
      <alignment horizontal="center" vertical="center"/>
    </xf>
    <xf numFmtId="2" fontId="115" fillId="26" borderId="121" xfId="37" applyNumberFormat="1" applyFont="1" applyFill="1" applyBorder="1" applyAlignment="1">
      <alignment horizontal="center"/>
    </xf>
    <xf numFmtId="2" fontId="105" fillId="39" borderId="121" xfId="37" applyNumberFormat="1" applyFont="1" applyFill="1" applyBorder="1" applyAlignment="1">
      <alignment horizontal="center"/>
    </xf>
    <xf numFmtId="2" fontId="105" fillId="28" borderId="121" xfId="37" applyNumberFormat="1" applyFont="1" applyFill="1" applyBorder="1" applyAlignment="1">
      <alignment horizontal="center"/>
    </xf>
    <xf numFmtId="0" fontId="114" fillId="50" borderId="126" xfId="37" applyFont="1" applyFill="1" applyBorder="1" applyAlignment="1">
      <alignment horizontal="center"/>
    </xf>
    <xf numFmtId="167" fontId="118" fillId="32" borderId="112" xfId="0" applyNumberFormat="1" applyFont="1" applyFill="1" applyBorder="1" applyAlignment="1">
      <alignment horizontal="center" vertical="center"/>
    </xf>
    <xf numFmtId="167" fontId="118" fillId="32" borderId="57" xfId="0" applyNumberFormat="1" applyFont="1" applyFill="1" applyBorder="1" applyAlignment="1">
      <alignment horizontal="center" vertical="center"/>
    </xf>
    <xf numFmtId="167" fontId="118" fillId="32" borderId="84" xfId="0" applyNumberFormat="1" applyFont="1" applyFill="1" applyBorder="1" applyAlignment="1">
      <alignment horizontal="center" vertical="center"/>
    </xf>
    <xf numFmtId="0" fontId="112" fillId="26" borderId="74" xfId="0" applyFont="1" applyFill="1" applyBorder="1" applyAlignment="1">
      <alignment horizontal="right" vertical="center"/>
    </xf>
    <xf numFmtId="0" fontId="121" fillId="39" borderId="98" xfId="0" applyFont="1" applyFill="1" applyBorder="1" applyAlignment="1">
      <alignment horizontal="right" vertical="center"/>
    </xf>
    <xf numFmtId="0" fontId="121" fillId="28" borderId="98" xfId="0" applyFont="1" applyFill="1" applyBorder="1" applyAlignment="1">
      <alignment horizontal="right" vertical="center"/>
    </xf>
    <xf numFmtId="0" fontId="116" fillId="48" borderId="224" xfId="0" applyFont="1" applyFill="1" applyBorder="1" applyAlignment="1">
      <alignment horizontal="center"/>
    </xf>
    <xf numFmtId="167" fontId="116" fillId="48" borderId="61" xfId="0" applyNumberFormat="1" applyFont="1" applyFill="1" applyBorder="1" applyAlignment="1">
      <alignment horizontal="center" vertical="center"/>
    </xf>
    <xf numFmtId="167" fontId="116" fillId="48" borderId="56" xfId="0" applyNumberFormat="1" applyFont="1" applyFill="1" applyBorder="1" applyAlignment="1">
      <alignment horizontal="center" vertical="center"/>
    </xf>
    <xf numFmtId="167" fontId="116" fillId="48" borderId="60" xfId="0" applyNumberFormat="1" applyFont="1" applyFill="1" applyBorder="1" applyAlignment="1">
      <alignment horizontal="center" vertical="center"/>
    </xf>
    <xf numFmtId="0" fontId="112" fillId="48" borderId="119" xfId="0" applyFont="1" applyFill="1" applyBorder="1" applyAlignment="1">
      <alignment horizontal="center"/>
    </xf>
    <xf numFmtId="0" fontId="114" fillId="48" borderId="89" xfId="0" applyFont="1" applyFill="1" applyBorder="1" applyAlignment="1">
      <alignment horizontal="center" vertical="center"/>
    </xf>
    <xf numFmtId="0" fontId="118" fillId="26" borderId="66" xfId="37" applyFont="1" applyFill="1" applyBorder="1" applyAlignment="1">
      <alignment horizontal="center" vertical="center"/>
    </xf>
    <xf numFmtId="0" fontId="119" fillId="39" borderId="66" xfId="37" applyFont="1" applyFill="1" applyBorder="1" applyAlignment="1">
      <alignment horizontal="center" vertical="center"/>
    </xf>
    <xf numFmtId="0" fontId="118" fillId="26" borderId="133" xfId="37" applyFont="1" applyFill="1" applyBorder="1" applyAlignment="1">
      <alignment horizontal="center" vertical="center"/>
    </xf>
    <xf numFmtId="0" fontId="119" fillId="39" borderId="133" xfId="37" applyFont="1" applyFill="1" applyBorder="1" applyAlignment="1">
      <alignment horizontal="center" vertical="center"/>
    </xf>
    <xf numFmtId="0" fontId="107" fillId="25" borderId="239" xfId="37" applyFont="1" applyFill="1" applyBorder="1" applyAlignment="1">
      <alignment horizontal="right" vertical="center"/>
    </xf>
    <xf numFmtId="0" fontId="107" fillId="25" borderId="240" xfId="37" applyFont="1" applyFill="1" applyBorder="1" applyAlignment="1">
      <alignment horizontal="right" vertical="center"/>
    </xf>
    <xf numFmtId="0" fontId="107" fillId="25" borderId="98" xfId="37" applyFont="1" applyFill="1" applyBorder="1" applyAlignment="1">
      <alignment horizontal="right" vertical="center"/>
    </xf>
    <xf numFmtId="2" fontId="113" fillId="32" borderId="161" xfId="0" applyNumberFormat="1" applyFont="1" applyFill="1" applyBorder="1" applyAlignment="1">
      <alignment horizontal="center" vertical="center"/>
    </xf>
    <xf numFmtId="2" fontId="113" fillId="32" borderId="121" xfId="0" applyNumberFormat="1" applyFont="1" applyFill="1" applyBorder="1" applyAlignment="1">
      <alignment horizontal="center" vertical="center"/>
    </xf>
    <xf numFmtId="2" fontId="113" fillId="32" borderId="189" xfId="0" applyNumberFormat="1" applyFont="1" applyFill="1" applyBorder="1" applyAlignment="1">
      <alignment horizontal="center" vertical="center"/>
    </xf>
    <xf numFmtId="0" fontId="113" fillId="50" borderId="242" xfId="0" applyFont="1" applyFill="1" applyBorder="1" applyAlignment="1">
      <alignment horizontal="center"/>
    </xf>
    <xf numFmtId="2" fontId="116" fillId="50" borderId="134" xfId="0" applyNumberFormat="1" applyFont="1" applyFill="1" applyBorder="1" applyAlignment="1">
      <alignment horizontal="center" vertical="center"/>
    </xf>
    <xf numFmtId="2" fontId="116" fillId="50" borderId="173" xfId="0" applyNumberFormat="1" applyFont="1" applyFill="1" applyBorder="1" applyAlignment="1">
      <alignment horizontal="center" vertical="center"/>
    </xf>
    <xf numFmtId="2" fontId="35" fillId="48" borderId="0" xfId="0" applyNumberFormat="1" applyFont="1" applyFill="1"/>
    <xf numFmtId="0" fontId="104" fillId="0" borderId="0" xfId="0" applyFont="1"/>
    <xf numFmtId="0" fontId="104" fillId="48" borderId="0" xfId="0" applyFont="1" applyFill="1"/>
    <xf numFmtId="0" fontId="115" fillId="48" borderId="170" xfId="0" applyFont="1" applyFill="1" applyBorder="1" applyAlignment="1">
      <alignment horizontal="center" vertical="center"/>
    </xf>
    <xf numFmtId="167" fontId="105" fillId="33" borderId="121" xfId="0" applyNumberFormat="1" applyFont="1" applyFill="1" applyBorder="1" applyAlignment="1">
      <alignment horizontal="center" vertical="center"/>
    </xf>
    <xf numFmtId="167" fontId="105" fillId="41" borderId="121" xfId="0" applyNumberFormat="1" applyFont="1" applyFill="1" applyBorder="1" applyAlignment="1">
      <alignment horizontal="center" vertical="center"/>
    </xf>
    <xf numFmtId="2" fontId="116" fillId="48" borderId="172" xfId="0" applyNumberFormat="1" applyFont="1" applyFill="1" applyBorder="1" applyAlignment="1">
      <alignment horizontal="center" vertical="center"/>
    </xf>
    <xf numFmtId="2" fontId="116" fillId="48" borderId="164" xfId="0" applyNumberFormat="1" applyFont="1" applyFill="1" applyBorder="1" applyAlignment="1">
      <alignment horizontal="center" vertical="center"/>
    </xf>
    <xf numFmtId="2" fontId="116" fillId="48" borderId="169" xfId="0" applyNumberFormat="1" applyFont="1" applyFill="1" applyBorder="1" applyAlignment="1">
      <alignment horizontal="center" vertical="center"/>
    </xf>
    <xf numFmtId="2" fontId="116" fillId="48" borderId="167" xfId="0" applyNumberFormat="1" applyFont="1" applyFill="1" applyBorder="1" applyAlignment="1">
      <alignment horizontal="center" vertical="center"/>
    </xf>
    <xf numFmtId="0" fontId="115" fillId="48" borderId="171" xfId="0" applyFont="1" applyFill="1" applyBorder="1" applyAlignment="1">
      <alignment horizontal="center" vertical="center"/>
    </xf>
    <xf numFmtId="167" fontId="105" fillId="33" borderId="130" xfId="0" applyNumberFormat="1" applyFont="1" applyFill="1" applyBorder="1" applyAlignment="1">
      <alignment horizontal="center" vertical="center"/>
    </xf>
    <xf numFmtId="167" fontId="105" fillId="41" borderId="130" xfId="0" applyNumberFormat="1" applyFont="1" applyFill="1" applyBorder="1" applyAlignment="1">
      <alignment horizontal="center" vertical="center"/>
    </xf>
    <xf numFmtId="0" fontId="103" fillId="48" borderId="0" xfId="0" applyFont="1" applyFill="1"/>
    <xf numFmtId="2" fontId="116" fillId="48" borderId="173" xfId="0" applyNumberFormat="1" applyFont="1" applyFill="1" applyBorder="1" applyAlignment="1">
      <alignment horizontal="center" vertical="center"/>
    </xf>
    <xf numFmtId="2" fontId="116" fillId="48" borderId="179" xfId="0" applyNumberFormat="1" applyFont="1" applyFill="1" applyBorder="1" applyAlignment="1">
      <alignment horizontal="center" vertical="center"/>
    </xf>
    <xf numFmtId="0" fontId="114" fillId="48" borderId="164" xfId="0" applyFont="1" applyFill="1" applyBorder="1" applyAlignment="1">
      <alignment horizontal="center" vertical="center"/>
    </xf>
    <xf numFmtId="0" fontId="114" fillId="48" borderId="165" xfId="0" applyFont="1" applyFill="1" applyBorder="1" applyAlignment="1">
      <alignment horizontal="center" vertical="center"/>
    </xf>
    <xf numFmtId="2" fontId="116" fillId="48" borderId="171" xfId="0" applyNumberFormat="1" applyFont="1" applyFill="1" applyBorder="1" applyAlignment="1">
      <alignment horizontal="center" vertical="center"/>
    </xf>
    <xf numFmtId="2" fontId="104" fillId="48" borderId="0" xfId="0" applyNumberFormat="1" applyFont="1" applyFill="1"/>
    <xf numFmtId="0" fontId="107" fillId="25" borderId="165" xfId="43" applyFont="1" applyFill="1" applyBorder="1" applyAlignment="1">
      <alignment horizontal="center" vertical="center" wrapText="1"/>
    </xf>
    <xf numFmtId="2" fontId="116" fillId="50" borderId="127" xfId="0" applyNumberFormat="1" applyFont="1" applyFill="1" applyBorder="1" applyAlignment="1">
      <alignment horizontal="center" vertical="center"/>
    </xf>
    <xf numFmtId="2" fontId="116" fillId="50" borderId="137" xfId="0" applyNumberFormat="1" applyFont="1" applyFill="1" applyBorder="1" applyAlignment="1">
      <alignment horizontal="center" vertical="center"/>
    </xf>
    <xf numFmtId="0" fontId="118" fillId="48" borderId="91" xfId="43" applyFont="1" applyFill="1" applyBorder="1" applyAlignment="1">
      <alignment horizontal="center" vertical="center" wrapText="1"/>
    </xf>
    <xf numFmtId="0" fontId="118" fillId="48" borderId="61" xfId="43" applyFont="1" applyFill="1" applyBorder="1" applyAlignment="1">
      <alignment horizontal="center" vertical="center" wrapText="1"/>
    </xf>
    <xf numFmtId="2" fontId="116" fillId="26" borderId="164" xfId="0" applyNumberFormat="1" applyFont="1" applyFill="1" applyBorder="1" applyAlignment="1">
      <alignment horizontal="center" vertical="center"/>
    </xf>
    <xf numFmtId="2" fontId="116" fillId="26" borderId="167" xfId="0" applyNumberFormat="1" applyFont="1" applyFill="1" applyBorder="1" applyAlignment="1">
      <alignment horizontal="center" vertical="center"/>
    </xf>
    <xf numFmtId="2" fontId="116" fillId="26" borderId="165" xfId="0" applyNumberFormat="1" applyFont="1" applyFill="1" applyBorder="1" applyAlignment="1">
      <alignment horizontal="center" vertical="center"/>
    </xf>
    <xf numFmtId="2" fontId="116" fillId="26" borderId="168" xfId="0" applyNumberFormat="1" applyFont="1" applyFill="1" applyBorder="1" applyAlignment="1">
      <alignment horizontal="center" vertical="center"/>
    </xf>
    <xf numFmtId="2" fontId="115" fillId="26" borderId="174" xfId="0" applyNumberFormat="1" applyFont="1" applyFill="1" applyBorder="1" applyAlignment="1">
      <alignment horizontal="center" vertical="center"/>
    </xf>
    <xf numFmtId="2" fontId="116" fillId="26" borderId="121" xfId="37" applyNumberFormat="1" applyFont="1" applyFill="1" applyBorder="1" applyAlignment="1">
      <alignment horizontal="center" vertical="center"/>
    </xf>
    <xf numFmtId="2" fontId="115" fillId="26" borderId="248" xfId="0" applyNumberFormat="1" applyFont="1" applyFill="1" applyBorder="1" applyAlignment="1">
      <alignment horizontal="center" vertical="center"/>
    </xf>
    <xf numFmtId="2" fontId="115" fillId="26" borderId="189" xfId="0" applyNumberFormat="1" applyFont="1" applyFill="1" applyBorder="1" applyAlignment="1">
      <alignment horizontal="center" vertical="center"/>
    </xf>
    <xf numFmtId="2" fontId="116" fillId="26" borderId="189" xfId="0" applyNumberFormat="1" applyFont="1" applyFill="1" applyBorder="1" applyAlignment="1">
      <alignment horizontal="center" vertical="center"/>
    </xf>
    <xf numFmtId="2" fontId="116" fillId="48" borderId="220" xfId="0" applyNumberFormat="1" applyFont="1" applyFill="1" applyBorder="1" applyAlignment="1">
      <alignment horizontal="center" vertical="center"/>
    </xf>
    <xf numFmtId="2" fontId="116" fillId="26" borderId="173" xfId="0" applyNumberFormat="1" applyFont="1" applyFill="1" applyBorder="1" applyAlignment="1">
      <alignment horizontal="center" vertical="center"/>
    </xf>
    <xf numFmtId="2" fontId="116" fillId="26" borderId="179" xfId="0" applyNumberFormat="1" applyFont="1" applyFill="1" applyBorder="1" applyAlignment="1">
      <alignment horizontal="center" vertical="center"/>
    </xf>
    <xf numFmtId="2" fontId="116" fillId="26" borderId="248" xfId="37" applyNumberFormat="1" applyFont="1" applyFill="1" applyBorder="1" applyAlignment="1">
      <alignment horizontal="center" vertical="center"/>
    </xf>
    <xf numFmtId="2" fontId="116" fillId="26" borderId="189" xfId="37" applyNumberFormat="1" applyFont="1" applyFill="1" applyBorder="1" applyAlignment="1">
      <alignment horizontal="center" vertical="center"/>
    </xf>
    <xf numFmtId="2" fontId="115" fillId="44" borderId="84" xfId="37" applyNumberFormat="1" applyFont="1" applyFill="1" applyBorder="1" applyAlignment="1">
      <alignment horizontal="center" vertical="center"/>
    </xf>
    <xf numFmtId="2" fontId="116" fillId="26" borderId="220" xfId="37" applyNumberFormat="1" applyFont="1" applyFill="1" applyBorder="1" applyAlignment="1">
      <alignment horizontal="center" vertical="center"/>
    </xf>
    <xf numFmtId="0" fontId="113" fillId="42" borderId="175" xfId="43" applyFont="1" applyFill="1" applyBorder="1" applyAlignment="1">
      <alignment horizontal="center" vertical="center"/>
    </xf>
    <xf numFmtId="0" fontId="113" fillId="42" borderId="173" xfId="43" applyFont="1" applyFill="1" applyBorder="1" applyAlignment="1">
      <alignment horizontal="center" vertical="center"/>
    </xf>
    <xf numFmtId="0" fontId="113" fillId="42" borderId="164" xfId="43" applyFont="1" applyFill="1" applyBorder="1" applyAlignment="1">
      <alignment horizontal="center" vertical="center" wrapText="1"/>
    </xf>
    <xf numFmtId="0" fontId="116" fillId="26" borderId="176" xfId="0" applyFont="1" applyFill="1" applyBorder="1" applyAlignment="1">
      <alignment horizontal="center" vertical="center"/>
    </xf>
    <xf numFmtId="0" fontId="116" fillId="26" borderId="130" xfId="0" applyFont="1" applyFill="1" applyBorder="1" applyAlignment="1">
      <alignment horizontal="center" vertical="center"/>
    </xf>
    <xf numFmtId="2" fontId="116" fillId="26" borderId="178" xfId="0" applyNumberFormat="1" applyFont="1" applyFill="1" applyBorder="1" applyAlignment="1">
      <alignment horizontal="center" vertical="center"/>
    </xf>
    <xf numFmtId="0" fontId="116" fillId="26" borderId="177" xfId="0" applyFont="1" applyFill="1" applyBorder="1" applyAlignment="1">
      <alignment horizontal="center" vertical="center"/>
    </xf>
    <xf numFmtId="0" fontId="0" fillId="48" borderId="0" xfId="0" applyFill="1"/>
    <xf numFmtId="0" fontId="22" fillId="48" borderId="0" xfId="0" applyFont="1" applyFill="1"/>
    <xf numFmtId="0" fontId="108" fillId="48" borderId="0" xfId="0" applyFont="1" applyFill="1"/>
    <xf numFmtId="0" fontId="127" fillId="48" borderId="0" xfId="0" applyFont="1" applyFill="1" applyAlignment="1">
      <alignment vertical="center"/>
    </xf>
    <xf numFmtId="0" fontId="111" fillId="48" borderId="54" xfId="37" applyFont="1" applyFill="1" applyBorder="1" applyAlignment="1">
      <alignment horizontal="center"/>
    </xf>
    <xf numFmtId="0" fontId="111" fillId="48" borderId="54" xfId="37" applyFont="1" applyFill="1" applyBorder="1" applyAlignment="1">
      <alignment horizontal="left"/>
    </xf>
    <xf numFmtId="0" fontId="111" fillId="48" borderId="54" xfId="37" applyFont="1" applyFill="1" applyBorder="1"/>
    <xf numFmtId="0" fontId="113" fillId="48" borderId="163" xfId="0" applyFont="1" applyFill="1" applyBorder="1" applyAlignment="1">
      <alignment horizontal="center"/>
    </xf>
    <xf numFmtId="0" fontId="113" fillId="48" borderId="179" xfId="0" applyFont="1" applyFill="1" applyBorder="1" applyAlignment="1">
      <alignment horizontal="center"/>
    </xf>
    <xf numFmtId="167" fontId="116" fillId="48" borderId="167" xfId="0" applyNumberFormat="1" applyFont="1" applyFill="1" applyBorder="1" applyAlignment="1">
      <alignment horizontal="center" vertical="center"/>
    </xf>
    <xf numFmtId="167" fontId="114" fillId="48" borderId="184" xfId="0" applyNumberFormat="1" applyFont="1" applyFill="1" applyBorder="1" applyAlignment="1">
      <alignment horizontal="center" vertical="center"/>
    </xf>
    <xf numFmtId="0" fontId="112" fillId="26" borderId="173" xfId="37" applyFont="1" applyFill="1" applyBorder="1" applyAlignment="1">
      <alignment horizontal="center" vertical="center"/>
    </xf>
    <xf numFmtId="167" fontId="112" fillId="26" borderId="121" xfId="37" applyNumberFormat="1" applyFont="1" applyFill="1" applyBorder="1" applyAlignment="1">
      <alignment horizontal="center" vertical="center"/>
    </xf>
    <xf numFmtId="0" fontId="121" fillId="39" borderId="173" xfId="37" applyFont="1" applyFill="1" applyBorder="1" applyAlignment="1">
      <alignment horizontal="center" vertical="center"/>
    </xf>
    <xf numFmtId="167" fontId="121" fillId="39" borderId="121" xfId="37" applyNumberFormat="1" applyFont="1" applyFill="1" applyBorder="1" applyAlignment="1">
      <alignment horizontal="center" vertical="center"/>
    </xf>
    <xf numFmtId="0" fontId="121" fillId="33" borderId="173" xfId="37" applyFont="1" applyFill="1" applyBorder="1" applyAlignment="1">
      <alignment horizontal="center" vertical="center"/>
    </xf>
    <xf numFmtId="167" fontId="121" fillId="33" borderId="121" xfId="37" applyNumberFormat="1" applyFont="1" applyFill="1" applyBorder="1" applyAlignment="1">
      <alignment horizontal="center" vertical="center"/>
    </xf>
    <xf numFmtId="0" fontId="121" fillId="28" borderId="133" xfId="37" applyFont="1" applyFill="1" applyBorder="1" applyAlignment="1">
      <alignment horizontal="center" vertical="center"/>
    </xf>
    <xf numFmtId="167" fontId="121" fillId="28" borderId="121" xfId="37" applyNumberFormat="1" applyFont="1" applyFill="1" applyBorder="1" applyAlignment="1">
      <alignment horizontal="center" vertical="center"/>
    </xf>
    <xf numFmtId="0" fontId="114" fillId="48" borderId="183" xfId="37" applyFont="1" applyFill="1" applyBorder="1" applyAlignment="1">
      <alignment horizontal="center"/>
    </xf>
    <xf numFmtId="2" fontId="104" fillId="39" borderId="121" xfId="37" applyNumberFormat="1" applyFont="1" applyFill="1" applyBorder="1" applyAlignment="1">
      <alignment horizontal="center" vertical="center"/>
    </xf>
    <xf numFmtId="2" fontId="104" fillId="33" borderId="121" xfId="37" applyNumberFormat="1" applyFont="1" applyFill="1" applyBorder="1" applyAlignment="1">
      <alignment horizontal="center" vertical="center"/>
    </xf>
    <xf numFmtId="2" fontId="104" fillId="28" borderId="121" xfId="37" applyNumberFormat="1" applyFont="1" applyFill="1" applyBorder="1" applyAlignment="1">
      <alignment horizontal="center" vertical="center"/>
    </xf>
    <xf numFmtId="2" fontId="131" fillId="48" borderId="134" xfId="37" applyNumberFormat="1" applyFont="1" applyFill="1" applyBorder="1" applyAlignment="1">
      <alignment horizontal="center"/>
    </xf>
    <xf numFmtId="2" fontId="131" fillId="48" borderId="164" xfId="37" applyNumberFormat="1" applyFont="1" applyFill="1" applyBorder="1" applyAlignment="1">
      <alignment horizontal="center"/>
    </xf>
    <xf numFmtId="0" fontId="114" fillId="48" borderId="175" xfId="37" applyFont="1" applyFill="1" applyBorder="1" applyAlignment="1">
      <alignment horizontal="center" vertical="center"/>
    </xf>
    <xf numFmtId="0" fontId="107" fillId="25" borderId="255" xfId="37" applyFont="1" applyFill="1" applyBorder="1" applyAlignment="1">
      <alignment horizontal="right"/>
    </xf>
    <xf numFmtId="0" fontId="112" fillId="26" borderId="163" xfId="0" applyFont="1" applyFill="1" applyBorder="1" applyAlignment="1">
      <alignment horizontal="center"/>
    </xf>
    <xf numFmtId="0" fontId="130" fillId="39" borderId="163" xfId="0" applyFont="1" applyFill="1" applyBorder="1" applyAlignment="1">
      <alignment horizontal="center" vertical="center"/>
    </xf>
    <xf numFmtId="0" fontId="130" fillId="33" borderId="163" xfId="0" applyFont="1" applyFill="1" applyBorder="1" applyAlignment="1">
      <alignment horizontal="center" vertical="center"/>
    </xf>
    <xf numFmtId="0" fontId="130" fillId="28" borderId="163" xfId="0" applyFont="1" applyFill="1" applyBorder="1" applyAlignment="1">
      <alignment horizontal="center" vertical="center"/>
    </xf>
    <xf numFmtId="0" fontId="114" fillId="48" borderId="166" xfId="0" applyFont="1" applyFill="1" applyBorder="1" applyAlignment="1">
      <alignment horizontal="center" vertical="center"/>
    </xf>
    <xf numFmtId="167" fontId="114" fillId="48" borderId="262" xfId="0" applyNumberFormat="1" applyFont="1" applyFill="1" applyBorder="1" applyAlignment="1">
      <alignment horizontal="center" vertical="center"/>
    </xf>
    <xf numFmtId="167" fontId="113" fillId="26" borderId="138" xfId="0" applyNumberFormat="1" applyFont="1" applyFill="1" applyBorder="1" applyAlignment="1">
      <alignment horizontal="center" vertical="center"/>
    </xf>
    <xf numFmtId="167" fontId="128" fillId="26" borderId="138" xfId="0" applyNumberFormat="1" applyFont="1" applyFill="1" applyBorder="1" applyAlignment="1">
      <alignment horizontal="center" vertical="center"/>
    </xf>
    <xf numFmtId="167" fontId="129" fillId="26" borderId="138" xfId="0" applyNumberFormat="1" applyFont="1" applyFill="1" applyBorder="1" applyAlignment="1">
      <alignment horizontal="center" vertical="center"/>
    </xf>
    <xf numFmtId="0" fontId="113" fillId="32" borderId="220" xfId="0" applyFont="1" applyFill="1" applyBorder="1" applyAlignment="1">
      <alignment horizontal="center" vertical="center"/>
    </xf>
    <xf numFmtId="0" fontId="113" fillId="48" borderId="267" xfId="0" applyFont="1" applyFill="1" applyBorder="1" applyAlignment="1">
      <alignment horizontal="center"/>
    </xf>
    <xf numFmtId="10" fontId="132" fillId="26" borderId="121" xfId="0" applyNumberFormat="1" applyFont="1" applyFill="1" applyBorder="1" applyAlignment="1">
      <alignment horizontal="center" vertical="center"/>
    </xf>
    <xf numFmtId="2" fontId="132" fillId="26" borderId="121" xfId="0" applyNumberFormat="1" applyFont="1" applyFill="1" applyBorder="1" applyAlignment="1">
      <alignment horizontal="center" vertical="center"/>
    </xf>
    <xf numFmtId="0" fontId="107" fillId="52" borderId="133" xfId="0" applyFont="1" applyFill="1" applyBorder="1" applyAlignment="1">
      <alignment horizontal="center"/>
    </xf>
    <xf numFmtId="165" fontId="115" fillId="48" borderId="193" xfId="0" applyNumberFormat="1" applyFont="1" applyFill="1" applyBorder="1" applyAlignment="1">
      <alignment horizontal="center" vertical="center"/>
    </xf>
    <xf numFmtId="165" fontId="116" fillId="48" borderId="138" xfId="0" applyNumberFormat="1" applyFont="1" applyFill="1" applyBorder="1" applyAlignment="1">
      <alignment horizontal="left" vertical="center"/>
    </xf>
    <xf numFmtId="2" fontId="116" fillId="48" borderId="138" xfId="0" applyNumberFormat="1" applyFont="1" applyFill="1" applyBorder="1" applyAlignment="1">
      <alignment horizontal="left" vertical="center"/>
    </xf>
    <xf numFmtId="2" fontId="134" fillId="26" borderId="121" xfId="0" applyNumberFormat="1" applyFont="1" applyFill="1" applyBorder="1" applyAlignment="1">
      <alignment horizontal="center" vertical="center"/>
    </xf>
    <xf numFmtId="10" fontId="134" fillId="26" borderId="121" xfId="0" applyNumberFormat="1" applyFont="1" applyFill="1" applyBorder="1" applyAlignment="1">
      <alignment horizontal="center" vertical="center"/>
    </xf>
    <xf numFmtId="2" fontId="115" fillId="35" borderId="179" xfId="0" applyNumberFormat="1" applyFont="1" applyFill="1" applyBorder="1" applyAlignment="1">
      <alignment horizontal="center" vertical="center"/>
    </xf>
    <xf numFmtId="2" fontId="134" fillId="26" borderId="130" xfId="0" applyNumberFormat="1" applyFont="1" applyFill="1" applyBorder="1" applyAlignment="1">
      <alignment horizontal="center" vertical="center"/>
    </xf>
    <xf numFmtId="10" fontId="134" fillId="26" borderId="130" xfId="0" applyNumberFormat="1" applyFont="1" applyFill="1" applyBorder="1" applyAlignment="1">
      <alignment horizontal="center" vertical="center"/>
    </xf>
    <xf numFmtId="0" fontId="104" fillId="27" borderId="268" xfId="0" applyFont="1" applyFill="1" applyBorder="1" applyAlignment="1">
      <alignment horizontal="center" vertical="center"/>
    </xf>
    <xf numFmtId="0" fontId="116" fillId="29" borderId="183" xfId="0" applyFont="1" applyFill="1" applyBorder="1" applyAlignment="1">
      <alignment horizontal="right" vertical="center"/>
    </xf>
    <xf numFmtId="0" fontId="116" fillId="47" borderId="269" xfId="0" applyFont="1" applyFill="1" applyBorder="1" applyAlignment="1">
      <alignment horizontal="right" vertical="center"/>
    </xf>
    <xf numFmtId="0" fontId="135" fillId="47" borderId="124" xfId="0" applyFont="1" applyFill="1" applyBorder="1" applyAlignment="1">
      <alignment horizontal="right"/>
    </xf>
    <xf numFmtId="0" fontId="105" fillId="47" borderId="125" xfId="0" applyFont="1" applyFill="1" applyBorder="1" applyAlignment="1">
      <alignment horizontal="center" vertical="center"/>
    </xf>
    <xf numFmtId="0" fontId="134" fillId="28" borderId="268" xfId="0" applyFont="1" applyFill="1" applyBorder="1" applyAlignment="1">
      <alignment horizontal="center" vertical="center"/>
    </xf>
    <xf numFmtId="0" fontId="133" fillId="28" borderId="124" xfId="0" applyFont="1" applyFill="1" applyBorder="1" applyAlignment="1">
      <alignment horizontal="right"/>
    </xf>
    <xf numFmtId="2" fontId="115" fillId="28" borderId="125" xfId="0" applyNumberFormat="1" applyFont="1" applyFill="1" applyBorder="1" applyAlignment="1">
      <alignment horizontal="center" vertical="center"/>
    </xf>
    <xf numFmtId="0" fontId="134" fillId="41" borderId="183" xfId="0" applyFont="1" applyFill="1" applyBorder="1" applyAlignment="1">
      <alignment horizontal="right" vertical="center"/>
    </xf>
    <xf numFmtId="0" fontId="134" fillId="42" borderId="183" xfId="0" applyFont="1" applyFill="1" applyBorder="1" applyAlignment="1">
      <alignment horizontal="right" vertical="center"/>
    </xf>
    <xf numFmtId="2" fontId="115" fillId="35" borderId="138" xfId="0" applyNumberFormat="1" applyFont="1" applyFill="1" applyBorder="1" applyAlignment="1">
      <alignment horizontal="center" vertical="center"/>
    </xf>
    <xf numFmtId="0" fontId="116" fillId="48" borderId="164" xfId="0" applyFont="1" applyFill="1" applyBorder="1" applyAlignment="1">
      <alignment horizontal="center" vertical="center"/>
    </xf>
    <xf numFmtId="2" fontId="109" fillId="48" borderId="191" xfId="0" applyNumberFormat="1" applyFont="1" applyFill="1" applyBorder="1" applyAlignment="1">
      <alignment horizontal="center" vertical="center"/>
    </xf>
    <xf numFmtId="2" fontId="134" fillId="48" borderId="170" xfId="0" applyNumberFormat="1" applyFont="1" applyFill="1" applyBorder="1" applyAlignment="1">
      <alignment horizontal="right" vertical="center"/>
    </xf>
    <xf numFmtId="2" fontId="115" fillId="48" borderId="193" xfId="0" applyNumberFormat="1" applyFont="1" applyFill="1" applyBorder="1" applyAlignment="1">
      <alignment horizontal="center" vertical="center"/>
    </xf>
    <xf numFmtId="2" fontId="116" fillId="48" borderId="136" xfId="0" applyNumberFormat="1" applyFont="1" applyFill="1" applyBorder="1" applyAlignment="1">
      <alignment horizontal="left"/>
    </xf>
    <xf numFmtId="167" fontId="114" fillId="49" borderId="154" xfId="0" applyNumberFormat="1" applyFont="1" applyFill="1" applyBorder="1" applyAlignment="1">
      <alignment horizontal="center" vertical="center"/>
    </xf>
    <xf numFmtId="0" fontId="138" fillId="45" borderId="164" xfId="0" applyFont="1" applyFill="1" applyBorder="1" applyAlignment="1">
      <alignment horizontal="right"/>
    </xf>
    <xf numFmtId="2" fontId="106" fillId="45" borderId="165" xfId="0" applyNumberFormat="1" applyFont="1" applyFill="1" applyBorder="1" applyAlignment="1">
      <alignment horizontal="center" vertical="center"/>
    </xf>
    <xf numFmtId="0" fontId="138" fillId="45" borderId="167" xfId="0" applyFont="1" applyFill="1" applyBorder="1" applyAlignment="1">
      <alignment horizontal="right"/>
    </xf>
    <xf numFmtId="2" fontId="113" fillId="45" borderId="168" xfId="0" applyNumberFormat="1" applyFont="1" applyFill="1" applyBorder="1" applyAlignment="1">
      <alignment horizontal="center" vertical="center"/>
    </xf>
    <xf numFmtId="2" fontId="106" fillId="45" borderId="197" xfId="0" applyNumberFormat="1" applyFont="1" applyFill="1" applyBorder="1" applyAlignment="1">
      <alignment horizontal="left" vertical="center"/>
    </xf>
    <xf numFmtId="167" fontId="113" fillId="31" borderId="154" xfId="0" applyNumberFormat="1" applyFont="1" applyFill="1" applyBorder="1" applyAlignment="1">
      <alignment horizontal="center" vertical="center"/>
    </xf>
    <xf numFmtId="165" fontId="113" fillId="43" borderId="179" xfId="0" applyNumberFormat="1" applyFont="1" applyFill="1" applyBorder="1" applyAlignment="1">
      <alignment horizontal="center" vertical="center"/>
    </xf>
    <xf numFmtId="2" fontId="114" fillId="26" borderId="197" xfId="0" applyNumberFormat="1" applyFont="1" applyFill="1" applyBorder="1" applyAlignment="1">
      <alignment horizontal="left" vertical="center"/>
    </xf>
    <xf numFmtId="165" fontId="114" fillId="26" borderId="138" xfId="0" applyNumberFormat="1" applyFont="1" applyFill="1" applyBorder="1" applyAlignment="1">
      <alignment horizontal="left"/>
    </xf>
    <xf numFmtId="0" fontId="118" fillId="40" borderId="60" xfId="43" applyFont="1" applyFill="1" applyBorder="1" applyAlignment="1">
      <alignment horizontal="center" vertical="center" wrapText="1"/>
    </xf>
    <xf numFmtId="0" fontId="118" fillId="40" borderId="61" xfId="43" applyFont="1" applyFill="1" applyBorder="1" applyAlignment="1">
      <alignment horizontal="center" vertical="center" wrapText="1"/>
    </xf>
    <xf numFmtId="0" fontId="119" fillId="34" borderId="75" xfId="43" applyFont="1" applyFill="1" applyBorder="1" applyAlignment="1">
      <alignment horizontal="center" vertical="center" wrapText="1"/>
    </xf>
    <xf numFmtId="0" fontId="119" fillId="34" borderId="91" xfId="43" applyFont="1" applyFill="1" applyBorder="1" applyAlignment="1">
      <alignment horizontal="center" vertical="center" wrapText="1"/>
    </xf>
    <xf numFmtId="0" fontId="126" fillId="34" borderId="0" xfId="0" applyFont="1" applyFill="1" applyAlignment="1">
      <alignment horizontal="center" vertical="center"/>
    </xf>
    <xf numFmtId="0" fontId="126" fillId="34" borderId="238" xfId="0" applyFont="1" applyFill="1" applyBorder="1" applyAlignment="1">
      <alignment horizontal="center" vertical="center"/>
    </xf>
    <xf numFmtId="0" fontId="77" fillId="25" borderId="0" xfId="0" applyFont="1" applyFill="1" applyAlignment="1">
      <alignment horizontal="center" vertical="center"/>
    </xf>
    <xf numFmtId="0" fontId="35" fillId="25" borderId="0" xfId="0" applyFont="1" applyFill="1" applyAlignment="1">
      <alignment horizontal="center" vertical="center"/>
    </xf>
    <xf numFmtId="0" fontId="118" fillId="40" borderId="102" xfId="43" applyFont="1" applyFill="1" applyBorder="1" applyAlignment="1">
      <alignment horizontal="center" vertical="center" wrapText="1"/>
    </xf>
    <xf numFmtId="0" fontId="118" fillId="40" borderId="103" xfId="43" applyFont="1" applyFill="1" applyBorder="1" applyAlignment="1">
      <alignment horizontal="center" vertical="center" wrapText="1"/>
    </xf>
    <xf numFmtId="0" fontId="118" fillId="40" borderId="98" xfId="43" applyFont="1" applyFill="1" applyBorder="1" applyAlignment="1">
      <alignment horizontal="center" vertical="center" wrapText="1"/>
    </xf>
    <xf numFmtId="0" fontId="118" fillId="40" borderId="56" xfId="43" applyFont="1" applyFill="1" applyBorder="1" applyAlignment="1">
      <alignment horizontal="center" vertical="center" wrapText="1"/>
    </xf>
    <xf numFmtId="0" fontId="118" fillId="40" borderId="106" xfId="43" applyFont="1" applyFill="1" applyBorder="1" applyAlignment="1">
      <alignment horizontal="center" vertical="center" wrapText="1"/>
    </xf>
    <xf numFmtId="0" fontId="118" fillId="40" borderId="107" xfId="43" applyFont="1" applyFill="1" applyBorder="1" applyAlignment="1">
      <alignment horizontal="center" vertical="center" wrapText="1"/>
    </xf>
    <xf numFmtId="0" fontId="118" fillId="40" borderId="104" xfId="43" applyFont="1" applyFill="1" applyBorder="1" applyAlignment="1">
      <alignment horizontal="center" vertical="center"/>
    </xf>
    <xf numFmtId="0" fontId="118" fillId="40" borderId="105" xfId="43" applyFont="1" applyFill="1" applyBorder="1" applyAlignment="1">
      <alignment horizontal="center" vertical="center"/>
    </xf>
    <xf numFmtId="0" fontId="118" fillId="40" borderId="108" xfId="43" applyFont="1" applyFill="1" applyBorder="1" applyAlignment="1">
      <alignment horizontal="center" vertical="center"/>
    </xf>
    <xf numFmtId="0" fontId="118" fillId="40" borderId="100" xfId="43" applyFont="1" applyFill="1" applyBorder="1" applyAlignment="1">
      <alignment horizontal="center" vertical="center"/>
    </xf>
    <xf numFmtId="0" fontId="118" fillId="40" borderId="61" xfId="43" applyFont="1" applyFill="1" applyBorder="1" applyAlignment="1">
      <alignment horizontal="center" vertical="center"/>
    </xf>
    <xf numFmtId="0" fontId="118" fillId="40" borderId="101" xfId="43" applyFont="1" applyFill="1" applyBorder="1" applyAlignment="1">
      <alignment horizontal="center" vertical="center"/>
    </xf>
    <xf numFmtId="0" fontId="118" fillId="40" borderId="64" xfId="43" applyFont="1" applyFill="1" applyBorder="1" applyAlignment="1">
      <alignment horizontal="center" vertical="center"/>
    </xf>
    <xf numFmtId="0" fontId="118" fillId="40" borderId="60" xfId="43" applyFont="1" applyFill="1" applyBorder="1" applyAlignment="1">
      <alignment horizontal="center" vertical="center"/>
    </xf>
    <xf numFmtId="0" fontId="118" fillId="40" borderId="62" xfId="43" applyFont="1" applyFill="1" applyBorder="1" applyAlignment="1">
      <alignment horizontal="center" vertical="center"/>
    </xf>
    <xf numFmtId="0" fontId="118" fillId="40" borderId="100" xfId="43" applyFont="1" applyFill="1" applyBorder="1" applyAlignment="1">
      <alignment horizontal="center" vertical="center" wrapText="1"/>
    </xf>
    <xf numFmtId="0" fontId="118" fillId="40" borderId="59" xfId="43" applyFont="1" applyFill="1" applyBorder="1" applyAlignment="1">
      <alignment horizontal="center" vertical="center" wrapText="1"/>
    </xf>
    <xf numFmtId="0" fontId="118" fillId="26" borderId="65" xfId="43" applyFont="1" applyFill="1" applyBorder="1" applyAlignment="1">
      <alignment horizontal="center" vertical="center" wrapText="1"/>
    </xf>
    <xf numFmtId="0" fontId="119" fillId="39" borderId="57" xfId="43" applyFont="1" applyFill="1" applyBorder="1" applyAlignment="1">
      <alignment horizontal="center" vertical="center"/>
    </xf>
    <xf numFmtId="0" fontId="118" fillId="48" borderId="109" xfId="0" applyFont="1" applyFill="1" applyBorder="1" applyAlignment="1">
      <alignment horizontal="center" vertical="center"/>
    </xf>
    <xf numFmtId="0" fontId="116" fillId="48" borderId="74" xfId="0" applyFont="1" applyFill="1" applyBorder="1" applyAlignment="1">
      <alignment horizontal="center" vertical="center" wrapText="1"/>
    </xf>
    <xf numFmtId="0" fontId="116" fillId="48" borderId="101" xfId="0" applyFont="1" applyFill="1" applyBorder="1" applyAlignment="1">
      <alignment horizontal="center" vertical="center" wrapText="1"/>
    </xf>
    <xf numFmtId="0" fontId="116" fillId="48" borderId="98" xfId="0" applyFont="1" applyFill="1" applyBorder="1" applyAlignment="1">
      <alignment horizontal="center" vertical="center" wrapText="1"/>
    </xf>
    <xf numFmtId="0" fontId="116" fillId="48" borderId="58" xfId="0" applyFont="1" applyFill="1" applyBorder="1" applyAlignment="1">
      <alignment horizontal="center" vertical="center" wrapText="1"/>
    </xf>
    <xf numFmtId="0" fontId="116" fillId="48" borderId="89" xfId="0" applyFont="1" applyFill="1" applyBorder="1" applyAlignment="1">
      <alignment horizontal="center" vertical="center" wrapText="1"/>
    </xf>
    <xf numFmtId="0" fontId="116" fillId="48" borderId="81" xfId="0" applyFont="1" applyFill="1" applyBorder="1" applyAlignment="1">
      <alignment horizontal="center" vertical="center" wrapText="1"/>
    </xf>
    <xf numFmtId="0" fontId="112" fillId="51" borderId="95" xfId="0" applyFont="1" applyFill="1" applyBorder="1" applyAlignment="1">
      <alignment horizontal="center" vertical="center"/>
    </xf>
    <xf numFmtId="0" fontId="112" fillId="51" borderId="96" xfId="0" applyFont="1" applyFill="1" applyBorder="1" applyAlignment="1">
      <alignment horizontal="center" vertical="center"/>
    </xf>
    <xf numFmtId="0" fontId="112" fillId="51" borderId="97" xfId="0" applyFont="1" applyFill="1" applyBorder="1" applyAlignment="1">
      <alignment horizontal="center" vertical="center"/>
    </xf>
    <xf numFmtId="0" fontId="112" fillId="41" borderId="109" xfId="0" applyFont="1" applyFill="1" applyBorder="1" applyAlignment="1">
      <alignment horizontal="center" vertical="center"/>
    </xf>
    <xf numFmtId="0" fontId="119" fillId="28" borderId="63" xfId="43" applyFont="1" applyFill="1" applyBorder="1" applyAlignment="1">
      <alignment horizontal="center" vertical="center"/>
    </xf>
    <xf numFmtId="0" fontId="112" fillId="40" borderId="207" xfId="43" applyFont="1" applyFill="1" applyBorder="1" applyAlignment="1">
      <alignment horizontal="center" vertical="center"/>
    </xf>
    <xf numFmtId="0" fontId="112" fillId="40" borderId="208" xfId="43" applyFont="1" applyFill="1" applyBorder="1" applyAlignment="1">
      <alignment horizontal="center" vertical="center"/>
    </xf>
    <xf numFmtId="0" fontId="112" fillId="40" borderId="209" xfId="43" applyFont="1" applyFill="1" applyBorder="1" applyAlignment="1">
      <alignment horizontal="center" vertical="center"/>
    </xf>
    <xf numFmtId="0" fontId="112" fillId="40" borderId="210" xfId="43" applyFont="1" applyFill="1" applyBorder="1" applyAlignment="1">
      <alignment horizontal="center" vertical="center"/>
    </xf>
    <xf numFmtId="0" fontId="112" fillId="40" borderId="211" xfId="43" applyFont="1" applyFill="1" applyBorder="1" applyAlignment="1">
      <alignment horizontal="center" vertical="center"/>
    </xf>
    <xf numFmtId="0" fontId="112" fillId="40" borderId="212" xfId="43" applyFont="1" applyFill="1" applyBorder="1" applyAlignment="1">
      <alignment horizontal="center" vertical="center"/>
    </xf>
    <xf numFmtId="0" fontId="118" fillId="40" borderId="201" xfId="43" applyFont="1" applyFill="1" applyBorder="1" applyAlignment="1">
      <alignment horizontal="center" vertical="center"/>
    </xf>
    <xf numFmtId="0" fontId="118" fillId="40" borderId="213" xfId="43" applyFont="1" applyFill="1" applyBorder="1" applyAlignment="1">
      <alignment horizontal="center" vertical="center"/>
    </xf>
    <xf numFmtId="0" fontId="118" fillId="40" borderId="214" xfId="43" applyFont="1" applyFill="1" applyBorder="1" applyAlignment="1">
      <alignment horizontal="center" vertical="center"/>
    </xf>
    <xf numFmtId="0" fontId="118" fillId="40" borderId="202" xfId="43" applyFont="1" applyFill="1" applyBorder="1" applyAlignment="1">
      <alignment horizontal="center" vertical="center"/>
    </xf>
    <xf numFmtId="0" fontId="118" fillId="40" borderId="215" xfId="43" applyFont="1" applyFill="1" applyBorder="1" applyAlignment="1">
      <alignment horizontal="center" vertical="center"/>
    </xf>
    <xf numFmtId="0" fontId="118" fillId="40" borderId="216" xfId="43" applyFont="1" applyFill="1" applyBorder="1" applyAlignment="1">
      <alignment horizontal="center" vertical="center"/>
    </xf>
    <xf numFmtId="0" fontId="118" fillId="40" borderId="208" xfId="43" applyFont="1" applyFill="1" applyBorder="1" applyAlignment="1">
      <alignment horizontal="center" vertical="center"/>
    </xf>
    <xf numFmtId="0" fontId="118" fillId="40" borderId="217" xfId="43" applyFont="1" applyFill="1" applyBorder="1" applyAlignment="1">
      <alignment horizontal="center" vertical="center"/>
    </xf>
    <xf numFmtId="0" fontId="118" fillId="40" borderId="211" xfId="43" applyFont="1" applyFill="1" applyBorder="1" applyAlignment="1">
      <alignment horizontal="center" vertical="center"/>
    </xf>
    <xf numFmtId="0" fontId="118" fillId="40" borderId="218" xfId="43" applyFont="1" applyFill="1" applyBorder="1" applyAlignment="1">
      <alignment horizontal="center" vertical="center"/>
    </xf>
    <xf numFmtId="0" fontId="119" fillId="34" borderId="60" xfId="43" applyFont="1" applyFill="1" applyBorder="1" applyAlignment="1">
      <alignment horizontal="center" vertical="center" wrapText="1"/>
    </xf>
    <xf numFmtId="0" fontId="119" fillId="34" borderId="61" xfId="43" applyFont="1" applyFill="1" applyBorder="1" applyAlignment="1">
      <alignment horizontal="center" vertical="center" wrapText="1"/>
    </xf>
    <xf numFmtId="2" fontId="112" fillId="47" borderId="92" xfId="0" applyNumberFormat="1" applyFont="1" applyFill="1" applyBorder="1" applyAlignment="1">
      <alignment horizontal="center" vertical="center"/>
    </xf>
    <xf numFmtId="2" fontId="112" fillId="47" borderId="93" xfId="0" applyNumberFormat="1" applyFont="1" applyFill="1" applyBorder="1" applyAlignment="1">
      <alignment horizontal="center" vertical="center"/>
    </xf>
    <xf numFmtId="2" fontId="112" fillId="47" borderId="68" xfId="0" applyNumberFormat="1" applyFont="1" applyFill="1" applyBorder="1" applyAlignment="1">
      <alignment horizontal="center" vertical="center"/>
    </xf>
    <xf numFmtId="2" fontId="112" fillId="47" borderId="69" xfId="0" applyNumberFormat="1" applyFont="1" applyFill="1" applyBorder="1" applyAlignment="1">
      <alignment horizontal="center" vertical="center"/>
    </xf>
    <xf numFmtId="0" fontId="112" fillId="28" borderId="95" xfId="0" applyFont="1" applyFill="1" applyBorder="1" applyAlignment="1">
      <alignment horizontal="center" vertical="center"/>
    </xf>
    <xf numFmtId="0" fontId="112" fillId="28" borderId="96" xfId="0" applyFont="1" applyFill="1" applyBorder="1" applyAlignment="1">
      <alignment horizontal="center" vertical="center"/>
    </xf>
    <xf numFmtId="0" fontId="112" fillId="28" borderId="97" xfId="0" applyFont="1" applyFill="1" applyBorder="1" applyAlignment="1">
      <alignment horizontal="center" vertical="center"/>
    </xf>
    <xf numFmtId="0" fontId="118" fillId="42" borderId="61" xfId="43" applyFont="1" applyFill="1" applyBorder="1" applyAlignment="1">
      <alignment horizontal="center" vertical="center" wrapText="1"/>
    </xf>
    <xf numFmtId="2" fontId="116" fillId="48" borderId="64" xfId="0" applyNumberFormat="1" applyFont="1" applyFill="1" applyBorder="1" applyAlignment="1">
      <alignment horizontal="center" vertical="center"/>
    </xf>
    <xf numFmtId="2" fontId="116" fillId="48" borderId="60" xfId="0" applyNumberFormat="1" applyFont="1" applyFill="1" applyBorder="1" applyAlignment="1">
      <alignment horizontal="center" vertical="center"/>
    </xf>
    <xf numFmtId="0" fontId="118" fillId="42" borderId="67" xfId="0" applyFont="1" applyFill="1" applyBorder="1" applyAlignment="1">
      <alignment horizontal="center" vertical="center"/>
    </xf>
    <xf numFmtId="0" fontId="118" fillId="42" borderId="70" xfId="0" applyFont="1" applyFill="1" applyBorder="1" applyAlignment="1">
      <alignment horizontal="center" vertical="center"/>
    </xf>
    <xf numFmtId="0" fontId="118" fillId="42" borderId="68" xfId="0" applyFont="1" applyFill="1" applyBorder="1" applyAlignment="1">
      <alignment horizontal="center" vertical="center"/>
    </xf>
    <xf numFmtId="0" fontId="118" fillId="42" borderId="60" xfId="0" applyFont="1" applyFill="1" applyBorder="1" applyAlignment="1">
      <alignment horizontal="center" vertical="center"/>
    </xf>
    <xf numFmtId="0" fontId="118" fillId="47" borderId="110" xfId="0" applyFont="1" applyFill="1" applyBorder="1" applyAlignment="1">
      <alignment horizontal="center" vertical="center"/>
    </xf>
    <xf numFmtId="0" fontId="118" fillId="47" borderId="113" xfId="0" applyFont="1" applyFill="1" applyBorder="1" applyAlignment="1">
      <alignment horizontal="center" vertical="center"/>
    </xf>
    <xf numFmtId="0" fontId="118" fillId="45" borderId="110" xfId="0" applyFont="1" applyFill="1" applyBorder="1" applyAlignment="1">
      <alignment horizontal="center" vertical="center"/>
    </xf>
    <xf numFmtId="0" fontId="118" fillId="45" borderId="113" xfId="0" applyFont="1" applyFill="1" applyBorder="1" applyAlignment="1">
      <alignment horizontal="center" vertical="center"/>
    </xf>
    <xf numFmtId="0" fontId="118" fillId="42" borderId="68" xfId="0" applyFont="1" applyFill="1" applyBorder="1" applyAlignment="1">
      <alignment horizontal="center"/>
    </xf>
    <xf numFmtId="0" fontId="118" fillId="42" borderId="68" xfId="0" applyFont="1" applyFill="1" applyBorder="1" applyAlignment="1">
      <alignment horizontal="center" vertical="center" wrapText="1"/>
    </xf>
    <xf numFmtId="0" fontId="118" fillId="42" borderId="80" xfId="0" applyFont="1" applyFill="1" applyBorder="1" applyAlignment="1">
      <alignment horizontal="center" vertical="center" wrapText="1"/>
    </xf>
    <xf numFmtId="0" fontId="118" fillId="42" borderId="69" xfId="0" applyFont="1" applyFill="1" applyBorder="1" applyAlignment="1">
      <alignment horizontal="center" vertical="center"/>
    </xf>
    <xf numFmtId="0" fontId="67" fillId="29" borderId="27" xfId="0" applyFont="1" applyFill="1" applyBorder="1" applyAlignment="1">
      <alignment horizontal="center"/>
    </xf>
    <xf numFmtId="0" fontId="49" fillId="29" borderId="27" xfId="43" applyFont="1" applyFill="1" applyBorder="1" applyAlignment="1">
      <alignment horizontal="center" vertical="center" wrapText="1"/>
    </xf>
    <xf numFmtId="0" fontId="49" fillId="29" borderId="27" xfId="43" applyFont="1" applyFill="1" applyBorder="1" applyAlignment="1">
      <alignment horizontal="center" vertical="center"/>
    </xf>
    <xf numFmtId="0" fontId="27" fillId="25" borderId="27" xfId="0" applyFont="1" applyFill="1" applyBorder="1" applyAlignment="1">
      <alignment horizontal="center" vertical="center" wrapText="1"/>
    </xf>
    <xf numFmtId="0" fontId="68" fillId="29" borderId="27" xfId="43" applyFont="1" applyFill="1" applyBorder="1" applyAlignment="1">
      <alignment horizontal="center" vertical="center" wrapText="1"/>
    </xf>
    <xf numFmtId="0" fontId="69" fillId="29" borderId="27" xfId="43" applyFont="1" applyFill="1" applyBorder="1" applyAlignment="1">
      <alignment horizontal="center" vertical="center"/>
    </xf>
    <xf numFmtId="0" fontId="70" fillId="29" borderId="27" xfId="43" applyFont="1" applyFill="1" applyBorder="1" applyAlignment="1">
      <alignment horizontal="center" vertical="center"/>
    </xf>
    <xf numFmtId="0" fontId="68" fillId="29" borderId="27" xfId="0" applyFont="1" applyFill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35" xfId="0" applyFont="1" applyFill="1" applyBorder="1" applyAlignment="1">
      <alignment horizontal="center" vertical="center"/>
    </xf>
    <xf numFmtId="0" fontId="27" fillId="25" borderId="10" xfId="0" applyFont="1" applyFill="1" applyBorder="1" applyAlignment="1">
      <alignment horizontal="center" vertical="center"/>
    </xf>
    <xf numFmtId="0" fontId="65" fillId="31" borderId="10" xfId="0" applyFont="1" applyFill="1" applyBorder="1" applyAlignment="1">
      <alignment horizontal="center"/>
    </xf>
    <xf numFmtId="0" fontId="49" fillId="27" borderId="10" xfId="43" applyFont="1" applyFill="1" applyBorder="1" applyAlignment="1">
      <alignment horizontal="center" vertical="center" wrapText="1"/>
    </xf>
    <xf numFmtId="2" fontId="35" fillId="35" borderId="10" xfId="0" applyNumberFormat="1" applyFont="1" applyFill="1" applyBorder="1" applyAlignment="1">
      <alignment horizontal="center" vertical="center"/>
    </xf>
    <xf numFmtId="0" fontId="49" fillId="27" borderId="20" xfId="0" applyFont="1" applyFill="1" applyBorder="1" applyAlignment="1">
      <alignment horizontal="center" vertical="center"/>
    </xf>
    <xf numFmtId="0" fontId="102" fillId="27" borderId="20" xfId="0" applyFont="1" applyFill="1" applyBorder="1" applyAlignment="1">
      <alignment horizontal="center" vertical="center"/>
    </xf>
    <xf numFmtId="0" fontId="68" fillId="27" borderId="10" xfId="0" applyFont="1" applyFill="1" applyBorder="1" applyAlignment="1">
      <alignment horizontal="center" vertical="center"/>
    </xf>
    <xf numFmtId="0" fontId="68" fillId="27" borderId="10" xfId="0" applyFont="1" applyFill="1" applyBorder="1" applyAlignment="1">
      <alignment horizontal="center"/>
    </xf>
    <xf numFmtId="0" fontId="68" fillId="27" borderId="10" xfId="0" applyFont="1" applyFill="1" applyBorder="1" applyAlignment="1">
      <alignment horizontal="center" vertical="center" wrapText="1"/>
    </xf>
    <xf numFmtId="0" fontId="65" fillId="31" borderId="1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center" vertical="center"/>
    </xf>
    <xf numFmtId="2" fontId="65" fillId="31" borderId="10" xfId="0" applyNumberFormat="1" applyFont="1" applyFill="1" applyBorder="1" applyAlignment="1">
      <alignment horizontal="center" vertical="center"/>
    </xf>
    <xf numFmtId="0" fontId="65" fillId="31" borderId="11" xfId="0" applyFont="1" applyFill="1" applyBorder="1" applyAlignment="1">
      <alignment horizontal="center" vertical="center"/>
    </xf>
    <xf numFmtId="0" fontId="65" fillId="31" borderId="13" xfId="0" applyFont="1" applyFill="1" applyBorder="1" applyAlignment="1">
      <alignment horizontal="center" vertical="center"/>
    </xf>
    <xf numFmtId="0" fontId="83" fillId="31" borderId="10" xfId="0" applyFont="1" applyFill="1" applyBorder="1" applyAlignment="1">
      <alignment horizontal="center"/>
    </xf>
    <xf numFmtId="0" fontId="126" fillId="25" borderId="147" xfId="0" applyFont="1" applyFill="1" applyBorder="1" applyAlignment="1">
      <alignment horizontal="center" vertical="center"/>
    </xf>
    <xf numFmtId="0" fontId="126" fillId="25" borderId="148" xfId="0" applyFont="1" applyFill="1" applyBorder="1" applyAlignment="1">
      <alignment horizontal="center" vertical="center"/>
    </xf>
    <xf numFmtId="0" fontId="126" fillId="25" borderId="149" xfId="0" applyFont="1" applyFill="1" applyBorder="1" applyAlignment="1">
      <alignment horizontal="center" vertical="center"/>
    </xf>
    <xf numFmtId="0" fontId="126" fillId="25" borderId="150" xfId="0" applyFont="1" applyFill="1" applyBorder="1" applyAlignment="1">
      <alignment horizontal="center" vertical="center"/>
    </xf>
    <xf numFmtId="0" fontId="126" fillId="25" borderId="0" xfId="0" applyFont="1" applyFill="1" applyAlignment="1">
      <alignment horizontal="center" vertical="center"/>
    </xf>
    <xf numFmtId="0" fontId="126" fillId="25" borderId="99" xfId="0" applyFont="1" applyFill="1" applyBorder="1" applyAlignment="1">
      <alignment horizontal="center" vertical="center"/>
    </xf>
    <xf numFmtId="0" fontId="126" fillId="25" borderId="151" xfId="0" applyFont="1" applyFill="1" applyBorder="1" applyAlignment="1">
      <alignment horizontal="center" vertical="center"/>
    </xf>
    <xf numFmtId="0" fontId="126" fillId="25" borderId="85" xfId="0" applyFont="1" applyFill="1" applyBorder="1" applyAlignment="1">
      <alignment horizontal="center" vertical="center"/>
    </xf>
    <xf numFmtId="0" fontId="126" fillId="25" borderId="152" xfId="0" applyFont="1" applyFill="1" applyBorder="1" applyAlignment="1">
      <alignment horizontal="center" vertical="center"/>
    </xf>
    <xf numFmtId="0" fontId="58" fillId="29" borderId="55" xfId="0" applyFont="1" applyFill="1" applyBorder="1" applyAlignment="1">
      <alignment horizontal="center"/>
    </xf>
    <xf numFmtId="2" fontId="65" fillId="35" borderId="55" xfId="0" applyNumberFormat="1" applyFont="1" applyFill="1" applyBorder="1" applyAlignment="1">
      <alignment horizontal="center" vertical="center"/>
    </xf>
    <xf numFmtId="2" fontId="60" fillId="35" borderId="55" xfId="0" applyNumberFormat="1" applyFont="1" applyFill="1" applyBorder="1" applyAlignment="1">
      <alignment horizontal="center" vertical="center"/>
    </xf>
    <xf numFmtId="2" fontId="24" fillId="35" borderId="55" xfId="0" applyNumberFormat="1" applyFont="1" applyFill="1" applyBorder="1" applyAlignment="1">
      <alignment horizontal="center" vertical="center"/>
    </xf>
    <xf numFmtId="0" fontId="24" fillId="35" borderId="55" xfId="0" applyFont="1" applyFill="1" applyBorder="1" applyAlignment="1">
      <alignment horizontal="center" vertical="center"/>
    </xf>
    <xf numFmtId="0" fontId="74" fillId="26" borderId="55" xfId="37" applyFont="1" applyFill="1" applyBorder="1" applyAlignment="1">
      <alignment horizontal="right" vertical="center"/>
    </xf>
    <xf numFmtId="2" fontId="90" fillId="35" borderId="55" xfId="37" applyNumberFormat="1" applyFont="1" applyFill="1" applyBorder="1" applyAlignment="1">
      <alignment horizontal="center" vertical="center"/>
    </xf>
    <xf numFmtId="0" fontId="50" fillId="25" borderId="55" xfId="0" applyFont="1" applyFill="1" applyBorder="1" applyAlignment="1">
      <alignment horizontal="right" vertical="center"/>
    </xf>
    <xf numFmtId="2" fontId="50" fillId="35" borderId="55" xfId="0" applyNumberFormat="1" applyFont="1" applyFill="1" applyBorder="1" applyAlignment="1">
      <alignment horizontal="center" vertical="center"/>
    </xf>
    <xf numFmtId="0" fontId="58" fillId="25" borderId="55" xfId="0" applyFont="1" applyFill="1" applyBorder="1" applyAlignment="1">
      <alignment horizontal="center" vertical="center"/>
    </xf>
    <xf numFmtId="2" fontId="73" fillId="35" borderId="55" xfId="37" applyNumberFormat="1" applyFont="1" applyFill="1" applyBorder="1" applyAlignment="1">
      <alignment horizontal="center" vertical="center"/>
    </xf>
    <xf numFmtId="0" fontId="65" fillId="26" borderId="55" xfId="37" applyFont="1" applyFill="1" applyBorder="1" applyAlignment="1">
      <alignment horizontal="right" vertical="center"/>
    </xf>
    <xf numFmtId="2" fontId="57" fillId="35" borderId="55" xfId="37" applyNumberFormat="1" applyFont="1" applyFill="1" applyBorder="1" applyAlignment="1">
      <alignment horizontal="center" vertical="center"/>
    </xf>
    <xf numFmtId="0" fontId="60" fillId="26" borderId="55" xfId="37" applyFont="1" applyFill="1" applyBorder="1" applyAlignment="1">
      <alignment horizontal="right" vertical="center"/>
    </xf>
    <xf numFmtId="2" fontId="88" fillId="35" borderId="55" xfId="37" applyNumberFormat="1" applyFont="1" applyFill="1" applyBorder="1" applyAlignment="1">
      <alignment horizontal="center" vertical="center"/>
    </xf>
    <xf numFmtId="2" fontId="24" fillId="35" borderId="55" xfId="37" applyNumberFormat="1" applyFont="1" applyFill="1" applyBorder="1" applyAlignment="1">
      <alignment horizontal="center"/>
    </xf>
    <xf numFmtId="2" fontId="31" fillId="35" borderId="55" xfId="37" applyNumberFormat="1" applyFont="1" applyFill="1" applyBorder="1" applyAlignment="1">
      <alignment horizontal="center"/>
    </xf>
    <xf numFmtId="0" fontId="84" fillId="25" borderId="0" xfId="0" applyFont="1" applyFill="1" applyAlignment="1">
      <alignment horizontal="center" vertical="center"/>
    </xf>
    <xf numFmtId="0" fontId="71" fillId="29" borderId="55" xfId="0" applyFont="1" applyFill="1" applyBorder="1" applyAlignment="1">
      <alignment horizontal="center" vertical="center"/>
    </xf>
    <xf numFmtId="0" fontId="121" fillId="46" borderId="67" xfId="0" applyFont="1" applyFill="1" applyBorder="1" applyAlignment="1">
      <alignment horizontal="center" vertical="center"/>
    </xf>
    <xf numFmtId="0" fontId="121" fillId="46" borderId="68" xfId="0" applyFont="1" applyFill="1" applyBorder="1" applyAlignment="1">
      <alignment horizontal="center" vertical="center"/>
    </xf>
    <xf numFmtId="0" fontId="121" fillId="46" borderId="93" xfId="0" applyFont="1" applyFill="1" applyBorder="1" applyAlignment="1">
      <alignment horizontal="center" vertical="center"/>
    </xf>
    <xf numFmtId="0" fontId="121" fillId="46" borderId="117" xfId="0" applyFont="1" applyFill="1" applyBorder="1" applyAlignment="1">
      <alignment horizontal="center" vertical="center"/>
    </xf>
    <xf numFmtId="0" fontId="118" fillId="35" borderId="98" xfId="0" applyFont="1" applyFill="1" applyBorder="1" applyAlignment="1">
      <alignment horizontal="center"/>
    </xf>
    <xf numFmtId="0" fontId="118" fillId="35" borderId="56" xfId="0" applyFont="1" applyFill="1" applyBorder="1" applyAlignment="1">
      <alignment horizontal="center"/>
    </xf>
    <xf numFmtId="0" fontId="118" fillId="35" borderId="71" xfId="0" applyFont="1" applyFill="1" applyBorder="1" applyAlignment="1">
      <alignment horizontal="center"/>
    </xf>
    <xf numFmtId="2" fontId="115" fillId="38" borderId="59" xfId="37" applyNumberFormat="1" applyFont="1" applyFill="1" applyBorder="1" applyAlignment="1">
      <alignment horizontal="center"/>
    </xf>
    <xf numFmtId="2" fontId="115" fillId="38" borderId="71" xfId="37" applyNumberFormat="1" applyFont="1" applyFill="1" applyBorder="1" applyAlignment="1">
      <alignment horizontal="center"/>
    </xf>
    <xf numFmtId="0" fontId="35" fillId="25" borderId="55" xfId="37" applyFont="1" applyFill="1" applyBorder="1" applyAlignment="1">
      <alignment horizontal="left"/>
    </xf>
    <xf numFmtId="0" fontId="35" fillId="35" borderId="55" xfId="37" applyFont="1" applyFill="1" applyBorder="1" applyAlignment="1">
      <alignment horizontal="left"/>
    </xf>
    <xf numFmtId="2" fontId="35" fillId="35" borderId="55" xfId="37" applyNumberFormat="1" applyFont="1" applyFill="1" applyBorder="1" applyAlignment="1">
      <alignment horizontal="center" vertical="center"/>
    </xf>
    <xf numFmtId="0" fontId="72" fillId="25" borderId="55" xfId="0" applyFont="1" applyFill="1" applyBorder="1" applyAlignment="1">
      <alignment horizontal="right" vertical="center"/>
    </xf>
    <xf numFmtId="2" fontId="73" fillId="37" borderId="55" xfId="37" applyNumberFormat="1" applyFont="1" applyFill="1" applyBorder="1" applyAlignment="1">
      <alignment horizontal="center"/>
    </xf>
    <xf numFmtId="164" fontId="73" fillId="37" borderId="55" xfId="37" applyNumberFormat="1" applyFont="1" applyFill="1" applyBorder="1" applyAlignment="1">
      <alignment horizontal="center"/>
    </xf>
    <xf numFmtId="0" fontId="49" fillId="25" borderId="55" xfId="37" applyFont="1" applyFill="1" applyBorder="1" applyAlignment="1">
      <alignment horizontal="center" vertical="center"/>
    </xf>
    <xf numFmtId="2" fontId="116" fillId="38" borderId="59" xfId="37" applyNumberFormat="1" applyFont="1" applyFill="1" applyBorder="1" applyAlignment="1">
      <alignment horizontal="center" vertical="center"/>
    </xf>
    <xf numFmtId="2" fontId="116" fillId="38" borderId="71" xfId="37" applyNumberFormat="1" applyFont="1" applyFill="1" applyBorder="1" applyAlignment="1">
      <alignment horizontal="center" vertical="center"/>
    </xf>
    <xf numFmtId="0" fontId="46" fillId="29" borderId="55" xfId="37" applyFont="1" applyFill="1" applyBorder="1" applyAlignment="1">
      <alignment horizontal="center" vertical="center"/>
    </xf>
    <xf numFmtId="2" fontId="29" fillId="35" borderId="55" xfId="37" applyNumberFormat="1" applyFont="1" applyFill="1" applyBorder="1" applyAlignment="1">
      <alignment horizontal="center" vertical="center"/>
    </xf>
    <xf numFmtId="0" fontId="116" fillId="48" borderId="55" xfId="37" applyFont="1" applyFill="1" applyBorder="1" applyAlignment="1">
      <alignment horizontal="left"/>
    </xf>
    <xf numFmtId="2" fontId="116" fillId="48" borderId="56" xfId="37" applyNumberFormat="1" applyFont="1" applyFill="1" applyBorder="1" applyAlignment="1">
      <alignment horizontal="center" vertical="center"/>
    </xf>
    <xf numFmtId="2" fontId="116" fillId="48" borderId="71" xfId="37" applyNumberFormat="1" applyFont="1" applyFill="1" applyBorder="1" applyAlignment="1">
      <alignment horizontal="center" vertical="center"/>
    </xf>
    <xf numFmtId="2" fontId="118" fillId="26" borderId="56" xfId="37" applyNumberFormat="1" applyFont="1" applyFill="1" applyBorder="1" applyAlignment="1">
      <alignment horizontal="center" vertical="center"/>
    </xf>
    <xf numFmtId="2" fontId="118" fillId="26" borderId="71" xfId="37" applyNumberFormat="1" applyFont="1" applyFill="1" applyBorder="1" applyAlignment="1">
      <alignment horizontal="center" vertical="center"/>
    </xf>
    <xf numFmtId="0" fontId="119" fillId="46" borderId="98" xfId="0" applyFont="1" applyFill="1" applyBorder="1" applyAlignment="1">
      <alignment horizontal="right" vertical="center"/>
    </xf>
    <xf numFmtId="0" fontId="119" fillId="46" borderId="56" xfId="0" applyFont="1" applyFill="1" applyBorder="1" applyAlignment="1">
      <alignment horizontal="right" vertical="center"/>
    </xf>
    <xf numFmtId="0" fontId="119" fillId="46" borderId="58" xfId="0" applyFont="1" applyFill="1" applyBorder="1" applyAlignment="1">
      <alignment horizontal="right" vertical="center"/>
    </xf>
    <xf numFmtId="0" fontId="118" fillId="38" borderId="61" xfId="37" applyFont="1" applyFill="1" applyBorder="1" applyAlignment="1">
      <alignment horizontal="center" vertical="center"/>
    </xf>
    <xf numFmtId="0" fontId="118" fillId="38" borderId="91" xfId="37" applyFont="1" applyFill="1" applyBorder="1" applyAlignment="1">
      <alignment horizontal="center" vertical="center"/>
    </xf>
    <xf numFmtId="164" fontId="122" fillId="26" borderId="231" xfId="37" applyNumberFormat="1" applyFont="1" applyFill="1" applyBorder="1" applyAlignment="1">
      <alignment horizontal="center"/>
    </xf>
    <xf numFmtId="164" fontId="122" fillId="26" borderId="187" xfId="37" applyNumberFormat="1" applyFont="1" applyFill="1" applyBorder="1" applyAlignment="1">
      <alignment horizontal="center"/>
    </xf>
    <xf numFmtId="164" fontId="122" fillId="26" borderId="185" xfId="37" applyNumberFormat="1" applyFont="1" applyFill="1" applyBorder="1" applyAlignment="1">
      <alignment horizontal="center"/>
    </xf>
    <xf numFmtId="2" fontId="122" fillId="26" borderId="204" xfId="37" applyNumberFormat="1" applyFont="1" applyFill="1" applyBorder="1" applyAlignment="1">
      <alignment horizontal="center"/>
    </xf>
    <xf numFmtId="2" fontId="122" fillId="26" borderId="115" xfId="37" applyNumberFormat="1" applyFont="1" applyFill="1" applyBorder="1" applyAlignment="1">
      <alignment horizontal="center"/>
    </xf>
    <xf numFmtId="2" fontId="122" fillId="26" borderId="116" xfId="37" applyNumberFormat="1" applyFont="1" applyFill="1" applyBorder="1" applyAlignment="1">
      <alignment horizontal="center"/>
    </xf>
    <xf numFmtId="2" fontId="116" fillId="48" borderId="56" xfId="37" applyNumberFormat="1" applyFont="1" applyFill="1" applyBorder="1" applyAlignment="1">
      <alignment horizontal="center"/>
    </xf>
    <xf numFmtId="2" fontId="116" fillId="48" borderId="71" xfId="37" applyNumberFormat="1" applyFont="1" applyFill="1" applyBorder="1" applyAlignment="1">
      <alignment horizontal="center"/>
    </xf>
    <xf numFmtId="0" fontId="119" fillId="46" borderId="89" xfId="0" applyFont="1" applyFill="1" applyBorder="1" applyAlignment="1">
      <alignment horizontal="right" vertical="center"/>
    </xf>
    <xf numFmtId="0" fontId="119" fillId="46" borderId="80" xfId="0" applyFont="1" applyFill="1" applyBorder="1" applyAlignment="1">
      <alignment horizontal="right" vertical="center"/>
    </xf>
    <xf numFmtId="0" fontId="119" fillId="46" borderId="81" xfId="0" applyFont="1" applyFill="1" applyBorder="1" applyAlignment="1">
      <alignment horizontal="right" vertical="center"/>
    </xf>
    <xf numFmtId="0" fontId="118" fillId="48" borderId="74" xfId="37" applyFont="1" applyFill="1" applyBorder="1" applyAlignment="1">
      <alignment horizontal="center" vertical="center"/>
    </xf>
    <xf numFmtId="0" fontId="118" fillId="48" borderId="114" xfId="37" applyFont="1" applyFill="1" applyBorder="1" applyAlignment="1">
      <alignment horizontal="center" vertical="center"/>
    </xf>
    <xf numFmtId="0" fontId="117" fillId="48" borderId="55" xfId="37" applyFont="1" applyFill="1" applyBorder="1" applyAlignment="1">
      <alignment horizontal="center" vertical="center"/>
    </xf>
    <xf numFmtId="0" fontId="112" fillId="26" borderId="98" xfId="37" applyFont="1" applyFill="1" applyBorder="1" applyAlignment="1">
      <alignment horizontal="right" vertical="center"/>
    </xf>
    <xf numFmtId="0" fontId="112" fillId="26" borderId="56" xfId="37" applyFont="1" applyFill="1" applyBorder="1" applyAlignment="1">
      <alignment horizontal="right" vertical="center"/>
    </xf>
    <xf numFmtId="167" fontId="112" fillId="26" borderId="56" xfId="37" applyNumberFormat="1" applyFont="1" applyFill="1" applyBorder="1" applyAlignment="1">
      <alignment horizontal="center" vertical="center"/>
    </xf>
    <xf numFmtId="167" fontId="112" fillId="26" borderId="71" xfId="37" applyNumberFormat="1" applyFont="1" applyFill="1" applyBorder="1" applyAlignment="1">
      <alignment horizontal="center" vertical="center"/>
    </xf>
    <xf numFmtId="0" fontId="121" fillId="39" borderId="98" xfId="37" applyFont="1" applyFill="1" applyBorder="1" applyAlignment="1">
      <alignment horizontal="right" vertical="center"/>
    </xf>
    <xf numFmtId="0" fontId="121" fillId="39" borderId="56" xfId="37" applyFont="1" applyFill="1" applyBorder="1" applyAlignment="1">
      <alignment horizontal="right" vertical="center"/>
    </xf>
    <xf numFmtId="0" fontId="121" fillId="28" borderId="98" xfId="37" applyFont="1" applyFill="1" applyBorder="1" applyAlignment="1">
      <alignment horizontal="right" vertical="center"/>
    </xf>
    <xf numFmtId="0" fontId="121" fillId="28" borderId="56" xfId="37" applyFont="1" applyFill="1" applyBorder="1" applyAlignment="1">
      <alignment horizontal="right" vertical="center"/>
    </xf>
    <xf numFmtId="0" fontId="116" fillId="40" borderId="70" xfId="0" applyFont="1" applyFill="1" applyBorder="1" applyAlignment="1">
      <alignment horizontal="right" vertical="center"/>
    </xf>
    <xf numFmtId="0" fontId="116" fillId="40" borderId="60" xfId="0" applyFont="1" applyFill="1" applyBorder="1" applyAlignment="1">
      <alignment horizontal="right" vertical="center"/>
    </xf>
    <xf numFmtId="167" fontId="121" fillId="39" borderId="56" xfId="37" applyNumberFormat="1" applyFont="1" applyFill="1" applyBorder="1" applyAlignment="1">
      <alignment horizontal="center" vertical="center"/>
    </xf>
    <xf numFmtId="167" fontId="121" fillId="39" borderId="71" xfId="37" applyNumberFormat="1" applyFont="1" applyFill="1" applyBorder="1" applyAlignment="1">
      <alignment horizontal="center" vertical="center"/>
    </xf>
    <xf numFmtId="167" fontId="121" fillId="28" borderId="56" xfId="37" applyNumberFormat="1" applyFont="1" applyFill="1" applyBorder="1" applyAlignment="1">
      <alignment horizontal="center" vertical="center"/>
    </xf>
    <xf numFmtId="167" fontId="121" fillId="28" borderId="71" xfId="37" applyNumberFormat="1" applyFont="1" applyFill="1" applyBorder="1" applyAlignment="1">
      <alignment horizontal="center" vertical="center"/>
    </xf>
    <xf numFmtId="167" fontId="116" fillId="40" borderId="60" xfId="0" applyNumberFormat="1" applyFont="1" applyFill="1" applyBorder="1" applyAlignment="1">
      <alignment horizontal="center" vertical="center"/>
    </xf>
    <xf numFmtId="167" fontId="116" fillId="40" borderId="75" xfId="0" applyNumberFormat="1" applyFont="1" applyFill="1" applyBorder="1" applyAlignment="1">
      <alignment horizontal="center" vertical="center"/>
    </xf>
    <xf numFmtId="0" fontId="112" fillId="31" borderId="95" xfId="0" applyFont="1" applyFill="1" applyBorder="1" applyAlignment="1">
      <alignment horizontal="center" vertical="center"/>
    </xf>
    <xf numFmtId="0" fontId="112" fillId="31" borderId="96" xfId="0" applyFont="1" applyFill="1" applyBorder="1" applyAlignment="1">
      <alignment horizontal="center" vertical="center"/>
    </xf>
    <xf numFmtId="0" fontId="112" fillId="31" borderId="97" xfId="0" applyFont="1" applyFill="1" applyBorder="1" applyAlignment="1">
      <alignment horizontal="center" vertical="center"/>
    </xf>
    <xf numFmtId="0" fontId="112" fillId="49" borderId="225" xfId="0" applyFont="1" applyFill="1" applyBorder="1" applyAlignment="1">
      <alignment horizontal="center"/>
    </xf>
    <xf numFmtId="0" fontId="112" fillId="49" borderId="226" xfId="0" applyFont="1" applyFill="1" applyBorder="1" applyAlignment="1">
      <alignment horizontal="center"/>
    </xf>
    <xf numFmtId="0" fontId="112" fillId="49" borderId="227" xfId="0" applyFont="1" applyFill="1" applyBorder="1" applyAlignment="1">
      <alignment horizontal="center"/>
    </xf>
    <xf numFmtId="167" fontId="112" fillId="26" borderId="58" xfId="0" applyNumberFormat="1" applyFont="1" applyFill="1" applyBorder="1" applyAlignment="1">
      <alignment horizontal="center" vertical="center"/>
    </xf>
    <xf numFmtId="167" fontId="112" fillId="26" borderId="228" xfId="0" applyNumberFormat="1" applyFont="1" applyFill="1" applyBorder="1" applyAlignment="1">
      <alignment horizontal="center" vertical="center"/>
    </xf>
    <xf numFmtId="167" fontId="112" fillId="26" borderId="229" xfId="0" applyNumberFormat="1" applyFont="1" applyFill="1" applyBorder="1" applyAlignment="1">
      <alignment horizontal="center" vertical="center"/>
    </xf>
    <xf numFmtId="167" fontId="121" fillId="39" borderId="58" xfId="0" applyNumberFormat="1" applyFont="1" applyFill="1" applyBorder="1" applyAlignment="1">
      <alignment horizontal="center" vertical="center"/>
    </xf>
    <xf numFmtId="167" fontId="121" fillId="39" borderId="228" xfId="0" applyNumberFormat="1" applyFont="1" applyFill="1" applyBorder="1" applyAlignment="1">
      <alignment horizontal="center" vertical="center"/>
    </xf>
    <xf numFmtId="167" fontId="121" fillId="39" borderId="229" xfId="0" applyNumberFormat="1" applyFont="1" applyFill="1" applyBorder="1" applyAlignment="1">
      <alignment horizontal="center" vertical="center"/>
    </xf>
    <xf numFmtId="167" fontId="121" fillId="28" borderId="58" xfId="0" applyNumberFormat="1" applyFont="1" applyFill="1" applyBorder="1" applyAlignment="1">
      <alignment horizontal="center" vertical="center"/>
    </xf>
    <xf numFmtId="167" fontId="121" fillId="28" borderId="228" xfId="0" applyNumberFormat="1" applyFont="1" applyFill="1" applyBorder="1" applyAlignment="1">
      <alignment horizontal="center" vertical="center"/>
    </xf>
    <xf numFmtId="167" fontId="121" fillId="28" borderId="229" xfId="0" applyNumberFormat="1" applyFont="1" applyFill="1" applyBorder="1" applyAlignment="1">
      <alignment horizontal="center" vertical="center"/>
    </xf>
    <xf numFmtId="167" fontId="116" fillId="48" borderId="81" xfId="0" applyNumberFormat="1" applyFont="1" applyFill="1" applyBorder="1" applyAlignment="1">
      <alignment horizontal="center" vertical="center"/>
    </xf>
    <xf numFmtId="167" fontId="116" fillId="48" borderId="230" xfId="0" applyNumberFormat="1" applyFont="1" applyFill="1" applyBorder="1" applyAlignment="1">
      <alignment horizontal="center" vertical="center"/>
    </xf>
    <xf numFmtId="167" fontId="116" fillId="48" borderId="79" xfId="0" applyNumberFormat="1" applyFont="1" applyFill="1" applyBorder="1" applyAlignment="1">
      <alignment horizontal="center" vertical="center"/>
    </xf>
    <xf numFmtId="0" fontId="49" fillId="27" borderId="10" xfId="0" applyFont="1" applyFill="1" applyBorder="1" applyAlignment="1">
      <alignment horizontal="center" vertical="center" wrapText="1"/>
    </xf>
    <xf numFmtId="0" fontId="49" fillId="27" borderId="10" xfId="0" applyFont="1" applyFill="1" applyBorder="1" applyAlignment="1">
      <alignment horizontal="center"/>
    </xf>
    <xf numFmtId="0" fontId="59" fillId="50" borderId="0" xfId="0" applyFont="1" applyFill="1" applyAlignment="1">
      <alignment horizontal="center"/>
    </xf>
    <xf numFmtId="0" fontId="68" fillId="27" borderId="53" xfId="0" applyFont="1" applyFill="1" applyBorder="1" applyAlignment="1">
      <alignment horizontal="center" vertical="center"/>
    </xf>
    <xf numFmtId="0" fontId="30" fillId="27" borderId="53" xfId="0" applyFont="1" applyFill="1" applyBorder="1" applyAlignment="1">
      <alignment horizontal="center" vertical="center"/>
    </xf>
    <xf numFmtId="0" fontId="49" fillId="27" borderId="10" xfId="0" applyFont="1" applyFill="1" applyBorder="1" applyAlignment="1">
      <alignment horizontal="center" vertical="center"/>
    </xf>
    <xf numFmtId="0" fontId="49" fillId="29" borderId="27" xfId="0" applyFont="1" applyFill="1" applyBorder="1" applyAlignment="1">
      <alignment horizontal="center" vertical="center"/>
    </xf>
    <xf numFmtId="0" fontId="57" fillId="31" borderId="10" xfId="0" applyFont="1" applyFill="1" applyBorder="1" applyAlignment="1">
      <alignment horizontal="center"/>
    </xf>
    <xf numFmtId="0" fontId="24" fillId="31" borderId="10" xfId="0" applyFont="1" applyFill="1" applyBorder="1" applyAlignment="1">
      <alignment horizontal="center" vertical="center"/>
    </xf>
    <xf numFmtId="0" fontId="76" fillId="29" borderId="27" xfId="0" applyFont="1" applyFill="1" applyBorder="1" applyAlignment="1">
      <alignment horizontal="center"/>
    </xf>
    <xf numFmtId="0" fontId="118" fillId="50" borderId="163" xfId="43" applyFont="1" applyFill="1" applyBorder="1" applyAlignment="1">
      <alignment horizontal="center" vertical="center" wrapText="1"/>
    </xf>
    <xf numFmtId="0" fontId="118" fillId="50" borderId="164" xfId="43" applyFont="1" applyFill="1" applyBorder="1" applyAlignment="1">
      <alignment horizontal="center" vertical="center" wrapText="1"/>
    </xf>
    <xf numFmtId="0" fontId="118" fillId="50" borderId="164" xfId="43" applyFont="1" applyFill="1" applyBorder="1" applyAlignment="1">
      <alignment horizontal="center" vertical="center"/>
    </xf>
    <xf numFmtId="0" fontId="113" fillId="50" borderId="164" xfId="43" applyFont="1" applyFill="1" applyBorder="1" applyAlignment="1">
      <alignment horizontal="center" vertical="center" wrapText="1"/>
    </xf>
    <xf numFmtId="0" fontId="118" fillId="26" borderId="164" xfId="43" applyFont="1" applyFill="1" applyBorder="1" applyAlignment="1">
      <alignment horizontal="center" vertical="center" wrapText="1"/>
    </xf>
    <xf numFmtId="0" fontId="118" fillId="26" borderId="173" xfId="43" applyFont="1" applyFill="1" applyBorder="1" applyAlignment="1">
      <alignment horizontal="center" vertical="center" wrapText="1"/>
    </xf>
    <xf numFmtId="0" fontId="119" fillId="39" borderId="164" xfId="43" applyFont="1" applyFill="1" applyBorder="1" applyAlignment="1">
      <alignment horizontal="center" vertical="center"/>
    </xf>
    <xf numFmtId="0" fontId="119" fillId="39" borderId="173" xfId="43" applyFont="1" applyFill="1" applyBorder="1" applyAlignment="1">
      <alignment horizontal="center" vertical="center"/>
    </xf>
    <xf numFmtId="0" fontId="119" fillId="28" borderId="164" xfId="43" applyFont="1" applyFill="1" applyBorder="1" applyAlignment="1">
      <alignment horizontal="center" vertical="center"/>
    </xf>
    <xf numFmtId="0" fontId="119" fillId="28" borderId="173" xfId="43" applyFont="1" applyFill="1" applyBorder="1" applyAlignment="1">
      <alignment horizontal="center" vertical="center"/>
    </xf>
    <xf numFmtId="0" fontId="126" fillId="25" borderId="139" xfId="0" applyFont="1" applyFill="1" applyBorder="1" applyAlignment="1">
      <alignment horizontal="center" vertical="center"/>
    </xf>
    <xf numFmtId="0" fontId="126" fillId="25" borderId="140" xfId="0" applyFont="1" applyFill="1" applyBorder="1" applyAlignment="1">
      <alignment horizontal="center" vertical="center"/>
    </xf>
    <xf numFmtId="0" fontId="126" fillId="25" borderId="141" xfId="0" applyFont="1" applyFill="1" applyBorder="1" applyAlignment="1">
      <alignment horizontal="center" vertical="center"/>
    </xf>
    <xf numFmtId="0" fontId="126" fillId="25" borderId="144" xfId="0" applyFont="1" applyFill="1" applyBorder="1" applyAlignment="1">
      <alignment horizontal="center" vertical="center"/>
    </xf>
    <xf numFmtId="0" fontId="126" fillId="25" borderId="145" xfId="0" applyFont="1" applyFill="1" applyBorder="1" applyAlignment="1">
      <alignment horizontal="center" vertical="center"/>
    </xf>
    <xf numFmtId="0" fontId="126" fillId="25" borderId="146" xfId="0" applyFont="1" applyFill="1" applyBorder="1" applyAlignment="1">
      <alignment horizontal="center" vertical="center"/>
    </xf>
    <xf numFmtId="0" fontId="113" fillId="50" borderId="188" xfId="43" applyFont="1" applyFill="1" applyBorder="1" applyAlignment="1">
      <alignment horizontal="center" vertical="center"/>
    </xf>
    <xf numFmtId="0" fontId="113" fillId="50" borderId="219" xfId="43" applyFont="1" applyFill="1" applyBorder="1" applyAlignment="1">
      <alignment horizontal="center" vertical="center"/>
    </xf>
    <xf numFmtId="0" fontId="113" fillId="50" borderId="220" xfId="43" applyFont="1" applyFill="1" applyBorder="1" applyAlignment="1">
      <alignment horizontal="center" vertical="center"/>
    </xf>
    <xf numFmtId="0" fontId="113" fillId="50" borderId="160" xfId="43" applyFont="1" applyFill="1" applyBorder="1" applyAlignment="1">
      <alignment horizontal="center" vertical="center"/>
    </xf>
    <xf numFmtId="0" fontId="113" fillId="50" borderId="145" xfId="43" applyFont="1" applyFill="1" applyBorder="1" applyAlignment="1">
      <alignment horizontal="center" vertical="center"/>
    </xf>
    <xf numFmtId="0" fontId="113" fillId="50" borderId="221" xfId="43" applyFont="1" applyFill="1" applyBorder="1" applyAlignment="1">
      <alignment horizontal="center" vertical="center"/>
    </xf>
    <xf numFmtId="0" fontId="113" fillId="50" borderId="173" xfId="43" applyFont="1" applyFill="1" applyBorder="1" applyAlignment="1">
      <alignment horizontal="center" vertical="center"/>
    </xf>
    <xf numFmtId="0" fontId="113" fillId="50" borderId="222" xfId="43" applyFont="1" applyFill="1" applyBorder="1" applyAlignment="1">
      <alignment horizontal="center" vertical="center"/>
    </xf>
    <xf numFmtId="0" fontId="115" fillId="50" borderId="163" xfId="0" applyFont="1" applyFill="1" applyBorder="1" applyAlignment="1">
      <alignment horizontal="center" vertical="center" wrapText="1"/>
    </xf>
    <xf numFmtId="0" fontId="115" fillId="50" borderId="164" xfId="0" applyFont="1" applyFill="1" applyBorder="1" applyAlignment="1">
      <alignment horizontal="center" vertical="center" wrapText="1"/>
    </xf>
    <xf numFmtId="0" fontId="115" fillId="50" borderId="128" xfId="0" applyFont="1" applyFill="1" applyBorder="1" applyAlignment="1">
      <alignment horizontal="center" vertical="center" wrapText="1"/>
    </xf>
    <xf numFmtId="0" fontId="115" fillId="50" borderId="129" xfId="0" applyFont="1" applyFill="1" applyBorder="1" applyAlignment="1">
      <alignment horizontal="center" vertical="center" wrapText="1"/>
    </xf>
    <xf numFmtId="0" fontId="113" fillId="50" borderId="223" xfId="43" applyFont="1" applyFill="1" applyBorder="1" applyAlignment="1">
      <alignment horizontal="center" vertical="center"/>
    </xf>
    <xf numFmtId="0" fontId="113" fillId="50" borderId="146" xfId="43" applyFont="1" applyFill="1" applyBorder="1" applyAlignment="1">
      <alignment horizontal="center" vertical="center"/>
    </xf>
    <xf numFmtId="0" fontId="107" fillId="25" borderId="173" xfId="43" applyFont="1" applyFill="1" applyBorder="1" applyAlignment="1">
      <alignment horizontal="center" vertical="center" wrapText="1"/>
    </xf>
    <xf numFmtId="0" fontId="107" fillId="25" borderId="134" xfId="43" applyFont="1" applyFill="1" applyBorder="1" applyAlignment="1">
      <alignment horizontal="center" vertical="center" wrapText="1"/>
    </xf>
    <xf numFmtId="0" fontId="113" fillId="50" borderId="173" xfId="43" applyFont="1" applyFill="1" applyBorder="1" applyAlignment="1">
      <alignment horizontal="center" vertical="center" wrapText="1"/>
    </xf>
    <xf numFmtId="0" fontId="113" fillId="50" borderId="134" xfId="43" applyFont="1" applyFill="1" applyBorder="1" applyAlignment="1">
      <alignment horizontal="center" vertical="center" wrapText="1"/>
    </xf>
    <xf numFmtId="0" fontId="113" fillId="50" borderId="179" xfId="43" applyFont="1" applyFill="1" applyBorder="1" applyAlignment="1">
      <alignment horizontal="center" vertical="center" wrapText="1"/>
    </xf>
    <xf numFmtId="0" fontId="113" fillId="50" borderId="154" xfId="43" applyFont="1" applyFill="1" applyBorder="1" applyAlignment="1">
      <alignment horizontal="center" vertical="center" wrapText="1"/>
    </xf>
    <xf numFmtId="0" fontId="118" fillId="42" borderId="56" xfId="0" applyFont="1" applyFill="1" applyBorder="1" applyAlignment="1">
      <alignment horizontal="center"/>
    </xf>
    <xf numFmtId="0" fontId="118" fillId="42" borderId="71" xfId="0" applyFont="1" applyFill="1" applyBorder="1" applyAlignment="1">
      <alignment horizontal="center"/>
    </xf>
    <xf numFmtId="0" fontId="115" fillId="50" borderId="126" xfId="0" applyFont="1" applyFill="1" applyBorder="1" applyAlignment="1">
      <alignment horizontal="center" vertical="center"/>
    </xf>
    <xf numFmtId="0" fontId="115" fillId="50" borderId="122" xfId="0" applyFont="1" applyFill="1" applyBorder="1" applyAlignment="1">
      <alignment horizontal="center" vertical="center"/>
    </xf>
    <xf numFmtId="0" fontId="118" fillId="42" borderId="61" xfId="0" applyFont="1" applyFill="1" applyBorder="1" applyAlignment="1">
      <alignment horizontal="center" vertical="center"/>
    </xf>
    <xf numFmtId="0" fontId="118" fillId="42" borderId="61" xfId="0" applyFont="1" applyFill="1" applyBorder="1" applyAlignment="1">
      <alignment horizontal="center"/>
    </xf>
    <xf numFmtId="0" fontId="118" fillId="42" borderId="56" xfId="0" applyFont="1" applyFill="1" applyBorder="1" applyAlignment="1">
      <alignment horizontal="center" vertical="center" wrapText="1"/>
    </xf>
    <xf numFmtId="0" fontId="118" fillId="42" borderId="135" xfId="0" applyFont="1" applyFill="1" applyBorder="1" applyAlignment="1">
      <alignment horizontal="center" vertical="center"/>
    </xf>
    <xf numFmtId="0" fontId="118" fillId="42" borderId="66" xfId="0" applyFont="1" applyFill="1" applyBorder="1" applyAlignment="1">
      <alignment horizontal="center" vertical="center"/>
    </xf>
    <xf numFmtId="2" fontId="116" fillId="50" borderId="59" xfId="0" applyNumberFormat="1" applyFont="1" applyFill="1" applyBorder="1" applyAlignment="1">
      <alignment horizontal="center" vertical="center"/>
    </xf>
    <xf numFmtId="2" fontId="116" fillId="50" borderId="56" xfId="0" applyNumberFormat="1" applyFont="1" applyFill="1" applyBorder="1" applyAlignment="1">
      <alignment horizontal="center" vertical="center"/>
    </xf>
    <xf numFmtId="0" fontId="86" fillId="25" borderId="0" xfId="0" applyFont="1" applyFill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0" fontId="126" fillId="25" borderId="142" xfId="0" applyFont="1" applyFill="1" applyBorder="1" applyAlignment="1">
      <alignment horizontal="center" vertical="center"/>
    </xf>
    <xf numFmtId="0" fontId="126" fillId="25" borderId="143" xfId="0" applyFont="1" applyFill="1" applyBorder="1" applyAlignment="1">
      <alignment horizontal="center" vertical="center"/>
    </xf>
    <xf numFmtId="0" fontId="35" fillId="25" borderId="53" xfId="37" applyFont="1" applyFill="1" applyBorder="1" applyAlignment="1">
      <alignment horizontal="left"/>
    </xf>
    <xf numFmtId="2" fontId="73" fillId="35" borderId="53" xfId="37" applyNumberFormat="1" applyFont="1" applyFill="1" applyBorder="1" applyAlignment="1">
      <alignment horizontal="center" vertical="center"/>
    </xf>
    <xf numFmtId="0" fontId="35" fillId="35" borderId="53" xfId="37" applyFont="1" applyFill="1" applyBorder="1" applyAlignment="1">
      <alignment horizontal="left"/>
    </xf>
    <xf numFmtId="0" fontId="58" fillId="29" borderId="53" xfId="0" applyFont="1" applyFill="1" applyBorder="1" applyAlignment="1">
      <alignment horizontal="center"/>
    </xf>
    <xf numFmtId="2" fontId="65" fillId="35" borderId="53" xfId="0" applyNumberFormat="1" applyFont="1" applyFill="1" applyBorder="1" applyAlignment="1">
      <alignment horizontal="center" vertical="center"/>
    </xf>
    <xf numFmtId="2" fontId="60" fillId="35" borderId="53" xfId="0" applyNumberFormat="1" applyFont="1" applyFill="1" applyBorder="1" applyAlignment="1">
      <alignment horizontal="center" vertical="center"/>
    </xf>
    <xf numFmtId="2" fontId="74" fillId="35" borderId="53" xfId="0" applyNumberFormat="1" applyFont="1" applyFill="1" applyBorder="1" applyAlignment="1">
      <alignment horizontal="center" vertical="center"/>
    </xf>
    <xf numFmtId="2" fontId="26" fillId="35" borderId="53" xfId="37" applyNumberFormat="1" applyFont="1" applyFill="1" applyBorder="1" applyAlignment="1">
      <alignment horizontal="center"/>
    </xf>
    <xf numFmtId="164" fontId="73" fillId="37" borderId="53" xfId="37" applyNumberFormat="1" applyFont="1" applyFill="1" applyBorder="1" applyAlignment="1">
      <alignment horizontal="center" vertical="center"/>
    </xf>
    <xf numFmtId="2" fontId="31" fillId="35" borderId="53" xfId="37" applyNumberFormat="1" applyFont="1" applyFill="1" applyBorder="1" applyAlignment="1">
      <alignment horizontal="center"/>
    </xf>
    <xf numFmtId="0" fontId="121" fillId="28" borderId="67" xfId="0" applyFont="1" applyFill="1" applyBorder="1" applyAlignment="1">
      <alignment horizontal="center" vertical="center"/>
    </xf>
    <xf numFmtId="0" fontId="121" fillId="28" borderId="68" xfId="0" applyFont="1" applyFill="1" applyBorder="1" applyAlignment="1">
      <alignment horizontal="center" vertical="center"/>
    </xf>
    <xf numFmtId="0" fontId="121" fillId="28" borderId="93" xfId="0" applyFont="1" applyFill="1" applyBorder="1" applyAlignment="1">
      <alignment horizontal="center" vertical="center"/>
    </xf>
    <xf numFmtId="0" fontId="121" fillId="28" borderId="117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 vertical="center"/>
    </xf>
    <xf numFmtId="2" fontId="116" fillId="50" borderId="122" xfId="37" applyNumberFormat="1" applyFont="1" applyFill="1" applyBorder="1" applyAlignment="1">
      <alignment horizontal="center"/>
    </xf>
    <xf numFmtId="2" fontId="116" fillId="50" borderId="127" xfId="37" applyNumberFormat="1" applyFont="1" applyFill="1" applyBorder="1" applyAlignment="1">
      <alignment horizontal="center"/>
    </xf>
    <xf numFmtId="2" fontId="114" fillId="38" borderId="132" xfId="37" applyNumberFormat="1" applyFont="1" applyFill="1" applyBorder="1" applyAlignment="1">
      <alignment horizontal="center"/>
    </xf>
    <xf numFmtId="2" fontId="114" fillId="38" borderId="127" xfId="37" applyNumberFormat="1" applyFont="1" applyFill="1" applyBorder="1" applyAlignment="1">
      <alignment horizontal="center"/>
    </xf>
    <xf numFmtId="2" fontId="24" fillId="35" borderId="53" xfId="0" applyNumberFormat="1" applyFont="1" applyFill="1" applyBorder="1" applyAlignment="1">
      <alignment horizontal="center" vertical="center"/>
    </xf>
    <xf numFmtId="0" fontId="24" fillId="35" borderId="53" xfId="0" applyFont="1" applyFill="1" applyBorder="1" applyAlignment="1">
      <alignment horizontal="center" vertical="center"/>
    </xf>
    <xf numFmtId="0" fontId="74" fillId="26" borderId="53" xfId="37" applyFont="1" applyFill="1" applyBorder="1" applyAlignment="1">
      <alignment horizontal="right" vertical="center"/>
    </xf>
    <xf numFmtId="2" fontId="90" fillId="35" borderId="53" xfId="37" applyNumberFormat="1" applyFont="1" applyFill="1" applyBorder="1" applyAlignment="1">
      <alignment horizontal="center" vertical="center"/>
    </xf>
    <xf numFmtId="0" fontId="50" fillId="25" borderId="53" xfId="0" applyFont="1" applyFill="1" applyBorder="1" applyAlignment="1">
      <alignment horizontal="right" vertical="center"/>
    </xf>
    <xf numFmtId="2" fontId="50" fillId="35" borderId="53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2" fontId="35" fillId="35" borderId="53" xfId="37" applyNumberFormat="1" applyFont="1" applyFill="1" applyBorder="1" applyAlignment="1">
      <alignment horizontal="center" vertical="center"/>
    </xf>
    <xf numFmtId="0" fontId="65" fillId="26" borderId="53" xfId="37" applyFont="1" applyFill="1" applyBorder="1" applyAlignment="1">
      <alignment horizontal="right" vertical="center"/>
    </xf>
    <xf numFmtId="2" fontId="57" fillId="35" borderId="53" xfId="37" applyNumberFormat="1" applyFont="1" applyFill="1" applyBorder="1" applyAlignment="1">
      <alignment horizontal="center" vertical="center"/>
    </xf>
    <xf numFmtId="0" fontId="60" fillId="26" borderId="53" xfId="37" applyFont="1" applyFill="1" applyBorder="1" applyAlignment="1">
      <alignment horizontal="right" vertical="center"/>
    </xf>
    <xf numFmtId="2" fontId="88" fillId="35" borderId="53" xfId="37" applyNumberFormat="1" applyFont="1" applyFill="1" applyBorder="1" applyAlignment="1">
      <alignment horizontal="center" vertical="center"/>
    </xf>
    <xf numFmtId="0" fontId="112" fillId="49" borderId="216" xfId="0" applyFont="1" applyFill="1" applyBorder="1" applyAlignment="1">
      <alignment horizontal="center"/>
    </xf>
    <xf numFmtId="0" fontId="112" fillId="49" borderId="208" xfId="0" applyFont="1" applyFill="1" applyBorder="1" applyAlignment="1">
      <alignment horizontal="center"/>
    </xf>
    <xf numFmtId="0" fontId="112" fillId="49" borderId="241" xfId="0" applyFont="1" applyFill="1" applyBorder="1" applyAlignment="1">
      <alignment horizontal="center"/>
    </xf>
    <xf numFmtId="167" fontId="116" fillId="38" borderId="132" xfId="37" applyNumberFormat="1" applyFont="1" applyFill="1" applyBorder="1" applyAlignment="1">
      <alignment horizontal="center"/>
    </xf>
    <xf numFmtId="167" fontId="116" fillId="38" borderId="127" xfId="37" applyNumberFormat="1" applyFont="1" applyFill="1" applyBorder="1" applyAlignment="1">
      <alignment horizontal="center"/>
    </xf>
    <xf numFmtId="0" fontId="118" fillId="38" borderId="134" xfId="37" applyFont="1" applyFill="1" applyBorder="1" applyAlignment="1">
      <alignment horizontal="center" vertical="center"/>
    </xf>
    <xf numFmtId="0" fontId="118" fillId="38" borderId="154" xfId="37" applyFont="1" applyFill="1" applyBorder="1" applyAlignment="1">
      <alignment horizontal="center" vertical="center"/>
    </xf>
    <xf numFmtId="2" fontId="118" fillId="26" borderId="155" xfId="37" applyNumberFormat="1" applyFont="1" applyFill="1" applyBorder="1" applyAlignment="1">
      <alignment horizontal="center" vertical="center"/>
    </xf>
    <xf numFmtId="2" fontId="118" fillId="26" borderId="156" xfId="37" applyNumberFormat="1" applyFont="1" applyFill="1" applyBorder="1" applyAlignment="1">
      <alignment horizontal="center" vertical="center"/>
    </xf>
    <xf numFmtId="2" fontId="118" fillId="26" borderId="157" xfId="37" applyNumberFormat="1" applyFont="1" applyFill="1" applyBorder="1" applyAlignment="1">
      <alignment horizontal="center" vertical="center"/>
    </xf>
    <xf numFmtId="164" fontId="118" fillId="26" borderId="235" xfId="37" applyNumberFormat="1" applyFont="1" applyFill="1" applyBorder="1" applyAlignment="1">
      <alignment horizontal="center" vertical="center"/>
    </xf>
    <xf numFmtId="164" fontId="118" fillId="26" borderId="236" xfId="37" applyNumberFormat="1" applyFont="1" applyFill="1" applyBorder="1" applyAlignment="1">
      <alignment horizontal="center" vertical="center"/>
    </xf>
    <xf numFmtId="164" fontId="118" fillId="26" borderId="237" xfId="37" applyNumberFormat="1" applyFont="1" applyFill="1" applyBorder="1" applyAlignment="1">
      <alignment horizontal="center" vertical="center"/>
    </xf>
    <xf numFmtId="0" fontId="49" fillId="25" borderId="53" xfId="37" applyFont="1" applyFill="1" applyBorder="1" applyAlignment="1">
      <alignment horizontal="center" vertical="center"/>
    </xf>
    <xf numFmtId="2" fontId="29" fillId="35" borderId="53" xfId="37" applyNumberFormat="1" applyFont="1" applyFill="1" applyBorder="1" applyAlignment="1">
      <alignment horizontal="center"/>
    </xf>
    <xf numFmtId="0" fontId="116" fillId="50" borderId="53" xfId="37" applyFont="1" applyFill="1" applyBorder="1" applyAlignment="1">
      <alignment horizontal="left"/>
    </xf>
    <xf numFmtId="0" fontId="46" fillId="28" borderId="53" xfId="37" applyFont="1" applyFill="1" applyBorder="1" applyAlignment="1">
      <alignment horizontal="center" vertical="center"/>
    </xf>
    <xf numFmtId="2" fontId="116" fillId="50" borderId="122" xfId="37" applyNumberFormat="1" applyFont="1" applyFill="1" applyBorder="1" applyAlignment="1">
      <alignment horizontal="center" vertical="center"/>
    </xf>
    <xf numFmtId="2" fontId="116" fillId="50" borderId="127" xfId="37" applyNumberFormat="1" applyFont="1" applyFill="1" applyBorder="1" applyAlignment="1">
      <alignment horizontal="center" vertical="center"/>
    </xf>
    <xf numFmtId="2" fontId="113" fillId="26" borderId="122" xfId="37" applyNumberFormat="1" applyFont="1" applyFill="1" applyBorder="1" applyAlignment="1">
      <alignment horizontal="center" vertical="center"/>
    </xf>
    <xf numFmtId="2" fontId="113" fillId="26" borderId="127" xfId="37" applyNumberFormat="1" applyFont="1" applyFill="1" applyBorder="1" applyAlignment="1">
      <alignment horizontal="center" vertical="center"/>
    </xf>
    <xf numFmtId="0" fontId="72" fillId="25" borderId="53" xfId="0" applyFont="1" applyFill="1" applyBorder="1" applyAlignment="1">
      <alignment horizontal="right" vertical="center"/>
    </xf>
    <xf numFmtId="0" fontId="49" fillId="29" borderId="53" xfId="0" applyFont="1" applyFill="1" applyBorder="1" applyAlignment="1">
      <alignment horizontal="center"/>
    </xf>
    <xf numFmtId="2" fontId="73" fillId="37" borderId="53" xfId="37" applyNumberFormat="1" applyFont="1" applyFill="1" applyBorder="1" applyAlignment="1">
      <alignment horizontal="center" vertical="center"/>
    </xf>
    <xf numFmtId="0" fontId="119" fillId="28" borderId="232" xfId="0" applyFont="1" applyFill="1" applyBorder="1" applyAlignment="1">
      <alignment horizontal="right" vertical="center"/>
    </xf>
    <xf numFmtId="0" fontId="119" fillId="28" borderId="233" xfId="0" applyFont="1" applyFill="1" applyBorder="1" applyAlignment="1">
      <alignment horizontal="right" vertical="center"/>
    </xf>
    <xf numFmtId="0" fontId="119" fillId="28" borderId="234" xfId="0" applyFont="1" applyFill="1" applyBorder="1" applyAlignment="1">
      <alignment horizontal="right" vertical="center"/>
    </xf>
    <xf numFmtId="0" fontId="119" fillId="28" borderId="98" xfId="0" applyFont="1" applyFill="1" applyBorder="1" applyAlignment="1">
      <alignment horizontal="right" vertical="center"/>
    </xf>
    <xf numFmtId="0" fontId="119" fillId="28" borderId="56" xfId="0" applyFont="1" applyFill="1" applyBorder="1" applyAlignment="1">
      <alignment horizontal="right" vertical="center"/>
    </xf>
    <xf numFmtId="0" fontId="119" fillId="28" borderId="58" xfId="0" applyFont="1" applyFill="1" applyBorder="1" applyAlignment="1">
      <alignment horizontal="right" vertical="center"/>
    </xf>
    <xf numFmtId="0" fontId="118" fillId="50" borderId="158" xfId="37" applyFont="1" applyFill="1" applyBorder="1" applyAlignment="1">
      <alignment horizontal="center" vertical="center"/>
    </xf>
    <xf numFmtId="0" fontId="118" fillId="50" borderId="153" xfId="37" applyFont="1" applyFill="1" applyBorder="1" applyAlignment="1">
      <alignment horizontal="center" vertical="center"/>
    </xf>
    <xf numFmtId="0" fontId="117" fillId="50" borderId="53" xfId="37" applyFont="1" applyFill="1" applyBorder="1" applyAlignment="1">
      <alignment horizontal="center" vertical="center"/>
    </xf>
    <xf numFmtId="0" fontId="126" fillId="25" borderId="243" xfId="0" applyFont="1" applyFill="1" applyBorder="1" applyAlignment="1">
      <alignment horizontal="center" vertical="center"/>
    </xf>
    <xf numFmtId="0" fontId="126" fillId="25" borderId="244" xfId="0" applyFont="1" applyFill="1" applyBorder="1" applyAlignment="1">
      <alignment horizontal="center" vertical="center"/>
    </xf>
    <xf numFmtId="0" fontId="126" fillId="25" borderId="245" xfId="0" applyFont="1" applyFill="1" applyBorder="1" applyAlignment="1">
      <alignment horizontal="center" vertical="center"/>
    </xf>
    <xf numFmtId="0" fontId="118" fillId="50" borderId="246" xfId="43" applyFont="1" applyFill="1" applyBorder="1" applyAlignment="1">
      <alignment horizontal="center" vertical="center"/>
    </xf>
    <xf numFmtId="0" fontId="118" fillId="50" borderId="140" xfId="43" applyFont="1" applyFill="1" applyBorder="1" applyAlignment="1">
      <alignment horizontal="center" vertical="center"/>
    </xf>
    <xf numFmtId="0" fontId="118" fillId="50" borderId="247" xfId="43" applyFont="1" applyFill="1" applyBorder="1" applyAlignment="1">
      <alignment horizontal="center" vertical="center"/>
    </xf>
    <xf numFmtId="0" fontId="118" fillId="50" borderId="160" xfId="43" applyFont="1" applyFill="1" applyBorder="1" applyAlignment="1">
      <alignment horizontal="center" vertical="center"/>
    </xf>
    <xf numFmtId="0" fontId="118" fillId="50" borderId="145" xfId="43" applyFont="1" applyFill="1" applyBorder="1" applyAlignment="1">
      <alignment horizontal="center" vertical="center"/>
    </xf>
    <xf numFmtId="0" fontId="118" fillId="50" borderId="221" xfId="43" applyFont="1" applyFill="1" applyBorder="1" applyAlignment="1">
      <alignment horizontal="center" vertical="center"/>
    </xf>
    <xf numFmtId="0" fontId="118" fillId="48" borderId="173" xfId="43" applyFont="1" applyFill="1" applyBorder="1" applyAlignment="1">
      <alignment horizontal="center" vertical="center"/>
    </xf>
    <xf numFmtId="0" fontId="118" fillId="48" borderId="222" xfId="43" applyFont="1" applyFill="1" applyBorder="1" applyAlignment="1">
      <alignment horizontal="center" vertical="center"/>
    </xf>
    <xf numFmtId="0" fontId="118" fillId="48" borderId="246" xfId="43" applyFont="1" applyFill="1" applyBorder="1" applyAlignment="1">
      <alignment horizontal="center" vertical="center"/>
    </xf>
    <xf numFmtId="0" fontId="118" fillId="48" borderId="140" xfId="43" applyFont="1" applyFill="1" applyBorder="1" applyAlignment="1">
      <alignment horizontal="center" vertical="center"/>
    </xf>
    <xf numFmtId="0" fontId="118" fillId="48" borderId="141" xfId="43" applyFont="1" applyFill="1" applyBorder="1" applyAlignment="1">
      <alignment horizontal="center" vertical="center"/>
    </xf>
    <xf numFmtId="0" fontId="118" fillId="48" borderId="160" xfId="43" applyFont="1" applyFill="1" applyBorder="1" applyAlignment="1">
      <alignment horizontal="center" vertical="center"/>
    </xf>
    <xf numFmtId="0" fontId="118" fillId="48" borderId="145" xfId="43" applyFont="1" applyFill="1" applyBorder="1" applyAlignment="1">
      <alignment horizontal="center" vertical="center"/>
    </xf>
    <xf numFmtId="0" fontId="118" fillId="48" borderId="146" xfId="43" applyFont="1" applyFill="1" applyBorder="1" applyAlignment="1">
      <alignment horizontal="center" vertical="center"/>
    </xf>
    <xf numFmtId="0" fontId="119" fillId="25" borderId="173" xfId="43" applyFont="1" applyFill="1" applyBorder="1" applyAlignment="1">
      <alignment horizontal="center" vertical="center" wrapText="1"/>
    </xf>
    <xf numFmtId="0" fontId="119" fillId="25" borderId="134" xfId="43" applyFont="1" applyFill="1" applyBorder="1" applyAlignment="1">
      <alignment horizontal="center" vertical="center" wrapText="1"/>
    </xf>
    <xf numFmtId="0" fontId="118" fillId="48" borderId="173" xfId="43" applyFont="1" applyFill="1" applyBorder="1" applyAlignment="1">
      <alignment horizontal="center" vertical="center" wrapText="1"/>
    </xf>
    <xf numFmtId="0" fontId="118" fillId="48" borderId="134" xfId="43" applyFont="1" applyFill="1" applyBorder="1" applyAlignment="1">
      <alignment horizontal="center" vertical="center" wrapText="1"/>
    </xf>
    <xf numFmtId="0" fontId="119" fillId="25" borderId="179" xfId="43" applyFont="1" applyFill="1" applyBorder="1" applyAlignment="1">
      <alignment horizontal="center" vertical="center" wrapText="1"/>
    </xf>
    <xf numFmtId="0" fontId="119" fillId="25" borderId="154" xfId="43" applyFont="1" applyFill="1" applyBorder="1" applyAlignment="1">
      <alignment horizontal="center" vertical="center" wrapText="1"/>
    </xf>
    <xf numFmtId="0" fontId="118" fillId="48" borderId="134" xfId="43" applyFont="1" applyFill="1" applyBorder="1" applyAlignment="1">
      <alignment horizontal="center" vertical="center"/>
    </xf>
    <xf numFmtId="0" fontId="118" fillId="48" borderId="164" xfId="43" applyFont="1" applyFill="1" applyBorder="1" applyAlignment="1">
      <alignment horizontal="center" vertical="center"/>
    </xf>
    <xf numFmtId="0" fontId="118" fillId="48" borderId="164" xfId="43" applyFont="1" applyFill="1" applyBorder="1" applyAlignment="1">
      <alignment horizontal="center" vertical="center" wrapText="1"/>
    </xf>
    <xf numFmtId="0" fontId="118" fillId="48" borderId="158" xfId="43" applyFont="1" applyFill="1" applyBorder="1" applyAlignment="1">
      <alignment horizontal="center" vertical="center" wrapText="1"/>
    </xf>
    <xf numFmtId="0" fontId="118" fillId="48" borderId="163" xfId="43" applyFont="1" applyFill="1" applyBorder="1" applyAlignment="1">
      <alignment horizontal="center" vertical="center" wrapText="1"/>
    </xf>
    <xf numFmtId="0" fontId="119" fillId="33" borderId="164" xfId="43" applyFont="1" applyFill="1" applyBorder="1" applyAlignment="1">
      <alignment horizontal="center" vertical="center"/>
    </xf>
    <xf numFmtId="0" fontId="119" fillId="33" borderId="173" xfId="43" applyFont="1" applyFill="1" applyBorder="1" applyAlignment="1">
      <alignment horizontal="center" vertical="center"/>
    </xf>
    <xf numFmtId="0" fontId="119" fillId="41" borderId="164" xfId="43" applyFont="1" applyFill="1" applyBorder="1" applyAlignment="1">
      <alignment horizontal="center" vertical="center"/>
    </xf>
    <xf numFmtId="0" fontId="119" fillId="41" borderId="173" xfId="43" applyFont="1" applyFill="1" applyBorder="1" applyAlignment="1">
      <alignment horizontal="center" vertical="center"/>
    </xf>
    <xf numFmtId="0" fontId="115" fillId="48" borderId="163" xfId="0" applyFont="1" applyFill="1" applyBorder="1" applyAlignment="1">
      <alignment horizontal="center" vertical="center" wrapText="1"/>
    </xf>
    <xf numFmtId="0" fontId="115" fillId="48" borderId="164" xfId="0" applyFont="1" applyFill="1" applyBorder="1" applyAlignment="1">
      <alignment horizontal="center" vertical="center" wrapText="1"/>
    </xf>
    <xf numFmtId="0" fontId="115" fillId="48" borderId="182" xfId="0" applyFont="1" applyFill="1" applyBorder="1" applyAlignment="1">
      <alignment horizontal="center" vertical="center" wrapText="1"/>
    </xf>
    <xf numFmtId="0" fontId="115" fillId="48" borderId="167" xfId="0" applyFont="1" applyFill="1" applyBorder="1" applyAlignment="1">
      <alignment horizontal="center" vertical="center" wrapText="1"/>
    </xf>
    <xf numFmtId="0" fontId="112" fillId="41" borderId="249" xfId="0" applyFont="1" applyFill="1" applyBorder="1" applyAlignment="1">
      <alignment horizontal="center" vertical="center"/>
    </xf>
    <xf numFmtId="0" fontId="112" fillId="41" borderId="250" xfId="0" applyFont="1" applyFill="1" applyBorder="1" applyAlignment="1">
      <alignment horizontal="center" vertical="center"/>
    </xf>
    <xf numFmtId="0" fontId="112" fillId="41" borderId="251" xfId="0" applyFont="1" applyFill="1" applyBorder="1" applyAlignment="1">
      <alignment horizontal="center" vertical="center"/>
    </xf>
    <xf numFmtId="0" fontId="115" fillId="48" borderId="163" xfId="0" applyFont="1" applyFill="1" applyBorder="1" applyAlignment="1">
      <alignment horizontal="center" vertical="center"/>
    </xf>
    <xf numFmtId="0" fontId="115" fillId="48" borderId="164" xfId="0" applyFont="1" applyFill="1" applyBorder="1" applyAlignment="1">
      <alignment horizontal="center" vertical="center"/>
    </xf>
    <xf numFmtId="0" fontId="114" fillId="48" borderId="164" xfId="0" applyFont="1" applyFill="1" applyBorder="1" applyAlignment="1">
      <alignment horizontal="center" vertical="center" wrapText="1"/>
    </xf>
    <xf numFmtId="0" fontId="114" fillId="48" borderId="164" xfId="0" applyFont="1" applyFill="1" applyBorder="1" applyAlignment="1">
      <alignment horizontal="center"/>
    </xf>
    <xf numFmtId="0" fontId="114" fillId="48" borderId="165" xfId="0" applyFont="1" applyFill="1" applyBorder="1" applyAlignment="1">
      <alignment horizontal="center"/>
    </xf>
    <xf numFmtId="2" fontId="116" fillId="48" borderId="172" xfId="0" applyNumberFormat="1" applyFont="1" applyFill="1" applyBorder="1" applyAlignment="1">
      <alignment horizontal="center" vertical="center"/>
    </xf>
    <xf numFmtId="2" fontId="116" fillId="48" borderId="164" xfId="0" applyNumberFormat="1" applyFont="1" applyFill="1" applyBorder="1" applyAlignment="1">
      <alignment horizontal="center" vertical="center"/>
    </xf>
    <xf numFmtId="0" fontId="114" fillId="48" borderId="158" xfId="0" applyFont="1" applyFill="1" applyBorder="1" applyAlignment="1">
      <alignment horizontal="center" vertical="center"/>
    </xf>
    <xf numFmtId="0" fontId="114" fillId="48" borderId="175" xfId="0" applyFont="1" applyFill="1" applyBorder="1" applyAlignment="1">
      <alignment horizontal="center" vertical="center"/>
    </xf>
    <xf numFmtId="0" fontId="114" fillId="48" borderId="134" xfId="0" applyFont="1" applyFill="1" applyBorder="1" applyAlignment="1">
      <alignment horizontal="center" vertical="center"/>
    </xf>
    <xf numFmtId="0" fontId="114" fillId="48" borderId="173" xfId="0" applyFont="1" applyFill="1" applyBorder="1" applyAlignment="1">
      <alignment horizontal="center" vertical="center"/>
    </xf>
    <xf numFmtId="0" fontId="114" fillId="48" borderId="134" xfId="0" applyFont="1" applyFill="1" applyBorder="1" applyAlignment="1">
      <alignment horizontal="center"/>
    </xf>
    <xf numFmtId="0" fontId="113" fillId="42" borderId="164" xfId="43" applyFont="1" applyFill="1" applyBorder="1" applyAlignment="1">
      <alignment horizontal="center" vertical="center" wrapText="1"/>
    </xf>
    <xf numFmtId="10" fontId="115" fillId="44" borderId="252" xfId="0" applyNumberFormat="1" applyFont="1" applyFill="1" applyBorder="1" applyAlignment="1">
      <alignment horizontal="center" vertical="center"/>
    </xf>
    <xf numFmtId="10" fontId="115" fillId="44" borderId="253" xfId="0" applyNumberFormat="1" applyFont="1" applyFill="1" applyBorder="1" applyAlignment="1">
      <alignment horizontal="center" vertical="center"/>
    </xf>
    <xf numFmtId="2" fontId="115" fillId="48" borderId="180" xfId="0" applyNumberFormat="1" applyFont="1" applyFill="1" applyBorder="1" applyAlignment="1">
      <alignment horizontal="center" vertical="center"/>
    </xf>
    <xf numFmtId="2" fontId="115" fillId="48" borderId="181" xfId="0" applyNumberFormat="1" applyFont="1" applyFill="1" applyBorder="1" applyAlignment="1">
      <alignment horizontal="center" vertical="center"/>
    </xf>
    <xf numFmtId="2" fontId="116" fillId="48" borderId="165" xfId="0" applyNumberFormat="1" applyFont="1" applyFill="1" applyBorder="1" applyAlignment="1">
      <alignment horizontal="center" vertical="center"/>
    </xf>
    <xf numFmtId="2" fontId="116" fillId="48" borderId="173" xfId="0" applyNumberFormat="1" applyFont="1" applyFill="1" applyBorder="1" applyAlignment="1">
      <alignment horizontal="center" vertical="center"/>
    </xf>
    <xf numFmtId="2" fontId="116" fillId="48" borderId="179" xfId="0" applyNumberFormat="1" applyFont="1" applyFill="1" applyBorder="1" applyAlignment="1">
      <alignment horizontal="center" vertical="center"/>
    </xf>
    <xf numFmtId="0" fontId="92" fillId="29" borderId="27" xfId="0" applyFont="1" applyFill="1" applyBorder="1" applyAlignment="1">
      <alignment horizontal="center"/>
    </xf>
    <xf numFmtId="0" fontId="93" fillId="29" borderId="27" xfId="43" applyFont="1" applyFill="1" applyBorder="1" applyAlignment="1">
      <alignment horizontal="center" vertical="center"/>
    </xf>
    <xf numFmtId="0" fontId="29" fillId="25" borderId="27" xfId="0" applyFont="1" applyFill="1" applyBorder="1" applyAlignment="1">
      <alignment horizontal="center" vertical="center"/>
    </xf>
    <xf numFmtId="2" fontId="52" fillId="35" borderId="29" xfId="0" applyNumberFormat="1" applyFont="1" applyFill="1" applyBorder="1" applyAlignment="1">
      <alignment horizontal="center" vertical="center"/>
    </xf>
    <xf numFmtId="2" fontId="52" fillId="35" borderId="30" xfId="0" applyNumberFormat="1" applyFont="1" applyFill="1" applyBorder="1" applyAlignment="1">
      <alignment horizontal="center" vertical="center"/>
    </xf>
    <xf numFmtId="0" fontId="65" fillId="31" borderId="27" xfId="0" applyFont="1" applyFill="1" applyBorder="1" applyAlignment="1">
      <alignment horizontal="center" vertical="center"/>
    </xf>
    <xf numFmtId="0" fontId="27" fillId="25" borderId="27" xfId="0" applyFont="1" applyFill="1" applyBorder="1" applyAlignment="1">
      <alignment horizontal="center" vertical="center"/>
    </xf>
    <xf numFmtId="2" fontId="27" fillId="36" borderId="29" xfId="0" applyNumberFormat="1" applyFont="1" applyFill="1" applyBorder="1" applyAlignment="1">
      <alignment horizontal="center" vertical="center"/>
    </xf>
    <xf numFmtId="2" fontId="27" fillId="36" borderId="30" xfId="0" applyNumberFormat="1" applyFont="1" applyFill="1" applyBorder="1" applyAlignment="1">
      <alignment horizontal="center" vertical="center"/>
    </xf>
    <xf numFmtId="0" fontId="65" fillId="31" borderId="29" xfId="0" applyFont="1" applyFill="1" applyBorder="1" applyAlignment="1">
      <alignment horizontal="center" vertical="center"/>
    </xf>
    <xf numFmtId="0" fontId="65" fillId="31" borderId="30" xfId="0" applyFont="1" applyFill="1" applyBorder="1" applyAlignment="1">
      <alignment horizontal="center" vertical="center"/>
    </xf>
    <xf numFmtId="168" fontId="59" fillId="37" borderId="29" xfId="0" applyNumberFormat="1" applyFont="1" applyFill="1" applyBorder="1" applyAlignment="1">
      <alignment horizontal="center" vertical="center"/>
    </xf>
    <xf numFmtId="168" fontId="59" fillId="37" borderId="30" xfId="0" applyNumberFormat="1" applyFont="1" applyFill="1" applyBorder="1" applyAlignment="1">
      <alignment horizontal="center" vertical="center"/>
    </xf>
    <xf numFmtId="167" fontId="130" fillId="28" borderId="170" xfId="0" applyNumberFormat="1" applyFont="1" applyFill="1" applyBorder="1" applyAlignment="1">
      <alignment horizontal="center" vertical="center"/>
    </xf>
    <xf numFmtId="167" fontId="130" fillId="28" borderId="192" xfId="0" applyNumberFormat="1" applyFont="1" applyFill="1" applyBorder="1" applyAlignment="1">
      <alignment horizontal="center" vertical="center"/>
    </xf>
    <xf numFmtId="167" fontId="116" fillId="48" borderId="171" xfId="0" applyNumberFormat="1" applyFont="1" applyFill="1" applyBorder="1" applyAlignment="1">
      <alignment horizontal="center" vertical="center"/>
    </xf>
    <xf numFmtId="167" fontId="116" fillId="48" borderId="266" xfId="0" applyNumberFormat="1" applyFont="1" applyFill="1" applyBorder="1" applyAlignment="1">
      <alignment horizontal="center" vertical="center"/>
    </xf>
    <xf numFmtId="167" fontId="116" fillId="48" borderId="169" xfId="0" applyNumberFormat="1" applyFont="1" applyFill="1" applyBorder="1" applyAlignment="1">
      <alignment horizontal="center" vertical="center"/>
    </xf>
    <xf numFmtId="0" fontId="120" fillId="25" borderId="142" xfId="0" applyFont="1" applyFill="1" applyBorder="1" applyAlignment="1">
      <alignment horizontal="center" vertical="center"/>
    </xf>
    <xf numFmtId="0" fontId="120" fillId="25" borderId="0" xfId="0" applyFont="1" applyFill="1" applyAlignment="1">
      <alignment horizontal="center" vertical="center"/>
    </xf>
    <xf numFmtId="0" fontId="120" fillId="25" borderId="143" xfId="0" applyFont="1" applyFill="1" applyBorder="1" applyAlignment="1">
      <alignment horizontal="center" vertical="center"/>
    </xf>
    <xf numFmtId="0" fontId="120" fillId="25" borderId="144" xfId="0" applyFont="1" applyFill="1" applyBorder="1" applyAlignment="1">
      <alignment horizontal="center" vertical="center"/>
    </xf>
    <xf numFmtId="0" fontId="120" fillId="25" borderId="145" xfId="0" applyFont="1" applyFill="1" applyBorder="1" applyAlignment="1">
      <alignment horizontal="center" vertical="center"/>
    </xf>
    <xf numFmtId="0" fontId="120" fillId="25" borderId="146" xfId="0" applyFont="1" applyFill="1" applyBorder="1" applyAlignment="1">
      <alignment horizontal="center" vertical="center"/>
    </xf>
    <xf numFmtId="2" fontId="74" fillId="35" borderId="54" xfId="0" applyNumberFormat="1" applyFont="1" applyFill="1" applyBorder="1" applyAlignment="1">
      <alignment horizontal="center" vertical="center"/>
    </xf>
    <xf numFmtId="2" fontId="24" fillId="35" borderId="54" xfId="0" applyNumberFormat="1" applyFont="1" applyFill="1" applyBorder="1" applyAlignment="1">
      <alignment horizontal="center" vertical="center"/>
    </xf>
    <xf numFmtId="0" fontId="58" fillId="25" borderId="54" xfId="0" applyFont="1" applyFill="1" applyBorder="1" applyAlignment="1">
      <alignment horizontal="center" vertical="center"/>
    </xf>
    <xf numFmtId="0" fontId="58" fillId="29" borderId="54" xfId="0" applyFont="1" applyFill="1" applyBorder="1" applyAlignment="1">
      <alignment horizontal="center"/>
    </xf>
    <xf numFmtId="2" fontId="60" fillId="35" borderId="54" xfId="0" applyNumberFormat="1" applyFont="1" applyFill="1" applyBorder="1" applyAlignment="1">
      <alignment horizontal="center" vertical="center"/>
    </xf>
    <xf numFmtId="2" fontId="61" fillId="35" borderId="54" xfId="0" applyNumberFormat="1" applyFont="1" applyFill="1" applyBorder="1" applyAlignment="1">
      <alignment horizontal="center" vertical="center"/>
    </xf>
    <xf numFmtId="0" fontId="61" fillId="26" borderId="54" xfId="37" applyFont="1" applyFill="1" applyBorder="1" applyAlignment="1">
      <alignment horizontal="right"/>
    </xf>
    <xf numFmtId="2" fontId="63" fillId="35" borderId="54" xfId="37" applyNumberFormat="1" applyFont="1" applyFill="1" applyBorder="1" applyAlignment="1">
      <alignment horizontal="center"/>
    </xf>
    <xf numFmtId="0" fontId="74" fillId="26" borderId="54" xfId="37" applyFont="1" applyFill="1" applyBorder="1" applyAlignment="1">
      <alignment horizontal="right"/>
    </xf>
    <xf numFmtId="2" fontId="90" fillId="35" borderId="54" xfId="37" applyNumberFormat="1" applyFont="1" applyFill="1" applyBorder="1" applyAlignment="1">
      <alignment horizontal="center"/>
    </xf>
    <xf numFmtId="0" fontId="50" fillId="25" borderId="54" xfId="37" applyFont="1" applyFill="1" applyBorder="1" applyAlignment="1">
      <alignment horizontal="right"/>
    </xf>
    <xf numFmtId="2" fontId="50" fillId="35" borderId="54" xfId="37" applyNumberFormat="1" applyFont="1" applyFill="1" applyBorder="1" applyAlignment="1">
      <alignment horizontal="center"/>
    </xf>
    <xf numFmtId="2" fontId="96" fillId="35" borderId="54" xfId="37" applyNumberFormat="1" applyFont="1" applyFill="1" applyBorder="1" applyAlignment="1">
      <alignment horizontal="center"/>
    </xf>
    <xf numFmtId="0" fontId="75" fillId="29" borderId="54" xfId="0" applyFont="1" applyFill="1" applyBorder="1" applyAlignment="1">
      <alignment horizontal="center"/>
    </xf>
    <xf numFmtId="0" fontId="65" fillId="26" borderId="54" xfId="37" applyFont="1" applyFill="1" applyBorder="1" applyAlignment="1">
      <alignment horizontal="right"/>
    </xf>
    <xf numFmtId="2" fontId="57" fillId="35" borderId="54" xfId="37" applyNumberFormat="1" applyFont="1" applyFill="1" applyBorder="1" applyAlignment="1">
      <alignment horizontal="center"/>
    </xf>
    <xf numFmtId="0" fontId="60" fillId="26" borderId="54" xfId="37" applyFont="1" applyFill="1" applyBorder="1" applyAlignment="1">
      <alignment horizontal="right"/>
    </xf>
    <xf numFmtId="2" fontId="88" fillId="35" borderId="54" xfId="37" applyNumberFormat="1" applyFont="1" applyFill="1" applyBorder="1" applyAlignment="1">
      <alignment horizontal="center"/>
    </xf>
    <xf numFmtId="2" fontId="29" fillId="35" borderId="54" xfId="37" applyNumberFormat="1" applyFont="1" applyFill="1" applyBorder="1" applyAlignment="1">
      <alignment horizontal="center"/>
    </xf>
    <xf numFmtId="2" fontId="24" fillId="35" borderId="54" xfId="37" applyNumberFormat="1" applyFont="1" applyFill="1" applyBorder="1" applyAlignment="1">
      <alignment horizontal="center"/>
    </xf>
    <xf numFmtId="0" fontId="33" fillId="25" borderId="54" xfId="37" applyFont="1" applyFill="1" applyBorder="1" applyAlignment="1">
      <alignment horizontal="center" vertical="center"/>
    </xf>
    <xf numFmtId="2" fontId="71" fillId="35" borderId="54" xfId="37" applyNumberFormat="1" applyFont="1" applyFill="1" applyBorder="1" applyAlignment="1">
      <alignment horizontal="center"/>
    </xf>
    <xf numFmtId="0" fontId="72" fillId="25" borderId="54" xfId="0" applyFont="1" applyFill="1" applyBorder="1" applyAlignment="1">
      <alignment horizontal="right" vertical="center"/>
    </xf>
    <xf numFmtId="164" fontId="73" fillId="37" borderId="54" xfId="37" applyNumberFormat="1" applyFont="1" applyFill="1" applyBorder="1" applyAlignment="1">
      <alignment horizontal="center"/>
    </xf>
    <xf numFmtId="0" fontId="71" fillId="25" borderId="54" xfId="37" applyFont="1" applyFill="1" applyBorder="1" applyAlignment="1">
      <alignment horizontal="center" vertical="center"/>
    </xf>
    <xf numFmtId="0" fontId="62" fillId="25" borderId="0" xfId="0" applyFont="1" applyFill="1" applyAlignment="1">
      <alignment horizontal="center" vertical="center"/>
    </xf>
    <xf numFmtId="0" fontId="71" fillId="29" borderId="54" xfId="0" applyFont="1" applyFill="1" applyBorder="1" applyAlignment="1">
      <alignment horizontal="center" vertical="center"/>
    </xf>
    <xf numFmtId="2" fontId="73" fillId="37" borderId="54" xfId="37" applyNumberFormat="1" applyFont="1" applyFill="1" applyBorder="1" applyAlignment="1">
      <alignment horizontal="center"/>
    </xf>
    <xf numFmtId="2" fontId="116" fillId="38" borderId="172" xfId="37" applyNumberFormat="1" applyFont="1" applyFill="1" applyBorder="1" applyAlignment="1">
      <alignment horizontal="center"/>
    </xf>
    <xf numFmtId="2" fontId="116" fillId="38" borderId="165" xfId="37" applyNumberFormat="1" applyFont="1" applyFill="1" applyBorder="1" applyAlignment="1">
      <alignment horizontal="center"/>
    </xf>
    <xf numFmtId="2" fontId="114" fillId="38" borderId="172" xfId="37" applyNumberFormat="1" applyFont="1" applyFill="1" applyBorder="1" applyAlignment="1">
      <alignment horizontal="center"/>
    </xf>
    <xf numFmtId="2" fontId="114" fillId="38" borderId="165" xfId="37" applyNumberFormat="1" applyFont="1" applyFill="1" applyBorder="1" applyAlignment="1">
      <alignment horizontal="center"/>
    </xf>
    <xf numFmtId="0" fontId="112" fillId="38" borderId="134" xfId="37" applyFont="1" applyFill="1" applyBorder="1" applyAlignment="1">
      <alignment horizontal="center" vertical="center"/>
    </xf>
    <xf numFmtId="0" fontId="112" fillId="38" borderId="154" xfId="37" applyFont="1" applyFill="1" applyBorder="1" applyAlignment="1">
      <alignment horizontal="center" vertical="center"/>
    </xf>
    <xf numFmtId="164" fontId="113" fillId="48" borderId="155" xfId="37" applyNumberFormat="1" applyFont="1" applyFill="1" applyBorder="1" applyAlignment="1">
      <alignment horizontal="center"/>
    </xf>
    <xf numFmtId="164" fontId="113" fillId="48" borderId="156" xfId="37" applyNumberFormat="1" applyFont="1" applyFill="1" applyBorder="1" applyAlignment="1">
      <alignment horizontal="center"/>
    </xf>
    <xf numFmtId="164" fontId="113" fillId="48" borderId="157" xfId="37" applyNumberFormat="1" applyFont="1" applyFill="1" applyBorder="1" applyAlignment="1">
      <alignment horizontal="center"/>
    </xf>
    <xf numFmtId="2" fontId="113" fillId="26" borderId="164" xfId="37" applyNumberFormat="1" applyFont="1" applyFill="1" applyBorder="1" applyAlignment="1">
      <alignment horizontal="center"/>
    </xf>
    <xf numFmtId="2" fontId="113" fillId="26" borderId="165" xfId="37" applyNumberFormat="1" applyFont="1" applyFill="1" applyBorder="1" applyAlignment="1">
      <alignment horizontal="center"/>
    </xf>
    <xf numFmtId="2" fontId="116" fillId="48" borderId="164" xfId="37" applyNumberFormat="1" applyFont="1" applyFill="1" applyBorder="1" applyAlignment="1">
      <alignment horizontal="center"/>
    </xf>
    <xf numFmtId="2" fontId="116" fillId="48" borderId="165" xfId="37" applyNumberFormat="1" applyFont="1" applyFill="1" applyBorder="1" applyAlignment="1">
      <alignment horizontal="center"/>
    </xf>
    <xf numFmtId="167" fontId="121" fillId="39" borderId="164" xfId="37" applyNumberFormat="1" applyFont="1" applyFill="1" applyBorder="1" applyAlignment="1">
      <alignment horizontal="center"/>
    </xf>
    <xf numFmtId="167" fontId="121" fillId="39" borderId="165" xfId="37" applyNumberFormat="1" applyFont="1" applyFill="1" applyBorder="1" applyAlignment="1">
      <alignment horizontal="center"/>
    </xf>
    <xf numFmtId="167" fontId="112" fillId="26" borderId="164" xfId="37" applyNumberFormat="1" applyFont="1" applyFill="1" applyBorder="1" applyAlignment="1">
      <alignment horizontal="center"/>
    </xf>
    <xf numFmtId="167" fontId="112" fillId="26" borderId="165" xfId="37" applyNumberFormat="1" applyFont="1" applyFill="1" applyBorder="1" applyAlignment="1">
      <alignment horizontal="center"/>
    </xf>
    <xf numFmtId="0" fontId="118" fillId="35" borderId="256" xfId="0" applyFont="1" applyFill="1" applyBorder="1" applyAlignment="1">
      <alignment horizontal="center"/>
    </xf>
    <xf numFmtId="0" fontId="118" fillId="35" borderId="145" xfId="0" applyFont="1" applyFill="1" applyBorder="1" applyAlignment="1">
      <alignment horizontal="center"/>
    </xf>
    <xf numFmtId="0" fontId="118" fillId="35" borderId="257" xfId="0" applyFont="1" applyFill="1" applyBorder="1" applyAlignment="1">
      <alignment horizontal="center"/>
    </xf>
    <xf numFmtId="0" fontId="112" fillId="26" borderId="258" xfId="37" applyFont="1" applyFill="1" applyBorder="1" applyAlignment="1">
      <alignment horizontal="right" vertical="center"/>
    </xf>
    <xf numFmtId="0" fontId="112" fillId="26" borderId="192" xfId="37" applyFont="1" applyFill="1" applyBorder="1" applyAlignment="1">
      <alignment horizontal="right" vertical="center"/>
    </xf>
    <xf numFmtId="0" fontId="112" fillId="26" borderId="172" xfId="37" applyFont="1" applyFill="1" applyBorder="1" applyAlignment="1">
      <alignment horizontal="right" vertical="center"/>
    </xf>
    <xf numFmtId="0" fontId="121" fillId="39" borderId="163" xfId="37" applyFont="1" applyFill="1" applyBorder="1" applyAlignment="1">
      <alignment horizontal="right"/>
    </xf>
    <xf numFmtId="0" fontId="121" fillId="39" borderId="164" xfId="37" applyFont="1" applyFill="1" applyBorder="1" applyAlignment="1">
      <alignment horizontal="right"/>
    </xf>
    <xf numFmtId="167" fontId="123" fillId="48" borderId="164" xfId="37" applyNumberFormat="1" applyFont="1" applyFill="1" applyBorder="1" applyAlignment="1">
      <alignment horizontal="center"/>
    </xf>
    <xf numFmtId="167" fontId="123" fillId="48" borderId="165" xfId="37" applyNumberFormat="1" applyFont="1" applyFill="1" applyBorder="1" applyAlignment="1">
      <alignment horizontal="center"/>
    </xf>
    <xf numFmtId="167" fontId="121" fillId="28" borderId="164" xfId="37" applyNumberFormat="1" applyFont="1" applyFill="1" applyBorder="1" applyAlignment="1">
      <alignment horizontal="center"/>
    </xf>
    <xf numFmtId="167" fontId="121" fillId="28" borderId="165" xfId="37" applyNumberFormat="1" applyFont="1" applyFill="1" applyBorder="1" applyAlignment="1">
      <alignment horizontal="center"/>
    </xf>
    <xf numFmtId="167" fontId="121" fillId="33" borderId="164" xfId="37" applyNumberFormat="1" applyFont="1" applyFill="1" applyBorder="1" applyAlignment="1">
      <alignment horizontal="center"/>
    </xf>
    <xf numFmtId="167" fontId="121" fillId="33" borderId="165" xfId="37" applyNumberFormat="1" applyFont="1" applyFill="1" applyBorder="1" applyAlignment="1">
      <alignment horizontal="center"/>
    </xf>
    <xf numFmtId="0" fontId="121" fillId="33" borderId="183" xfId="37" applyFont="1" applyFill="1" applyBorder="1" applyAlignment="1">
      <alignment horizontal="right"/>
    </xf>
    <xf numFmtId="0" fontId="121" fillId="33" borderId="192" xfId="37" applyFont="1" applyFill="1" applyBorder="1" applyAlignment="1">
      <alignment horizontal="right"/>
    </xf>
    <xf numFmtId="0" fontId="121" fillId="33" borderId="172" xfId="37" applyFont="1" applyFill="1" applyBorder="1" applyAlignment="1">
      <alignment horizontal="right"/>
    </xf>
    <xf numFmtId="0" fontId="121" fillId="28" borderId="163" xfId="37" applyFont="1" applyFill="1" applyBorder="1" applyAlignment="1">
      <alignment horizontal="right"/>
    </xf>
    <xf numFmtId="0" fontId="121" fillId="28" borderId="164" xfId="37" applyFont="1" applyFill="1" applyBorder="1" applyAlignment="1">
      <alignment horizontal="right"/>
    </xf>
    <xf numFmtId="0" fontId="123" fillId="48" borderId="163" xfId="37" applyFont="1" applyFill="1" applyBorder="1" applyAlignment="1">
      <alignment horizontal="right"/>
    </xf>
    <xf numFmtId="0" fontId="123" fillId="48" borderId="164" xfId="37" applyFont="1" applyFill="1" applyBorder="1" applyAlignment="1">
      <alignment horizontal="right"/>
    </xf>
    <xf numFmtId="0" fontId="112" fillId="49" borderId="263" xfId="0" applyFont="1" applyFill="1" applyBorder="1" applyAlignment="1">
      <alignment horizontal="center"/>
    </xf>
    <xf numFmtId="0" fontId="112" fillId="49" borderId="264" xfId="0" applyFont="1" applyFill="1" applyBorder="1" applyAlignment="1">
      <alignment horizontal="center"/>
    </xf>
    <xf numFmtId="0" fontId="112" fillId="49" borderId="265" xfId="0" applyFont="1" applyFill="1" applyBorder="1" applyAlignment="1">
      <alignment horizontal="center"/>
    </xf>
    <xf numFmtId="167" fontId="112" fillId="26" borderId="170" xfId="0" applyNumberFormat="1" applyFont="1" applyFill="1" applyBorder="1" applyAlignment="1">
      <alignment horizontal="center" vertical="center"/>
    </xf>
    <xf numFmtId="167" fontId="112" fillId="26" borderId="192" xfId="0" applyNumberFormat="1" applyFont="1" applyFill="1" applyBorder="1" applyAlignment="1">
      <alignment horizontal="center" vertical="center"/>
    </xf>
    <xf numFmtId="167" fontId="130" fillId="39" borderId="170" xfId="0" applyNumberFormat="1" applyFont="1" applyFill="1" applyBorder="1" applyAlignment="1">
      <alignment horizontal="center" vertical="center"/>
    </xf>
    <xf numFmtId="167" fontId="130" fillId="39" borderId="192" xfId="0" applyNumberFormat="1" applyFont="1" applyFill="1" applyBorder="1" applyAlignment="1">
      <alignment horizontal="center" vertical="center"/>
    </xf>
    <xf numFmtId="167" fontId="130" fillId="33" borderId="170" xfId="0" applyNumberFormat="1" applyFont="1" applyFill="1" applyBorder="1" applyAlignment="1">
      <alignment horizontal="center" vertical="center"/>
    </xf>
    <xf numFmtId="167" fontId="130" fillId="33" borderId="192" xfId="0" applyNumberFormat="1" applyFont="1" applyFill="1" applyBorder="1" applyAlignment="1">
      <alignment horizontal="center" vertical="center"/>
    </xf>
    <xf numFmtId="0" fontId="111" fillId="48" borderId="54" xfId="37" applyFont="1" applyFill="1" applyBorder="1" applyAlignment="1">
      <alignment horizontal="center" vertical="center"/>
    </xf>
    <xf numFmtId="0" fontId="107" fillId="28" borderId="163" xfId="0" applyFont="1" applyFill="1" applyBorder="1" applyAlignment="1">
      <alignment horizontal="right" vertical="center"/>
    </xf>
    <xf numFmtId="0" fontId="107" fillId="28" borderId="164" xfId="0" applyFont="1" applyFill="1" applyBorder="1" applyAlignment="1">
      <alignment horizontal="right" vertical="center"/>
    </xf>
    <xf numFmtId="0" fontId="107" fillId="28" borderId="170" xfId="0" applyFont="1" applyFill="1" applyBorder="1" applyAlignment="1">
      <alignment horizontal="right" vertical="center"/>
    </xf>
    <xf numFmtId="0" fontId="112" fillId="48" borderId="163" xfId="37" applyFont="1" applyFill="1" applyBorder="1" applyAlignment="1">
      <alignment horizontal="center" vertical="center"/>
    </xf>
    <xf numFmtId="0" fontId="112" fillId="48" borderId="183" xfId="37" applyFont="1" applyFill="1" applyBorder="1" applyAlignment="1">
      <alignment horizontal="center" vertical="center"/>
    </xf>
    <xf numFmtId="2" fontId="113" fillId="48" borderId="155" xfId="37" applyNumberFormat="1" applyFont="1" applyFill="1" applyBorder="1" applyAlignment="1">
      <alignment horizontal="center"/>
    </xf>
    <xf numFmtId="2" fontId="113" fillId="48" borderId="156" xfId="37" applyNumberFormat="1" applyFont="1" applyFill="1" applyBorder="1" applyAlignment="1">
      <alignment horizontal="center"/>
    </xf>
    <xf numFmtId="2" fontId="113" fillId="48" borderId="157" xfId="37" applyNumberFormat="1" applyFont="1" applyFill="1" applyBorder="1" applyAlignment="1">
      <alignment horizontal="center"/>
    </xf>
    <xf numFmtId="0" fontId="121" fillId="28" borderId="147" xfId="0" applyFont="1" applyFill="1" applyBorder="1" applyAlignment="1">
      <alignment horizontal="center" vertical="center"/>
    </xf>
    <xf numFmtId="0" fontId="121" fillId="28" borderId="148" xfId="0" applyFont="1" applyFill="1" applyBorder="1" applyAlignment="1">
      <alignment horizontal="center" vertical="center"/>
    </xf>
    <xf numFmtId="0" fontId="121" fillId="28" borderId="254" xfId="0" applyFont="1" applyFill="1" applyBorder="1" applyAlignment="1">
      <alignment horizontal="center" vertical="center"/>
    </xf>
    <xf numFmtId="0" fontId="112" fillId="31" borderId="259" xfId="0" applyFont="1" applyFill="1" applyBorder="1" applyAlignment="1">
      <alignment horizontal="center" vertical="center"/>
    </xf>
    <xf numFmtId="0" fontId="112" fillId="31" borderId="260" xfId="0" applyFont="1" applyFill="1" applyBorder="1" applyAlignment="1">
      <alignment horizontal="center" vertical="center"/>
    </xf>
    <xf numFmtId="0" fontId="112" fillId="31" borderId="261" xfId="0" applyFont="1" applyFill="1" applyBorder="1" applyAlignment="1">
      <alignment horizontal="center" vertical="center"/>
    </xf>
    <xf numFmtId="0" fontId="120" fillId="25" borderId="139" xfId="0" applyFont="1" applyFill="1" applyBorder="1" applyAlignment="1">
      <alignment horizontal="center" vertical="center"/>
    </xf>
    <xf numFmtId="0" fontId="120" fillId="25" borderId="140" xfId="0" applyFont="1" applyFill="1" applyBorder="1" applyAlignment="1">
      <alignment horizontal="center" vertical="center"/>
    </xf>
    <xf numFmtId="0" fontId="120" fillId="25" borderId="141" xfId="0" applyFont="1" applyFill="1" applyBorder="1" applyAlignment="1">
      <alignment horizontal="center" vertical="center"/>
    </xf>
    <xf numFmtId="0" fontId="120" fillId="25" borderId="243" xfId="0" applyFont="1" applyFill="1" applyBorder="1" applyAlignment="1">
      <alignment horizontal="center" vertical="center"/>
    </xf>
    <xf numFmtId="0" fontId="120" fillId="25" borderId="244" xfId="0" applyFont="1" applyFill="1" applyBorder="1" applyAlignment="1">
      <alignment horizontal="center" vertical="center"/>
    </xf>
    <xf numFmtId="0" fontId="120" fillId="25" borderId="245" xfId="0" applyFont="1" applyFill="1" applyBorder="1" applyAlignment="1">
      <alignment horizontal="center" vertical="center"/>
    </xf>
    <xf numFmtId="0" fontId="115" fillId="28" borderId="123" xfId="0" applyFont="1" applyFill="1" applyBorder="1" applyAlignment="1">
      <alignment horizontal="center" vertical="center"/>
    </xf>
    <xf numFmtId="0" fontId="115" fillId="28" borderId="268" xfId="0" applyFont="1" applyFill="1" applyBorder="1" applyAlignment="1">
      <alignment horizontal="center" vertical="center"/>
    </xf>
    <xf numFmtId="0" fontId="133" fillId="35" borderId="163" xfId="0" applyFont="1" applyFill="1" applyBorder="1" applyAlignment="1">
      <alignment horizontal="right" vertical="center"/>
    </xf>
    <xf numFmtId="0" fontId="133" fillId="35" borderId="134" xfId="0" applyFont="1" applyFill="1" applyBorder="1" applyAlignment="1">
      <alignment horizontal="right" vertical="center"/>
    </xf>
    <xf numFmtId="0" fontId="133" fillId="35" borderId="170" xfId="0" applyFont="1" applyFill="1" applyBorder="1" applyAlignment="1">
      <alignment horizontal="right" vertical="center"/>
    </xf>
    <xf numFmtId="0" fontId="107" fillId="52" borderId="158" xfId="0" applyFont="1" applyFill="1" applyBorder="1" applyAlignment="1">
      <alignment horizontal="center" vertical="center"/>
    </xf>
    <xf numFmtId="0" fontId="107" fillId="52" borderId="134" xfId="0" applyFont="1" applyFill="1" applyBorder="1" applyAlignment="1">
      <alignment horizontal="center" vertical="center"/>
    </xf>
    <xf numFmtId="0" fontId="113" fillId="35" borderId="133" xfId="0" applyFont="1" applyFill="1" applyBorder="1" applyAlignment="1">
      <alignment horizontal="center"/>
    </xf>
    <xf numFmtId="0" fontId="113" fillId="35" borderId="154" xfId="0" applyFont="1" applyFill="1" applyBorder="1" applyAlignment="1">
      <alignment horizontal="center"/>
    </xf>
    <xf numFmtId="0" fontId="105" fillId="27" borderId="123" xfId="0" applyFont="1" applyFill="1" applyBorder="1" applyAlignment="1">
      <alignment horizontal="center"/>
    </xf>
    <xf numFmtId="0" fontId="105" fillId="27" borderId="268" xfId="0" applyFont="1" applyFill="1" applyBorder="1" applyAlignment="1">
      <alignment horizontal="center"/>
    </xf>
    <xf numFmtId="2" fontId="116" fillId="48" borderId="172" xfId="0" applyNumberFormat="1" applyFont="1" applyFill="1" applyBorder="1" applyAlignment="1">
      <alignment horizontal="center"/>
    </xf>
    <xf numFmtId="2" fontId="116" fillId="48" borderId="165" xfId="0" applyNumberFormat="1" applyFont="1" applyFill="1" applyBorder="1" applyAlignment="1">
      <alignment horizontal="center"/>
    </xf>
    <xf numFmtId="0" fontId="110" fillId="45" borderId="163" xfId="0" applyFont="1" applyFill="1" applyBorder="1" applyAlignment="1">
      <alignment horizontal="center"/>
    </xf>
    <xf numFmtId="0" fontId="110" fillId="45" borderId="170" xfId="0" applyFont="1" applyFill="1" applyBorder="1" applyAlignment="1">
      <alignment horizontal="center"/>
    </xf>
    <xf numFmtId="0" fontId="133" fillId="35" borderId="175" xfId="0" applyFont="1" applyFill="1" applyBorder="1" applyAlignment="1">
      <alignment horizontal="right"/>
    </xf>
    <xf numFmtId="0" fontId="133" fillId="35" borderId="173" xfId="0" applyFont="1" applyFill="1" applyBorder="1" applyAlignment="1">
      <alignment horizontal="right"/>
    </xf>
    <xf numFmtId="0" fontId="133" fillId="35" borderId="133" xfId="0" applyFont="1" applyFill="1" applyBorder="1" applyAlignment="1">
      <alignment horizontal="right"/>
    </xf>
    <xf numFmtId="0" fontId="115" fillId="48" borderId="158" xfId="0" applyFont="1" applyFill="1" applyBorder="1" applyAlignment="1">
      <alignment horizontal="right"/>
    </xf>
    <xf numFmtId="0" fontId="115" fillId="48" borderId="134" xfId="0" applyFont="1" applyFill="1" applyBorder="1" applyAlignment="1">
      <alignment horizontal="right"/>
    </xf>
    <xf numFmtId="0" fontId="134" fillId="48" borderId="163" xfId="0" applyFont="1" applyFill="1" applyBorder="1" applyAlignment="1">
      <alignment horizontal="right" vertical="center"/>
    </xf>
    <xf numFmtId="0" fontId="134" fillId="48" borderId="164" xfId="0" applyFont="1" applyFill="1" applyBorder="1" applyAlignment="1">
      <alignment horizontal="right" vertical="center"/>
    </xf>
    <xf numFmtId="0" fontId="134" fillId="48" borderId="170" xfId="0" applyFont="1" applyFill="1" applyBorder="1" applyAlignment="1">
      <alignment horizontal="right" vertical="center"/>
    </xf>
    <xf numFmtId="0" fontId="134" fillId="48" borderId="163" xfId="0" applyFont="1" applyFill="1" applyBorder="1" applyAlignment="1">
      <alignment horizontal="right"/>
    </xf>
    <xf numFmtId="0" fontId="134" fillId="48" borderId="164" xfId="0" applyFont="1" applyFill="1" applyBorder="1" applyAlignment="1">
      <alignment horizontal="right"/>
    </xf>
    <xf numFmtId="2" fontId="116" fillId="48" borderId="179" xfId="0" applyNumberFormat="1" applyFont="1" applyFill="1" applyBorder="1" applyAlignment="1">
      <alignment horizontal="center"/>
    </xf>
    <xf numFmtId="0" fontId="138" fillId="45" borderId="163" xfId="0" applyFont="1" applyFill="1" applyBorder="1" applyAlignment="1">
      <alignment horizontal="right" vertical="center"/>
    </xf>
    <xf numFmtId="0" fontId="138" fillId="45" borderId="164" xfId="0" applyFont="1" applyFill="1" applyBorder="1" applyAlignment="1">
      <alignment horizontal="right" vertical="center"/>
    </xf>
    <xf numFmtId="0" fontId="138" fillId="45" borderId="166" xfId="0" applyFont="1" applyFill="1" applyBorder="1" applyAlignment="1">
      <alignment horizontal="right" vertical="center"/>
    </xf>
    <xf numFmtId="0" fontId="138" fillId="45" borderId="167" xfId="0" applyFont="1" applyFill="1" applyBorder="1" applyAlignment="1">
      <alignment horizontal="right" vertical="center"/>
    </xf>
    <xf numFmtId="0" fontId="133" fillId="51" borderId="163" xfId="0" applyFont="1" applyFill="1" applyBorder="1" applyAlignment="1">
      <alignment horizontal="right"/>
    </xf>
    <xf numFmtId="0" fontId="133" fillId="51" borderId="164" xfId="0" applyFont="1" applyFill="1" applyBorder="1" applyAlignment="1">
      <alignment horizontal="right"/>
    </xf>
    <xf numFmtId="0" fontId="110" fillId="46" borderId="163" xfId="0" applyFont="1" applyFill="1" applyBorder="1" applyAlignment="1">
      <alignment horizontal="center" vertical="center"/>
    </xf>
    <xf numFmtId="0" fontId="110" fillId="46" borderId="170" xfId="0" applyFont="1" applyFill="1" applyBorder="1" applyAlignment="1">
      <alignment horizontal="center" vertical="center"/>
    </xf>
    <xf numFmtId="0" fontId="137" fillId="48" borderId="158" xfId="0" applyFont="1" applyFill="1" applyBorder="1" applyAlignment="1">
      <alignment horizontal="right" vertical="center"/>
    </xf>
    <xf numFmtId="0" fontId="137" fillId="48" borderId="134" xfId="0" applyFont="1" applyFill="1" applyBorder="1" applyAlignment="1">
      <alignment horizontal="right" vertical="center"/>
    </xf>
    <xf numFmtId="0" fontId="137" fillId="48" borderId="160" xfId="0" applyFont="1" applyFill="1" applyBorder="1" applyAlignment="1">
      <alignment horizontal="right" vertical="center"/>
    </xf>
    <xf numFmtId="0" fontId="136" fillId="34" borderId="194" xfId="0" applyFont="1" applyFill="1" applyBorder="1" applyAlignment="1">
      <alignment horizontal="center"/>
    </xf>
    <xf numFmtId="0" fontId="136" fillId="34" borderId="195" xfId="0" applyFont="1" applyFill="1" applyBorder="1" applyAlignment="1">
      <alignment horizontal="center"/>
    </xf>
    <xf numFmtId="0" fontId="136" fillId="34" borderId="196" xfId="0" applyFont="1" applyFill="1" applyBorder="1" applyAlignment="1">
      <alignment horizontal="center"/>
    </xf>
    <xf numFmtId="0" fontId="113" fillId="49" borderId="163" xfId="0" applyFont="1" applyFill="1" applyBorder="1" applyAlignment="1">
      <alignment horizontal="right"/>
    </xf>
    <xf numFmtId="0" fontId="113" fillId="49" borderId="164" xfId="0" applyFont="1" applyFill="1" applyBorder="1" applyAlignment="1">
      <alignment horizontal="right"/>
    </xf>
    <xf numFmtId="0" fontId="137" fillId="51" borderId="163" xfId="0" applyFont="1" applyFill="1" applyBorder="1" applyAlignment="1">
      <alignment horizontal="right" vertical="center"/>
    </xf>
    <xf numFmtId="0" fontId="137" fillId="51" borderId="164" xfId="0" applyFont="1" applyFill="1" applyBorder="1" applyAlignment="1">
      <alignment horizontal="right" vertical="center"/>
    </xf>
    <xf numFmtId="0" fontId="137" fillId="51" borderId="170" xfId="0" applyFont="1" applyFill="1" applyBorder="1" applyAlignment="1">
      <alignment horizontal="right" vertical="center"/>
    </xf>
    <xf numFmtId="2" fontId="116" fillId="48" borderId="169" xfId="0" applyNumberFormat="1" applyFont="1" applyFill="1" applyBorder="1" applyAlignment="1">
      <alignment horizontal="center"/>
    </xf>
    <xf numFmtId="2" fontId="116" fillId="48" borderId="168" xfId="0" applyNumberFormat="1" applyFont="1" applyFill="1" applyBorder="1" applyAlignment="1">
      <alignment horizontal="center"/>
    </xf>
    <xf numFmtId="0" fontId="113" fillId="31" borderId="163" xfId="0" applyFont="1" applyFill="1" applyBorder="1" applyAlignment="1">
      <alignment horizontal="right"/>
    </xf>
    <xf numFmtId="0" fontId="113" fillId="31" borderId="164" xfId="0" applyFont="1" applyFill="1" applyBorder="1" applyAlignment="1">
      <alignment horizontal="right"/>
    </xf>
    <xf numFmtId="0" fontId="138" fillId="43" borderId="175" xfId="0" applyFont="1" applyFill="1" applyBorder="1" applyAlignment="1">
      <alignment horizontal="right" vertical="center"/>
    </xf>
    <xf numFmtId="0" fontId="138" fillId="43" borderId="173" xfId="0" applyFont="1" applyFill="1" applyBorder="1" applyAlignment="1">
      <alignment horizontal="right" vertical="center"/>
    </xf>
    <xf numFmtId="0" fontId="133" fillId="48" borderId="166" xfId="0" applyFont="1" applyFill="1" applyBorder="1" applyAlignment="1">
      <alignment horizontal="right"/>
    </xf>
    <xf numFmtId="0" fontId="133" fillId="48" borderId="167" xfId="0" applyFont="1" applyFill="1" applyBorder="1" applyAlignment="1">
      <alignment horizontal="right"/>
    </xf>
    <xf numFmtId="0" fontId="133" fillId="48" borderId="171" xfId="0" applyFont="1" applyFill="1" applyBorder="1" applyAlignment="1">
      <alignment horizontal="right"/>
    </xf>
    <xf numFmtId="0" fontId="133" fillId="45" borderId="158" xfId="0" applyFont="1" applyFill="1" applyBorder="1" applyAlignment="1">
      <alignment horizontal="right"/>
    </xf>
    <xf numFmtId="0" fontId="133" fillId="45" borderId="134" xfId="0" applyFont="1" applyFill="1" applyBorder="1" applyAlignment="1">
      <alignment horizontal="right"/>
    </xf>
    <xf numFmtId="0" fontId="133" fillId="45" borderId="160" xfId="0" applyFont="1" applyFill="1" applyBorder="1" applyAlignment="1">
      <alignment horizontal="right"/>
    </xf>
    <xf numFmtId="0" fontId="36" fillId="25" borderId="15" xfId="0" applyFont="1" applyFill="1" applyBorder="1" applyAlignment="1">
      <alignment horizontal="center"/>
    </xf>
    <xf numFmtId="0" fontId="36" fillId="25" borderId="16" xfId="0" applyFont="1" applyFill="1" applyBorder="1" applyAlignment="1">
      <alignment horizontal="center"/>
    </xf>
    <xf numFmtId="2" fontId="37" fillId="35" borderId="12" xfId="0" applyNumberFormat="1" applyFont="1" applyFill="1" applyBorder="1" applyAlignment="1">
      <alignment horizontal="center"/>
    </xf>
    <xf numFmtId="2" fontId="37" fillId="35" borderId="13" xfId="0" applyNumberFormat="1" applyFont="1" applyFill="1" applyBorder="1" applyAlignment="1">
      <alignment horizontal="center"/>
    </xf>
    <xf numFmtId="2" fontId="37" fillId="35" borderId="10" xfId="0" applyNumberFormat="1" applyFont="1" applyFill="1" applyBorder="1" applyAlignment="1">
      <alignment horizontal="center"/>
    </xf>
    <xf numFmtId="0" fontId="38" fillId="25" borderId="25" xfId="0" applyFont="1" applyFill="1" applyBorder="1" applyAlignment="1">
      <alignment horizontal="center" vertical="center"/>
    </xf>
    <xf numFmtId="0" fontId="38" fillId="25" borderId="20" xfId="0" applyFont="1" applyFill="1" applyBorder="1" applyAlignment="1">
      <alignment horizontal="center" vertical="center"/>
    </xf>
    <xf numFmtId="0" fontId="45" fillId="30" borderId="11" xfId="0" applyFont="1" applyFill="1" applyBorder="1" applyAlignment="1">
      <alignment horizontal="center"/>
    </xf>
    <xf numFmtId="0" fontId="45" fillId="30" borderId="12" xfId="0" applyFont="1" applyFill="1" applyBorder="1" applyAlignment="1">
      <alignment horizontal="center"/>
    </xf>
    <xf numFmtId="0" fontId="45" fillId="30" borderId="13" xfId="0" applyFont="1" applyFill="1" applyBorder="1" applyAlignment="1">
      <alignment horizontal="center"/>
    </xf>
    <xf numFmtId="0" fontId="33" fillId="30" borderId="15" xfId="0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/>
    </xf>
    <xf numFmtId="0" fontId="23" fillId="30" borderId="15" xfId="0" applyFont="1" applyFill="1" applyBorder="1" applyAlignment="1">
      <alignment horizontal="center"/>
    </xf>
    <xf numFmtId="0" fontId="23" fillId="30" borderId="13" xfId="0" applyFont="1" applyFill="1" applyBorder="1" applyAlignment="1">
      <alignment horizontal="center"/>
    </xf>
    <xf numFmtId="0" fontId="34" fillId="25" borderId="26" xfId="0" applyFont="1" applyFill="1" applyBorder="1" applyAlignment="1">
      <alignment horizontal="center" vertical="center"/>
    </xf>
    <xf numFmtId="0" fontId="34" fillId="25" borderId="25" xfId="0" applyFont="1" applyFill="1" applyBorder="1" applyAlignment="1">
      <alignment horizontal="center" vertical="center"/>
    </xf>
    <xf numFmtId="0" fontId="34" fillId="25" borderId="26" xfId="0" applyFont="1" applyFill="1" applyBorder="1" applyAlignment="1">
      <alignment horizontal="center"/>
    </xf>
    <xf numFmtId="0" fontId="34" fillId="25" borderId="25" xfId="0" applyFont="1" applyFill="1" applyBorder="1" applyAlignment="1">
      <alignment horizontal="center"/>
    </xf>
    <xf numFmtId="0" fontId="39" fillId="25" borderId="11" xfId="0" applyFont="1" applyFill="1" applyBorder="1" applyAlignment="1">
      <alignment horizontal="right"/>
    </xf>
    <xf numFmtId="0" fontId="39" fillId="25" borderId="12" xfId="0" applyFont="1" applyFill="1" applyBorder="1" applyAlignment="1">
      <alignment horizontal="right"/>
    </xf>
    <xf numFmtId="0" fontId="39" fillId="25" borderId="13" xfId="0" applyFont="1" applyFill="1" applyBorder="1" applyAlignment="1">
      <alignment horizontal="right"/>
    </xf>
    <xf numFmtId="0" fontId="39" fillId="25" borderId="15" xfId="0" applyFont="1" applyFill="1" applyBorder="1" applyAlignment="1">
      <alignment horizontal="right" vertical="center"/>
    </xf>
    <xf numFmtId="0" fontId="39" fillId="25" borderId="19" xfId="0" applyFont="1" applyFill="1" applyBorder="1" applyAlignment="1">
      <alignment horizontal="right" vertical="center"/>
    </xf>
    <xf numFmtId="0" fontId="39" fillId="25" borderId="16" xfId="0" applyFont="1" applyFill="1" applyBorder="1" applyAlignment="1">
      <alignment horizontal="right" vertical="center"/>
    </xf>
    <xf numFmtId="0" fontId="39" fillId="25" borderId="17" xfId="0" applyFont="1" applyFill="1" applyBorder="1" applyAlignment="1">
      <alignment horizontal="right" vertical="center"/>
    </xf>
    <xf numFmtId="0" fontId="39" fillId="25" borderId="14" xfId="0" applyFont="1" applyFill="1" applyBorder="1" applyAlignment="1">
      <alignment horizontal="right" vertical="center"/>
    </xf>
    <xf numFmtId="0" fontId="39" fillId="25" borderId="18" xfId="0" applyFont="1" applyFill="1" applyBorder="1" applyAlignment="1">
      <alignment horizontal="right" vertical="center"/>
    </xf>
    <xf numFmtId="0" fontId="34" fillId="25" borderId="11" xfId="0" applyFont="1" applyFill="1" applyBorder="1" applyAlignment="1">
      <alignment horizontal="right" vertical="center"/>
    </xf>
    <xf numFmtId="0" fontId="34" fillId="25" borderId="12" xfId="0" applyFont="1" applyFill="1" applyBorder="1" applyAlignment="1">
      <alignment horizontal="right" vertical="center"/>
    </xf>
    <xf numFmtId="0" fontId="34" fillId="25" borderId="10" xfId="0" applyFont="1" applyFill="1" applyBorder="1" applyAlignment="1">
      <alignment horizontal="right" vertical="center"/>
    </xf>
    <xf numFmtId="0" fontId="20" fillId="31" borderId="10" xfId="0" applyFont="1" applyFill="1" applyBorder="1" applyAlignment="1">
      <alignment horizontal="right"/>
    </xf>
    <xf numFmtId="0" fontId="20" fillId="24" borderId="10" xfId="0" applyFont="1" applyFill="1" applyBorder="1" applyAlignment="1">
      <alignment horizontal="right" vertical="center"/>
    </xf>
    <xf numFmtId="0" fontId="20" fillId="35" borderId="0" xfId="0" applyFont="1" applyFill="1" applyAlignment="1">
      <alignment horizontal="center" vertical="center"/>
    </xf>
    <xf numFmtId="0" fontId="40" fillId="25" borderId="0" xfId="0" applyFont="1" applyFill="1" applyAlignment="1">
      <alignment horizontal="center" vertical="center"/>
    </xf>
    <xf numFmtId="0" fontId="41" fillId="30" borderId="11" xfId="0" applyFont="1" applyFill="1" applyBorder="1" applyAlignment="1">
      <alignment horizontal="center"/>
    </xf>
    <xf numFmtId="0" fontId="41" fillId="30" borderId="12" xfId="0" applyFont="1" applyFill="1" applyBorder="1" applyAlignment="1">
      <alignment horizontal="center"/>
    </xf>
    <xf numFmtId="0" fontId="41" fillId="30" borderId="16" xfId="0" applyFont="1" applyFill="1" applyBorder="1" applyAlignment="1">
      <alignment horizontal="center"/>
    </xf>
    <xf numFmtId="0" fontId="20" fillId="31" borderId="22" xfId="0" applyFont="1" applyFill="1" applyBorder="1" applyAlignment="1">
      <alignment horizontal="right"/>
    </xf>
    <xf numFmtId="0" fontId="34" fillId="25" borderId="10" xfId="0" applyFont="1" applyFill="1" applyBorder="1" applyAlignment="1">
      <alignment horizontal="right"/>
    </xf>
    <xf numFmtId="0" fontId="34" fillId="25" borderId="11" xfId="0" applyFont="1" applyFill="1" applyBorder="1" applyAlignment="1">
      <alignment horizontal="right"/>
    </xf>
    <xf numFmtId="2" fontId="22" fillId="35" borderId="12" xfId="0" applyNumberFormat="1" applyFont="1" applyFill="1" applyBorder="1" applyAlignment="1">
      <alignment horizontal="center"/>
    </xf>
    <xf numFmtId="2" fontId="22" fillId="35" borderId="13" xfId="0" applyNumberFormat="1" applyFont="1" applyFill="1" applyBorder="1" applyAlignment="1">
      <alignment horizontal="center"/>
    </xf>
    <xf numFmtId="2" fontId="22" fillId="35" borderId="21" xfId="0" applyNumberFormat="1" applyFont="1" applyFill="1" applyBorder="1" applyAlignment="1">
      <alignment horizontal="center"/>
    </xf>
    <xf numFmtId="0" fontId="39" fillId="25" borderId="22" xfId="0" applyFont="1" applyFill="1" applyBorder="1" applyAlignment="1">
      <alignment horizontal="right" vertical="center"/>
    </xf>
    <xf numFmtId="0" fontId="39" fillId="25" borderId="11" xfId="0" applyFont="1" applyFill="1" applyBorder="1" applyAlignment="1">
      <alignment horizontal="right" vertical="center"/>
    </xf>
    <xf numFmtId="0" fontId="39" fillId="25" borderId="10" xfId="0" applyFont="1" applyFill="1" applyBorder="1" applyAlignment="1">
      <alignment horizontal="right"/>
    </xf>
    <xf numFmtId="0" fontId="39" fillId="25" borderId="21" xfId="0" applyFont="1" applyFill="1" applyBorder="1" applyAlignment="1">
      <alignment horizontal="right"/>
    </xf>
    <xf numFmtId="0" fontId="34" fillId="25" borderId="12" xfId="0" applyFont="1" applyFill="1" applyBorder="1" applyAlignment="1">
      <alignment horizontal="right"/>
    </xf>
    <xf numFmtId="0" fontId="39" fillId="25" borderId="22" xfId="0" applyFont="1" applyFill="1" applyBorder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6000000}"/>
    <cellStyle name="Normal_Sheet1" xfId="37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4C3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15</xdr:row>
      <xdr:rowOff>38100</xdr:rowOff>
    </xdr:from>
    <xdr:ext cx="61171" cy="180036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36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36</xdr:row>
      <xdr:rowOff>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21EAEC5-881C-484D-9856-D14ACEC4D736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58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597585-E137-4068-AA9B-B28A7FC18382}"/>
            </a:ext>
          </a:extLst>
        </xdr:cNvPr>
        <xdr:cNvSpPr txBox="1">
          <a:spLocks noChangeArrowheads="1"/>
        </xdr:cNvSpPr>
      </xdr:nvSpPr>
      <xdr:spPr bwMode="auto">
        <a:xfrm>
          <a:off x="2660650" y="38957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79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C5D66F1-5FC2-469E-8E53-AC01A24F2021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79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1702286A-9278-4517-BCC9-578C4DD50E2B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14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77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77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77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132C503-09DA-42F7-ADA1-68B91D4DBB92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77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B467D6C4-EF8F-472A-A6A0-3E35E631995B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979E3D30-8BBF-4595-9943-2C0F5CC466EB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5854C294-FF63-4519-9D17-9CBB1E7F5C28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54</xdr:row>
      <xdr:rowOff>38100</xdr:rowOff>
    </xdr:from>
    <xdr:ext cx="61171" cy="180036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93080BAD-C48A-49CB-A971-18C75386B246}"/>
            </a:ext>
          </a:extLst>
        </xdr:cNvPr>
        <xdr:cNvSpPr txBox="1">
          <a:spLocks noChangeArrowheads="1"/>
        </xdr:cNvSpPr>
      </xdr:nvSpPr>
      <xdr:spPr bwMode="auto">
        <a:xfrm>
          <a:off x="2317750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54</xdr:row>
      <xdr:rowOff>38100</xdr:rowOff>
    </xdr:from>
    <xdr:ext cx="61171" cy="180036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427A6B1-CF90-47A4-AC95-02A8F2B112D6}"/>
            </a:ext>
          </a:extLst>
        </xdr:cNvPr>
        <xdr:cNvSpPr txBox="1">
          <a:spLocks noChangeArrowheads="1"/>
        </xdr:cNvSpPr>
      </xdr:nvSpPr>
      <xdr:spPr bwMode="auto">
        <a:xfrm>
          <a:off x="2517775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75</xdr:row>
      <xdr:rowOff>0</xdr:rowOff>
    </xdr:from>
    <xdr:ext cx="61171" cy="180036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395A6E7C-5175-42CD-BF02-965EEA545F02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75</xdr:row>
      <xdr:rowOff>0</xdr:rowOff>
    </xdr:from>
    <xdr:ext cx="61171" cy="180036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4AE22FDB-3343-49BA-9402-3AFB5E7578C0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15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8096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2021681" y="3169444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EA6D9F0-7DA1-42B5-B8F7-F3BBC987A751}"/>
            </a:ext>
          </a:extLst>
        </xdr:cNvPr>
        <xdr:cNvSpPr txBox="1">
          <a:spLocks noChangeArrowheads="1"/>
        </xdr:cNvSpPr>
      </xdr:nvSpPr>
      <xdr:spPr bwMode="auto">
        <a:xfrm>
          <a:off x="2036989" y="326299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38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910F1A5-9B92-42CD-94B9-CD31484BC317}"/>
            </a:ext>
          </a:extLst>
        </xdr:cNvPr>
        <xdr:cNvSpPr txBox="1">
          <a:spLocks noChangeArrowheads="1"/>
        </xdr:cNvSpPr>
      </xdr:nvSpPr>
      <xdr:spPr bwMode="auto">
        <a:xfrm>
          <a:off x="2533650" y="98869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38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2AE8C33-3F48-4486-8BFF-6F77BE9CF5D7}"/>
            </a:ext>
          </a:extLst>
        </xdr:cNvPr>
        <xdr:cNvSpPr txBox="1">
          <a:spLocks noChangeArrowheads="1"/>
        </xdr:cNvSpPr>
      </xdr:nvSpPr>
      <xdr:spPr bwMode="auto">
        <a:xfrm>
          <a:off x="2533650" y="98869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59</xdr:row>
      <xdr:rowOff>38100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E8B792FF-C014-4081-8A3F-74C2A6659017}"/>
            </a:ext>
          </a:extLst>
        </xdr:cNvPr>
        <xdr:cNvSpPr txBox="1">
          <a:spLocks noChangeArrowheads="1"/>
        </xdr:cNvSpPr>
      </xdr:nvSpPr>
      <xdr:spPr bwMode="auto">
        <a:xfrm>
          <a:off x="2077811" y="4841421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82</xdr:row>
      <xdr:rowOff>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2974A441-794E-4DD0-964D-E159366835C3}"/>
            </a:ext>
          </a:extLst>
        </xdr:cNvPr>
        <xdr:cNvSpPr txBox="1">
          <a:spLocks noChangeArrowheads="1"/>
        </xdr:cNvSpPr>
      </xdr:nvSpPr>
      <xdr:spPr bwMode="auto">
        <a:xfrm>
          <a:off x="2077811" y="11729357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82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F4B5807-C641-4D91-80D1-730A72D04580}"/>
            </a:ext>
          </a:extLst>
        </xdr:cNvPr>
        <xdr:cNvSpPr txBox="1">
          <a:spLocks noChangeArrowheads="1"/>
        </xdr:cNvSpPr>
      </xdr:nvSpPr>
      <xdr:spPr bwMode="auto">
        <a:xfrm>
          <a:off x="2077811" y="11729357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A64"/>
  <sheetViews>
    <sheetView tabSelected="1" topLeftCell="D1" zoomScale="55" zoomScaleNormal="55" workbookViewId="0">
      <selection activeCell="K45" sqref="K45"/>
    </sheetView>
  </sheetViews>
  <sheetFormatPr defaultRowHeight="19.5" x14ac:dyDescent="0.4"/>
  <cols>
    <col min="1" max="4" width="9.140625" style="69"/>
    <col min="5" max="5" width="11.140625" style="69" bestFit="1" customWidth="1"/>
    <col min="6" max="6" width="23.85546875" style="69" customWidth="1"/>
    <col min="7" max="7" width="11.85546875" style="69" bestFit="1" customWidth="1"/>
    <col min="8" max="8" width="18.42578125" style="69" customWidth="1"/>
    <col min="9" max="9" width="11.5703125" style="69" customWidth="1"/>
    <col min="10" max="10" width="13.7109375" style="69" bestFit="1" customWidth="1"/>
    <col min="11" max="11" width="15.42578125" style="69" bestFit="1" customWidth="1"/>
    <col min="12" max="12" width="10.7109375" style="69" bestFit="1" customWidth="1"/>
    <col min="13" max="13" width="12.42578125" style="69" customWidth="1"/>
    <col min="14" max="14" width="10.7109375" style="69" customWidth="1"/>
    <col min="15" max="15" width="12.140625" style="69" bestFit="1" customWidth="1"/>
    <col min="16" max="16" width="13.28515625" style="69" bestFit="1" customWidth="1"/>
    <col min="17" max="17" width="10.5703125" style="69" customWidth="1"/>
    <col min="18" max="18" width="7.7109375" style="69" bestFit="1" customWidth="1"/>
    <col min="19" max="19" width="9.5703125" style="69" bestFit="1" customWidth="1"/>
    <col min="20" max="20" width="18" style="69" customWidth="1"/>
    <col min="21" max="21" width="12.5703125" style="69" customWidth="1"/>
    <col min="22" max="22" width="19" style="69" bestFit="1" customWidth="1"/>
    <col min="23" max="23" width="25" style="69" customWidth="1"/>
    <col min="24" max="24" width="10.5703125" style="69" bestFit="1" customWidth="1"/>
    <col min="25" max="25" width="9.85546875" style="69" customWidth="1"/>
    <col min="26" max="16384" width="9.140625" style="69"/>
  </cols>
  <sheetData>
    <row r="2" spans="3:27" x14ac:dyDescent="0.4"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</row>
    <row r="3" spans="3:27" x14ac:dyDescent="0.4"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</row>
    <row r="4" spans="3:27" ht="46.5" customHeight="1" x14ac:dyDescent="0.4">
      <c r="C4" s="216"/>
      <c r="D4" s="216"/>
      <c r="E4" s="518" t="s">
        <v>167</v>
      </c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216"/>
      <c r="AA4" s="216"/>
    </row>
    <row r="5" spans="3:27" ht="37.5" customHeight="1" thickBot="1" x14ac:dyDescent="0.45">
      <c r="C5" s="216"/>
      <c r="D5" s="216"/>
      <c r="E5" s="519"/>
      <c r="F5" s="519"/>
      <c r="G5" s="519"/>
      <c r="H5" s="519"/>
      <c r="I5" s="519"/>
      <c r="J5" s="519"/>
      <c r="K5" s="519"/>
      <c r="L5" s="519"/>
      <c r="M5" s="519"/>
      <c r="N5" s="519"/>
      <c r="O5" s="519"/>
      <c r="P5" s="519"/>
      <c r="Q5" s="519"/>
      <c r="R5" s="519"/>
      <c r="S5" s="519"/>
      <c r="T5" s="519"/>
      <c r="U5" s="519"/>
      <c r="V5" s="519"/>
      <c r="W5" s="519"/>
      <c r="X5" s="519"/>
      <c r="Y5" s="519"/>
      <c r="Z5" s="216"/>
      <c r="AA5" s="216"/>
    </row>
    <row r="6" spans="3:27" x14ac:dyDescent="0.4">
      <c r="C6" s="216"/>
      <c r="D6" s="216"/>
      <c r="E6" s="522" t="s">
        <v>126</v>
      </c>
      <c r="F6" s="523"/>
      <c r="G6" s="528" t="s">
        <v>10</v>
      </c>
      <c r="H6" s="531" t="s">
        <v>110</v>
      </c>
      <c r="I6" s="532"/>
      <c r="J6" s="533"/>
      <c r="K6" s="553" t="s">
        <v>155</v>
      </c>
      <c r="L6" s="554"/>
      <c r="M6" s="554"/>
      <c r="N6" s="554"/>
      <c r="O6" s="554"/>
      <c r="P6" s="554"/>
      <c r="Q6" s="554"/>
      <c r="R6" s="554"/>
      <c r="S6" s="555"/>
      <c r="T6" s="537" t="s">
        <v>40</v>
      </c>
      <c r="U6" s="515" t="s">
        <v>10</v>
      </c>
      <c r="V6" s="564" t="s">
        <v>109</v>
      </c>
      <c r="W6" s="565"/>
      <c r="X6" s="565"/>
      <c r="Y6" s="566"/>
      <c r="Z6" s="216"/>
      <c r="AA6" s="216"/>
    </row>
    <row r="7" spans="3:27" ht="33.75" customHeight="1" thickBot="1" x14ac:dyDescent="0.45">
      <c r="C7" s="216"/>
      <c r="D7" s="216"/>
      <c r="E7" s="524"/>
      <c r="F7" s="525"/>
      <c r="G7" s="529"/>
      <c r="H7" s="534"/>
      <c r="I7" s="535"/>
      <c r="J7" s="536"/>
      <c r="K7" s="556"/>
      <c r="L7" s="557"/>
      <c r="M7" s="557"/>
      <c r="N7" s="557"/>
      <c r="O7" s="557"/>
      <c r="P7" s="557"/>
      <c r="Q7" s="557"/>
      <c r="R7" s="557"/>
      <c r="S7" s="558"/>
      <c r="T7" s="538"/>
      <c r="U7" s="525"/>
      <c r="V7" s="533"/>
      <c r="W7" s="567"/>
      <c r="X7" s="567"/>
      <c r="Y7" s="568"/>
      <c r="Z7" s="216"/>
      <c r="AA7" s="216"/>
    </row>
    <row r="8" spans="3:27" ht="21" customHeight="1" thickTop="1" thickBot="1" x14ac:dyDescent="0.45">
      <c r="C8" s="216"/>
      <c r="D8" s="216"/>
      <c r="E8" s="524"/>
      <c r="F8" s="525"/>
      <c r="G8" s="529"/>
      <c r="H8" s="539" t="s">
        <v>112</v>
      </c>
      <c r="I8" s="540" t="s">
        <v>113</v>
      </c>
      <c r="J8" s="552" t="s">
        <v>143</v>
      </c>
      <c r="K8" s="559" t="s">
        <v>1</v>
      </c>
      <c r="L8" s="535" t="s">
        <v>3</v>
      </c>
      <c r="M8" s="535" t="s">
        <v>4</v>
      </c>
      <c r="N8" s="535" t="s">
        <v>5</v>
      </c>
      <c r="O8" s="535" t="s">
        <v>6</v>
      </c>
      <c r="P8" s="535" t="s">
        <v>8</v>
      </c>
      <c r="Q8" s="535" t="s">
        <v>7</v>
      </c>
      <c r="R8" s="535" t="s">
        <v>9</v>
      </c>
      <c r="S8" s="562" t="s">
        <v>41</v>
      </c>
      <c r="T8" s="538"/>
      <c r="U8" s="525"/>
      <c r="V8" s="569" t="s">
        <v>39</v>
      </c>
      <c r="W8" s="514" t="s">
        <v>53</v>
      </c>
      <c r="X8" s="514" t="s">
        <v>37</v>
      </c>
      <c r="Y8" s="516" t="s">
        <v>38</v>
      </c>
      <c r="Z8" s="216"/>
      <c r="AA8" s="216"/>
    </row>
    <row r="9" spans="3:27" ht="9.75" customHeight="1" thickTop="1" thickBot="1" x14ac:dyDescent="0.45">
      <c r="C9" s="216"/>
      <c r="D9" s="216"/>
      <c r="E9" s="526"/>
      <c r="F9" s="527"/>
      <c r="G9" s="530"/>
      <c r="H9" s="539"/>
      <c r="I9" s="540"/>
      <c r="J9" s="552"/>
      <c r="K9" s="560"/>
      <c r="L9" s="561"/>
      <c r="M9" s="561"/>
      <c r="N9" s="561"/>
      <c r="O9" s="561"/>
      <c r="P9" s="561"/>
      <c r="Q9" s="561"/>
      <c r="R9" s="561"/>
      <c r="S9" s="563"/>
      <c r="T9" s="538"/>
      <c r="U9" s="525"/>
      <c r="V9" s="570"/>
      <c r="W9" s="515"/>
      <c r="X9" s="515"/>
      <c r="Y9" s="517"/>
      <c r="Z9" s="216"/>
      <c r="AA9" s="216"/>
    </row>
    <row r="10" spans="3:27" ht="21" thickTop="1" thickBot="1" x14ac:dyDescent="0.45">
      <c r="C10" s="216"/>
      <c r="D10" s="216"/>
      <c r="E10" s="542" t="s">
        <v>115</v>
      </c>
      <c r="F10" s="543"/>
      <c r="G10" s="217">
        <f>H10+I10+J10</f>
        <v>100</v>
      </c>
      <c r="H10" s="232">
        <v>80</v>
      </c>
      <c r="I10" s="212">
        <v>15</v>
      </c>
      <c r="J10" s="213">
        <f>100-H10-I10</f>
        <v>5</v>
      </c>
      <c r="K10" s="273">
        <v>13.97</v>
      </c>
      <c r="L10" s="274">
        <v>3.4</v>
      </c>
      <c r="M10" s="274">
        <v>2.16</v>
      </c>
      <c r="N10" s="274">
        <v>42.81</v>
      </c>
      <c r="O10" s="242">
        <v>1.65</v>
      </c>
      <c r="P10" s="242">
        <v>0.26</v>
      </c>
      <c r="Q10" s="242">
        <v>0.49</v>
      </c>
      <c r="R10" s="242">
        <v>0.2</v>
      </c>
      <c r="S10" s="242">
        <v>0.01</v>
      </c>
      <c r="T10" s="218">
        <f>0.786*N10+1.1*O10+0.2</f>
        <v>35.663660000000007</v>
      </c>
      <c r="U10" s="219">
        <f>SUM(K10:T10)</f>
        <v>100.61366000000001</v>
      </c>
      <c r="V10" s="234">
        <f>N10*100/(2.8*K10+1.2*L10+0.65*M10)</f>
        <v>95.986547085201792</v>
      </c>
      <c r="W10" s="219">
        <f xml:space="preserve"> N10/(K10+L10+M10)</f>
        <v>2.1920122887864824</v>
      </c>
      <c r="X10" s="237">
        <f xml:space="preserve"> K10/(L10+M10)</f>
        <v>2.5125899280575537</v>
      </c>
      <c r="Y10" s="239">
        <f>L10/M10</f>
        <v>1.574074074074074</v>
      </c>
      <c r="Z10" s="216"/>
      <c r="AA10" s="216"/>
    </row>
    <row r="11" spans="3:27" ht="21" thickTop="1" thickBot="1" x14ac:dyDescent="0.45">
      <c r="C11" s="216"/>
      <c r="D11" s="216"/>
      <c r="E11" s="544" t="s">
        <v>127</v>
      </c>
      <c r="F11" s="545"/>
      <c r="G11" s="220">
        <f t="shared" ref="G11:G14" si="0">H11+I11+J11</f>
        <v>100</v>
      </c>
      <c r="H11" s="232">
        <f>H10+N17-N10</f>
        <v>80</v>
      </c>
      <c r="I11" s="212">
        <f>100-H11-J11</f>
        <v>15</v>
      </c>
      <c r="J11" s="213">
        <f>J10+M17-M10</f>
        <v>5</v>
      </c>
      <c r="K11" s="273">
        <v>13.3</v>
      </c>
      <c r="L11" s="274">
        <v>3.1</v>
      </c>
      <c r="M11" s="274">
        <v>2.1</v>
      </c>
      <c r="N11" s="274">
        <v>42.2</v>
      </c>
      <c r="O11" s="242">
        <v>1.65</v>
      </c>
      <c r="P11" s="242">
        <v>0.26</v>
      </c>
      <c r="Q11" s="242">
        <v>0.49</v>
      </c>
      <c r="R11" s="242">
        <v>0.2</v>
      </c>
      <c r="S11" s="242">
        <v>0.01</v>
      </c>
      <c r="T11" s="218">
        <f>0.786*N11+1.1*O11+0.2</f>
        <v>35.184200000000004</v>
      </c>
      <c r="U11" s="219">
        <f>SUM(K11:T11)</f>
        <v>98.494200000000006</v>
      </c>
      <c r="V11" s="234">
        <f t="shared" ref="V11:V13" si="1">N11*100/(2.8*K11+1.2*L11+0.65*M11)</f>
        <v>99.70466627288836</v>
      </c>
      <c r="W11" s="219">
        <f t="shared" ref="W11:W13" si="2" xml:space="preserve"> N11/(K11+L11+M11)</f>
        <v>2.2810810810810809</v>
      </c>
      <c r="X11" s="237">
        <f t="shared" ref="X11:X13" si="3" xml:space="preserve"> K11/(L11+M11)</f>
        <v>2.5576923076923079</v>
      </c>
      <c r="Y11" s="239">
        <f t="shared" ref="Y11:Y13" si="4">L11/M11</f>
        <v>1.4761904761904763</v>
      </c>
      <c r="Z11" s="216"/>
      <c r="AA11" s="216"/>
    </row>
    <row r="12" spans="3:27" ht="21" thickTop="1" thickBot="1" x14ac:dyDescent="0.45">
      <c r="C12" s="216"/>
      <c r="D12" s="216"/>
      <c r="E12" s="544" t="s">
        <v>127</v>
      </c>
      <c r="F12" s="545"/>
      <c r="G12" s="220">
        <f t="shared" si="0"/>
        <v>100</v>
      </c>
      <c r="H12" s="232">
        <f>H11+N17-N11</f>
        <v>80.61</v>
      </c>
      <c r="I12" s="212">
        <f>100-H12-J12</f>
        <v>14.33</v>
      </c>
      <c r="J12" s="213">
        <f>J11+M17-M11</f>
        <v>5.0600000000000005</v>
      </c>
      <c r="K12" s="273">
        <v>13.4</v>
      </c>
      <c r="L12" s="274">
        <v>3.4</v>
      </c>
      <c r="M12" s="274">
        <v>2.2000000000000002</v>
      </c>
      <c r="N12" s="274">
        <v>42.8</v>
      </c>
      <c r="O12" s="242">
        <v>1.65</v>
      </c>
      <c r="P12" s="242">
        <v>0.26</v>
      </c>
      <c r="Q12" s="242">
        <v>0.49</v>
      </c>
      <c r="R12" s="242">
        <v>0.2</v>
      </c>
      <c r="S12" s="242">
        <v>0.01</v>
      </c>
      <c r="T12" s="218">
        <f>0.786*N12+1.1*O12+0.2</f>
        <v>35.655799999999999</v>
      </c>
      <c r="U12" s="219">
        <f>SUM(K12:T12)</f>
        <v>100.0658</v>
      </c>
      <c r="V12" s="234">
        <f t="shared" si="1"/>
        <v>99.465489193585881</v>
      </c>
      <c r="W12" s="219">
        <f t="shared" si="2"/>
        <v>2.2526315789473683</v>
      </c>
      <c r="X12" s="237">
        <f t="shared" si="3"/>
        <v>2.3928571428571432</v>
      </c>
      <c r="Y12" s="239">
        <f t="shared" si="4"/>
        <v>1.5454545454545452</v>
      </c>
      <c r="Z12" s="216"/>
      <c r="AA12" s="216"/>
    </row>
    <row r="13" spans="3:27" ht="21" thickTop="1" thickBot="1" x14ac:dyDescent="0.45">
      <c r="C13" s="216"/>
      <c r="D13" s="216"/>
      <c r="E13" s="544" t="s">
        <v>127</v>
      </c>
      <c r="F13" s="545"/>
      <c r="G13" s="220">
        <f t="shared" si="0"/>
        <v>100</v>
      </c>
      <c r="H13" s="232">
        <f>H12+N17-N12</f>
        <v>80.62</v>
      </c>
      <c r="I13" s="212">
        <f>100-H13-J13</f>
        <v>14.359999999999996</v>
      </c>
      <c r="J13" s="213">
        <f>J12+M17-M12</f>
        <v>5.0200000000000005</v>
      </c>
      <c r="K13" s="247">
        <v>13.8</v>
      </c>
      <c r="L13" s="247">
        <v>3.4</v>
      </c>
      <c r="M13" s="247">
        <v>2.2000000000000002</v>
      </c>
      <c r="N13" s="247">
        <v>42.8</v>
      </c>
      <c r="O13" s="243">
        <v>1.65</v>
      </c>
      <c r="P13" s="243">
        <v>0.26</v>
      </c>
      <c r="Q13" s="243">
        <v>0.49</v>
      </c>
      <c r="R13" s="243">
        <v>0.2</v>
      </c>
      <c r="S13" s="243">
        <v>0.01</v>
      </c>
      <c r="T13" s="221">
        <f>0.786*N13+1.1*O13+0.2</f>
        <v>35.655799999999999</v>
      </c>
      <c r="U13" s="222">
        <f>SUM(K13:T13)</f>
        <v>100.4658</v>
      </c>
      <c r="V13" s="235">
        <f t="shared" si="1"/>
        <v>96.942242355605899</v>
      </c>
      <c r="W13" s="222">
        <f t="shared" si="2"/>
        <v>2.2061855670103094</v>
      </c>
      <c r="X13" s="238">
        <f t="shared" si="3"/>
        <v>2.4642857142857144</v>
      </c>
      <c r="Y13" s="240">
        <f t="shared" si="4"/>
        <v>1.5454545454545452</v>
      </c>
      <c r="Z13" s="216"/>
      <c r="AA13" s="216"/>
    </row>
    <row r="14" spans="3:27" ht="21" thickTop="1" thickBot="1" x14ac:dyDescent="0.45">
      <c r="C14" s="216"/>
      <c r="D14" s="216"/>
      <c r="E14" s="546" t="s">
        <v>127</v>
      </c>
      <c r="F14" s="547"/>
      <c r="G14" s="223">
        <f t="shared" si="0"/>
        <v>100</v>
      </c>
      <c r="H14" s="233">
        <f>H13+N17-N13</f>
        <v>80.63000000000001</v>
      </c>
      <c r="I14" s="214">
        <f>100-H14-J14</f>
        <v>14.38999999999999</v>
      </c>
      <c r="J14" s="215">
        <f>J13+M17-M13</f>
        <v>4.9800000000000004</v>
      </c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16"/>
      <c r="AA14" s="216"/>
    </row>
    <row r="15" spans="3:27" ht="21.75" thickTop="1" thickBot="1" x14ac:dyDescent="0.45">
      <c r="C15" s="216"/>
      <c r="D15" s="216"/>
      <c r="E15" s="224"/>
      <c r="F15" s="224"/>
      <c r="G15" s="224"/>
      <c r="H15" s="224"/>
      <c r="I15" s="224"/>
      <c r="J15" s="224"/>
      <c r="K15" s="548" t="s">
        <v>120</v>
      </c>
      <c r="L15" s="549"/>
      <c r="M15" s="549"/>
      <c r="N15" s="549"/>
      <c r="O15" s="549"/>
      <c r="P15" s="549"/>
      <c r="Q15" s="549"/>
      <c r="R15" s="549"/>
      <c r="S15" s="549"/>
      <c r="T15" s="549"/>
      <c r="U15" s="549"/>
      <c r="V15" s="549"/>
      <c r="W15" s="549"/>
      <c r="X15" s="549"/>
      <c r="Y15" s="550"/>
      <c r="Z15" s="216"/>
      <c r="AA15" s="216"/>
    </row>
    <row r="16" spans="3:27" ht="21" thickBot="1" x14ac:dyDescent="0.45">
      <c r="C16" s="216"/>
      <c r="D16" s="216"/>
      <c r="E16" s="224"/>
      <c r="F16" s="551" t="s">
        <v>121</v>
      </c>
      <c r="G16" s="551"/>
      <c r="H16" s="551"/>
      <c r="I16" s="224"/>
      <c r="J16" s="224"/>
      <c r="K16" s="269" t="s">
        <v>1</v>
      </c>
      <c r="L16" s="270" t="s">
        <v>3</v>
      </c>
      <c r="M16" s="270" t="s">
        <v>4</v>
      </c>
      <c r="N16" s="270" t="s">
        <v>5</v>
      </c>
      <c r="O16" s="270" t="s">
        <v>6</v>
      </c>
      <c r="P16" s="270" t="s">
        <v>8</v>
      </c>
      <c r="Q16" s="270" t="s">
        <v>7</v>
      </c>
      <c r="R16" s="270" t="s">
        <v>9</v>
      </c>
      <c r="S16" s="270" t="s">
        <v>41</v>
      </c>
      <c r="T16" s="271" t="s">
        <v>40</v>
      </c>
      <c r="U16" s="271" t="s">
        <v>10</v>
      </c>
      <c r="V16" s="267" t="s">
        <v>39</v>
      </c>
      <c r="W16" s="271" t="s">
        <v>53</v>
      </c>
      <c r="X16" s="271" t="s">
        <v>37</v>
      </c>
      <c r="Y16" s="268" t="s">
        <v>38</v>
      </c>
      <c r="Z16" s="216"/>
      <c r="AA16" s="216"/>
    </row>
    <row r="17" spans="3:27" ht="21" thickTop="1" thickBot="1" x14ac:dyDescent="0.45">
      <c r="C17" s="216"/>
      <c r="D17" s="216"/>
      <c r="E17" s="224"/>
      <c r="F17" s="541" t="s">
        <v>39</v>
      </c>
      <c r="G17" s="541"/>
      <c r="H17" s="251">
        <f>V17</f>
        <v>95.986547085201792</v>
      </c>
      <c r="I17" s="224"/>
      <c r="J17" s="224"/>
      <c r="K17" s="275">
        <v>13.97</v>
      </c>
      <c r="L17" s="276">
        <v>3.4</v>
      </c>
      <c r="M17" s="276">
        <v>2.16</v>
      </c>
      <c r="N17" s="276">
        <v>42.81</v>
      </c>
      <c r="O17" s="244">
        <v>1.65</v>
      </c>
      <c r="P17" s="244">
        <v>0.26</v>
      </c>
      <c r="Q17" s="244">
        <v>0.49</v>
      </c>
      <c r="R17" s="244">
        <v>0.2</v>
      </c>
      <c r="S17" s="244">
        <v>0.01</v>
      </c>
      <c r="T17" s="225">
        <f>0.786*N17+1.1*O17+0.2</f>
        <v>35.663660000000007</v>
      </c>
      <c r="U17" s="226">
        <f>SUM(K17:T17)</f>
        <v>100.61366000000001</v>
      </c>
      <c r="V17" s="236">
        <f>N17*100/(2.8*K17+1.2*L17+0.65*M17)</f>
        <v>95.986547085201792</v>
      </c>
      <c r="W17" s="226">
        <f>N17/(K17+L17+M17)</f>
        <v>2.1920122887864824</v>
      </c>
      <c r="X17" s="226">
        <f>K17/(L17+M17)</f>
        <v>2.5125899280575537</v>
      </c>
      <c r="Y17" s="241">
        <f>L17/M17</f>
        <v>1.574074074074074</v>
      </c>
      <c r="Z17" s="216"/>
      <c r="AA17" s="216"/>
    </row>
    <row r="18" spans="3:27" ht="21.75" thickTop="1" thickBot="1" x14ac:dyDescent="0.45">
      <c r="C18" s="216"/>
      <c r="D18" s="216"/>
      <c r="E18" s="224"/>
      <c r="F18" s="541" t="s">
        <v>38</v>
      </c>
      <c r="G18" s="541"/>
      <c r="H18" s="259">
        <f>Y17</f>
        <v>1.574074074074074</v>
      </c>
      <c r="I18" s="224"/>
      <c r="J18" s="224"/>
      <c r="K18" s="571" t="s">
        <v>124</v>
      </c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3"/>
      <c r="W18" s="573"/>
      <c r="X18" s="573"/>
      <c r="Y18" s="574"/>
      <c r="Z18" s="216"/>
      <c r="AA18" s="216"/>
    </row>
    <row r="19" spans="3:27" ht="21" thickTop="1" thickBot="1" x14ac:dyDescent="0.45">
      <c r="C19" s="216"/>
      <c r="D19" s="216"/>
      <c r="E19" s="224"/>
      <c r="F19" s="585" t="s">
        <v>47</v>
      </c>
      <c r="G19" s="586"/>
      <c r="H19" s="272">
        <v>2.1000000000000001E-2</v>
      </c>
      <c r="I19" s="224"/>
      <c r="J19" s="224"/>
      <c r="K19" s="277">
        <v>51.910012874140349</v>
      </c>
      <c r="L19" s="278">
        <v>24.189980517995103</v>
      </c>
      <c r="M19" s="278">
        <v>6.7227097100043149</v>
      </c>
      <c r="N19" s="278">
        <v>8.1274517505998443</v>
      </c>
      <c r="O19" s="245">
        <v>1.1075203400231253</v>
      </c>
      <c r="P19" s="245">
        <v>0.2</v>
      </c>
      <c r="Q19" s="245">
        <v>0.9</v>
      </c>
      <c r="R19" s="279">
        <v>4.2</v>
      </c>
      <c r="S19" s="245">
        <v>0.01</v>
      </c>
      <c r="T19" s="245">
        <v>1.5</v>
      </c>
      <c r="U19" s="221">
        <f>SUM(K19:T19)</f>
        <v>98.867675192762746</v>
      </c>
      <c r="V19" s="222">
        <f t="shared" ref="V19" si="5">N19*100/(2.8*K19+1.2*L19+0.65*M19)</f>
        <v>4.5469336530875761</v>
      </c>
      <c r="W19" s="222">
        <f t="shared" ref="W19" si="6">N19/(K19+L19+M19)</f>
        <v>9.8130723173533663E-2</v>
      </c>
      <c r="X19" s="222">
        <f t="shared" ref="X19" si="7">K19/(L19+M19)</f>
        <v>1.6792460472146948</v>
      </c>
      <c r="Y19" s="227">
        <f t="shared" ref="Y19" si="8">L19/M19</f>
        <v>3.5982485577202734</v>
      </c>
      <c r="Z19" s="216"/>
      <c r="AA19" s="216"/>
    </row>
    <row r="20" spans="3:27" ht="21.75" thickTop="1" thickBot="1" x14ac:dyDescent="0.45">
      <c r="C20" s="216"/>
      <c r="D20" s="216"/>
      <c r="E20" s="224"/>
      <c r="F20" s="587" t="s">
        <v>122</v>
      </c>
      <c r="G20" s="588"/>
      <c r="H20" s="252" t="s">
        <v>132</v>
      </c>
      <c r="I20" s="224"/>
      <c r="J20" s="224"/>
      <c r="K20" s="575" t="s">
        <v>123</v>
      </c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7"/>
      <c r="Z20" s="216"/>
      <c r="AA20" s="216"/>
    </row>
    <row r="21" spans="3:27" ht="20.25" thickBot="1" x14ac:dyDescent="0.45">
      <c r="C21" s="216"/>
      <c r="D21" s="216"/>
      <c r="E21" s="224"/>
      <c r="F21" s="224"/>
      <c r="G21" s="224"/>
      <c r="H21" s="224"/>
      <c r="I21" s="224"/>
      <c r="J21" s="224"/>
      <c r="K21" s="264" t="s">
        <v>1</v>
      </c>
      <c r="L21" s="265" t="s">
        <v>3</v>
      </c>
      <c r="M21" s="265" t="s">
        <v>4</v>
      </c>
      <c r="N21" s="265" t="s">
        <v>5</v>
      </c>
      <c r="O21" s="265" t="s">
        <v>6</v>
      </c>
      <c r="P21" s="265" t="s">
        <v>8</v>
      </c>
      <c r="Q21" s="265" t="s">
        <v>7</v>
      </c>
      <c r="R21" s="265" t="s">
        <v>9</v>
      </c>
      <c r="S21" s="265" t="s">
        <v>41</v>
      </c>
      <c r="T21" s="578" t="s">
        <v>10</v>
      </c>
      <c r="U21" s="578"/>
      <c r="V21" s="267" t="s">
        <v>39</v>
      </c>
      <c r="W21" s="266" t="s">
        <v>53</v>
      </c>
      <c r="X21" s="266" t="s">
        <v>37</v>
      </c>
      <c r="Y21" s="268" t="s">
        <v>38</v>
      </c>
      <c r="Z21" s="216"/>
      <c r="AA21" s="216"/>
    </row>
    <row r="22" spans="3:27" ht="21" thickTop="1" thickBot="1" x14ac:dyDescent="0.45">
      <c r="C22" s="216"/>
      <c r="D22" s="216"/>
      <c r="E22" s="224"/>
      <c r="F22" s="224"/>
      <c r="G22" s="224"/>
      <c r="H22" s="224"/>
      <c r="I22" s="224"/>
      <c r="J22" s="224"/>
      <c r="K22" s="275">
        <f>(1/(1-T17/100))*K17*(1-H19)+K19*H19</f>
        <v>22.348127123662564</v>
      </c>
      <c r="L22" s="276">
        <f>(1/(1-T17/100))*L17*(1-H19)+L19*H19</f>
        <v>5.6817374291913598</v>
      </c>
      <c r="M22" s="276">
        <f>(1/(1-T17/100))*M17*(1-H19)+M19*H19</f>
        <v>3.4280284717798204</v>
      </c>
      <c r="N22" s="276">
        <f>(1/(1-T17/100))*N17*(1-H19)+N19*H19</f>
        <v>65.314248533291831</v>
      </c>
      <c r="O22" s="244">
        <f>(1/(1-T17/100))*O17*(1-H19)+O19*H19</f>
        <v>2.534047319263196</v>
      </c>
      <c r="P22" s="244">
        <f>(1/(1-T17/100))*P17*(1-H19)+P19*H19</f>
        <v>0.3998395405769119</v>
      </c>
      <c r="Q22" s="244">
        <f t="shared" ref="Q22" si="9">(1/(1-Z17/100))*Q17*(1-N24)+Q19*N24</f>
        <v>0.49</v>
      </c>
      <c r="R22" s="244">
        <f>(1/(1-T17/100))*R17*(1-H19)+R19*H19</f>
        <v>0.39253810813608614</v>
      </c>
      <c r="S22" s="244">
        <f>(1/(1-T17/100))*S17*(1-H19)+S19*H19</f>
        <v>1.5426905406804305E-2</v>
      </c>
      <c r="T22" s="579">
        <f>SUM(K22:S22)</f>
        <v>100.60399343130855</v>
      </c>
      <c r="U22" s="580"/>
      <c r="V22" s="236">
        <f>N22*100/(2.8*K22+1.2*L22+0.65*M22)</f>
        <v>91.194194989144691</v>
      </c>
      <c r="W22" s="226">
        <f>N22/(K22+L22+M22)</f>
        <v>2.0762435831969475</v>
      </c>
      <c r="X22" s="226">
        <f>K22/(L22+M22)</f>
        <v>2.4532054244423627</v>
      </c>
      <c r="Y22" s="241">
        <f>L22/M22</f>
        <v>1.657435892369185</v>
      </c>
      <c r="Z22" s="216"/>
      <c r="AA22" s="216"/>
    </row>
    <row r="23" spans="3:27" ht="21.75" thickTop="1" x14ac:dyDescent="0.4">
      <c r="C23" s="216"/>
      <c r="D23" s="216"/>
      <c r="E23" s="224"/>
      <c r="F23" s="224"/>
      <c r="G23" s="224"/>
      <c r="H23" s="224"/>
      <c r="I23" s="224"/>
      <c r="J23" s="224"/>
      <c r="K23" s="581" t="s">
        <v>152</v>
      </c>
      <c r="L23" s="583" t="s">
        <v>54</v>
      </c>
      <c r="M23" s="583" t="s">
        <v>163</v>
      </c>
      <c r="N23" s="583" t="s">
        <v>56</v>
      </c>
      <c r="O23" s="583" t="s">
        <v>57</v>
      </c>
      <c r="P23" s="589" t="s">
        <v>58</v>
      </c>
      <c r="Q23" s="589"/>
      <c r="R23" s="589"/>
      <c r="S23" s="589"/>
      <c r="T23" s="590" t="s">
        <v>161</v>
      </c>
      <c r="U23" s="590" t="s">
        <v>162</v>
      </c>
      <c r="V23" s="590" t="s">
        <v>128</v>
      </c>
      <c r="W23" s="590" t="s">
        <v>60</v>
      </c>
      <c r="X23" s="583" t="s">
        <v>61</v>
      </c>
      <c r="Y23" s="592"/>
      <c r="Z23" s="216"/>
      <c r="AA23" s="216"/>
    </row>
    <row r="24" spans="3:27" ht="20.25" thickBot="1" x14ac:dyDescent="0.45">
      <c r="C24" s="216"/>
      <c r="D24" s="216"/>
      <c r="E24" s="224"/>
      <c r="F24" s="224"/>
      <c r="G24" s="224"/>
      <c r="H24" s="224"/>
      <c r="I24" s="224"/>
      <c r="J24" s="224"/>
      <c r="K24" s="582"/>
      <c r="L24" s="584"/>
      <c r="M24" s="584"/>
      <c r="N24" s="584"/>
      <c r="O24" s="584"/>
      <c r="P24" s="262" t="s">
        <v>62</v>
      </c>
      <c r="Q24" s="262" t="s">
        <v>63</v>
      </c>
      <c r="R24" s="262" t="s">
        <v>64</v>
      </c>
      <c r="S24" s="262" t="s">
        <v>65</v>
      </c>
      <c r="T24" s="591"/>
      <c r="U24" s="591"/>
      <c r="V24" s="591"/>
      <c r="W24" s="591"/>
      <c r="X24" s="261" t="s">
        <v>66</v>
      </c>
      <c r="Y24" s="263" t="s">
        <v>40</v>
      </c>
      <c r="Z24" s="216"/>
      <c r="AA24" s="216"/>
    </row>
    <row r="25" spans="3:27" ht="21" thickTop="1" thickBot="1" x14ac:dyDescent="0.45">
      <c r="C25" s="216"/>
      <c r="D25" s="216"/>
      <c r="E25" s="224"/>
      <c r="F25" s="224"/>
      <c r="G25" s="224"/>
      <c r="H25" s="224"/>
      <c r="I25" s="224"/>
      <c r="J25" s="224"/>
      <c r="K25" s="246">
        <v>1.25</v>
      </c>
      <c r="L25" s="243">
        <v>1.8</v>
      </c>
      <c r="M25" s="248" t="s">
        <v>131</v>
      </c>
      <c r="N25" s="249">
        <f>((O25/100)-(Y25/100))/((O25/100)-(O25/100)*(Y25/100))*100</f>
        <v>96.166062000057735</v>
      </c>
      <c r="O25" s="243">
        <v>34.39</v>
      </c>
      <c r="P25" s="228">
        <f>4.071*(N22-L25)-7.6024*K22-6.718*L22-1.4297*M22</f>
        <v>45.596139778687601</v>
      </c>
      <c r="Q25" s="229">
        <f>8.6024*K22+5.0683*L22+1.0785*M22-3.071*(N22-L25)</f>
        <v>29.689150042040694</v>
      </c>
      <c r="R25" s="229">
        <f>2.65*L22-1.692*M22</f>
        <v>9.2563800131056464</v>
      </c>
      <c r="S25" s="229">
        <f>3.0432*M22</f>
        <v>10.432176245320349</v>
      </c>
      <c r="T25" s="230">
        <f>R22/(Q22+0.5*P22)</f>
        <v>0.56896196491363871</v>
      </c>
      <c r="U25" s="230">
        <f>P22+(0.658*Q22)</f>
        <v>0.72225954057691188</v>
      </c>
      <c r="V25" s="230">
        <f>3*L22+2.25*M22+O22+P22+Q22+R22</f>
        <v>28.57470131705487</v>
      </c>
      <c r="W25" s="231">
        <f>R25+S25+(Q25*0.2)+(2*M22)</f>
        <v>32.482443210393775</v>
      </c>
      <c r="X25" s="243">
        <v>1</v>
      </c>
      <c r="Y25" s="250">
        <v>1.97</v>
      </c>
      <c r="Z25" s="216"/>
      <c r="AA25" s="216"/>
    </row>
    <row r="26" spans="3:27" ht="20.25" thickTop="1" x14ac:dyDescent="0.4"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</row>
    <row r="27" spans="3:27" x14ac:dyDescent="0.4"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</row>
    <row r="28" spans="3:27" x14ac:dyDescent="0.4"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</row>
    <row r="30" spans="3:27" x14ac:dyDescent="0.4">
      <c r="F30" s="71"/>
      <c r="H30" s="72"/>
      <c r="I30" s="72"/>
      <c r="J30" s="73"/>
    </row>
    <row r="31" spans="3:27" x14ac:dyDescent="0.4">
      <c r="C31" s="74"/>
      <c r="D31" s="74"/>
      <c r="E31" s="74"/>
      <c r="F31" s="74"/>
      <c r="G31" s="74"/>
      <c r="H31" s="75"/>
      <c r="I31" s="74"/>
      <c r="J31" s="76"/>
      <c r="K31" s="76"/>
      <c r="L31" s="77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3:27" x14ac:dyDescent="0.4">
      <c r="C32" s="74"/>
      <c r="D32" s="74"/>
      <c r="E32" s="74"/>
      <c r="F32" s="74"/>
      <c r="G32" s="74"/>
      <c r="H32" s="75"/>
      <c r="I32" s="74"/>
      <c r="J32" s="76"/>
      <c r="K32" s="76"/>
      <c r="L32" s="77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3:27" x14ac:dyDescent="0.4">
      <c r="C33" s="74"/>
      <c r="D33" s="78"/>
      <c r="E33" s="79"/>
      <c r="F33" s="79"/>
      <c r="G33" s="80"/>
      <c r="H33" s="12"/>
      <c r="I33" s="12"/>
      <c r="J33" s="81"/>
      <c r="K33" s="82"/>
      <c r="L33" s="82"/>
      <c r="M33" s="82"/>
      <c r="N33" s="83"/>
      <c r="O33" s="84"/>
      <c r="P33" s="84"/>
      <c r="Q33" s="84"/>
      <c r="R33" s="85"/>
      <c r="S33" s="12"/>
      <c r="T33" s="12"/>
      <c r="U33" s="12"/>
      <c r="V33" s="12"/>
      <c r="W33" s="12"/>
      <c r="X33" s="12"/>
      <c r="Y33" s="12"/>
      <c r="Z33" s="12"/>
      <c r="AA33" s="12"/>
    </row>
    <row r="34" spans="3:27" x14ac:dyDescent="0.4">
      <c r="C34" s="74"/>
      <c r="D34" s="86"/>
      <c r="E34" s="601" t="s">
        <v>137</v>
      </c>
      <c r="F34" s="602" t="s">
        <v>136</v>
      </c>
      <c r="G34" s="603"/>
      <c r="H34" s="12"/>
      <c r="I34" s="12"/>
      <c r="J34" s="87"/>
      <c r="K34" s="88"/>
      <c r="L34" s="520" t="s">
        <v>139</v>
      </c>
      <c r="M34" s="520"/>
      <c r="N34" s="89"/>
      <c r="O34" s="90"/>
      <c r="P34" s="521" t="s">
        <v>140</v>
      </c>
      <c r="Q34" s="521"/>
      <c r="R34" s="91"/>
      <c r="S34" s="12"/>
      <c r="T34" s="12"/>
      <c r="U34" s="12"/>
      <c r="V34" s="12"/>
      <c r="W34" s="12"/>
      <c r="X34" s="12"/>
      <c r="Y34" s="12"/>
      <c r="Z34" s="12"/>
      <c r="AA34" s="12"/>
    </row>
    <row r="35" spans="3:27" x14ac:dyDescent="0.4">
      <c r="C35" s="74"/>
      <c r="D35" s="86"/>
      <c r="E35" s="601"/>
      <c r="F35" s="602"/>
      <c r="G35" s="603"/>
      <c r="H35" s="12"/>
      <c r="I35" s="12"/>
      <c r="J35" s="87"/>
      <c r="K35" s="88"/>
      <c r="L35" s="520"/>
      <c r="M35" s="520"/>
      <c r="N35" s="89"/>
      <c r="O35" s="90"/>
      <c r="P35" s="521"/>
      <c r="Q35" s="521"/>
      <c r="R35" s="91"/>
      <c r="S35" s="12"/>
      <c r="T35" s="12"/>
      <c r="U35" s="12"/>
      <c r="V35" s="12"/>
      <c r="W35" s="12"/>
      <c r="X35" s="12"/>
      <c r="Y35" s="12"/>
      <c r="Z35" s="12"/>
      <c r="AA35" s="12"/>
    </row>
    <row r="36" spans="3:27" x14ac:dyDescent="0.4">
      <c r="C36" s="74"/>
      <c r="D36" s="92"/>
      <c r="E36" s="93"/>
      <c r="F36" s="93"/>
      <c r="G36" s="94"/>
      <c r="H36" s="12"/>
      <c r="I36" s="12"/>
      <c r="J36" s="95"/>
      <c r="K36" s="96"/>
      <c r="L36" s="96"/>
      <c r="M36" s="96"/>
      <c r="N36" s="97"/>
      <c r="O36" s="98"/>
      <c r="P36" s="98"/>
      <c r="Q36" s="98"/>
      <c r="R36" s="99"/>
      <c r="S36" s="12"/>
      <c r="T36" s="12"/>
      <c r="U36" s="12"/>
      <c r="V36" s="12"/>
      <c r="W36" s="12"/>
      <c r="X36" s="12"/>
      <c r="Y36" s="12"/>
      <c r="Z36" s="12"/>
      <c r="AA36" s="12"/>
    </row>
    <row r="37" spans="3:27" x14ac:dyDescent="0.4">
      <c r="C37" s="7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3:27" ht="24" customHeight="1" x14ac:dyDescent="0.4">
      <c r="C38" s="7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3:27" ht="21" customHeight="1" thickBot="1" x14ac:dyDescent="0.45">
      <c r="C39" s="7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3:27" ht="25.5" thickBot="1" x14ac:dyDescent="0.55000000000000004">
      <c r="C40" s="74"/>
      <c r="D40" s="12"/>
      <c r="E40" s="593" t="s">
        <v>129</v>
      </c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593"/>
      <c r="R40" s="593"/>
      <c r="S40" s="593"/>
      <c r="T40" s="593"/>
      <c r="U40" s="593"/>
      <c r="V40" s="593"/>
      <c r="W40" s="593"/>
      <c r="X40" s="593"/>
      <c r="Y40" s="593"/>
      <c r="Z40" s="12"/>
      <c r="AA40" s="12"/>
    </row>
    <row r="41" spans="3:27" ht="23.25" thickBot="1" x14ac:dyDescent="0.45">
      <c r="D41" s="12"/>
      <c r="E41" s="594" t="s">
        <v>126</v>
      </c>
      <c r="F41" s="594"/>
      <c r="G41" s="595" t="s">
        <v>10</v>
      </c>
      <c r="H41" s="595" t="s">
        <v>110</v>
      </c>
      <c r="I41" s="595"/>
      <c r="J41" s="595"/>
      <c r="K41" s="595" t="s">
        <v>111</v>
      </c>
      <c r="L41" s="595"/>
      <c r="M41" s="595"/>
      <c r="N41" s="595"/>
      <c r="O41" s="595"/>
      <c r="P41" s="595"/>
      <c r="Q41" s="595"/>
      <c r="R41" s="595"/>
      <c r="S41" s="595"/>
      <c r="T41" s="594" t="s">
        <v>40</v>
      </c>
      <c r="U41" s="594" t="s">
        <v>10</v>
      </c>
      <c r="V41" s="595" t="s">
        <v>109</v>
      </c>
      <c r="W41" s="595"/>
      <c r="X41" s="595"/>
      <c r="Y41" s="595"/>
      <c r="Z41" s="12"/>
      <c r="AA41" s="12"/>
    </row>
    <row r="42" spans="3:27" ht="20.25" thickBot="1" x14ac:dyDescent="0.45">
      <c r="D42" s="12"/>
      <c r="E42" s="594"/>
      <c r="F42" s="594"/>
      <c r="G42" s="595"/>
      <c r="H42" s="595"/>
      <c r="I42" s="595"/>
      <c r="J42" s="595"/>
      <c r="K42" s="595" t="s">
        <v>1</v>
      </c>
      <c r="L42" s="595" t="s">
        <v>3</v>
      </c>
      <c r="M42" s="595" t="s">
        <v>4</v>
      </c>
      <c r="N42" s="595" t="s">
        <v>5</v>
      </c>
      <c r="O42" s="595" t="s">
        <v>6</v>
      </c>
      <c r="P42" s="595" t="s">
        <v>8</v>
      </c>
      <c r="Q42" s="595" t="s">
        <v>7</v>
      </c>
      <c r="R42" s="595" t="s">
        <v>9</v>
      </c>
      <c r="S42" s="595" t="s">
        <v>41</v>
      </c>
      <c r="T42" s="594"/>
      <c r="U42" s="594"/>
      <c r="V42" s="594" t="s">
        <v>39</v>
      </c>
      <c r="W42" s="594" t="s">
        <v>53</v>
      </c>
      <c r="X42" s="594" t="s">
        <v>37</v>
      </c>
      <c r="Y42" s="594" t="s">
        <v>38</v>
      </c>
      <c r="Z42" s="12"/>
      <c r="AA42" s="12"/>
    </row>
    <row r="43" spans="3:27" ht="20.25" thickBot="1" x14ac:dyDescent="0.45">
      <c r="D43" s="12"/>
      <c r="E43" s="594"/>
      <c r="F43" s="594"/>
      <c r="G43" s="595"/>
      <c r="H43" s="597" t="s">
        <v>112</v>
      </c>
      <c r="I43" s="598" t="s">
        <v>113</v>
      </c>
      <c r="J43" s="599" t="s">
        <v>143</v>
      </c>
      <c r="K43" s="595"/>
      <c r="L43" s="595"/>
      <c r="M43" s="595"/>
      <c r="N43" s="595"/>
      <c r="O43" s="595"/>
      <c r="P43" s="595"/>
      <c r="Q43" s="595"/>
      <c r="R43" s="595"/>
      <c r="S43" s="595"/>
      <c r="T43" s="594"/>
      <c r="U43" s="594"/>
      <c r="V43" s="594"/>
      <c r="W43" s="594"/>
      <c r="X43" s="594"/>
      <c r="Y43" s="594"/>
      <c r="Z43" s="12"/>
      <c r="AA43" s="12"/>
    </row>
    <row r="44" spans="3:27" ht="20.25" thickBot="1" x14ac:dyDescent="0.45">
      <c r="D44" s="12"/>
      <c r="E44" s="594"/>
      <c r="F44" s="594"/>
      <c r="G44" s="595"/>
      <c r="H44" s="597"/>
      <c r="I44" s="598"/>
      <c r="J44" s="599"/>
      <c r="K44" s="595"/>
      <c r="L44" s="595"/>
      <c r="M44" s="595"/>
      <c r="N44" s="595"/>
      <c r="O44" s="595"/>
      <c r="P44" s="595"/>
      <c r="Q44" s="600"/>
      <c r="R44" s="595"/>
      <c r="S44" s="595"/>
      <c r="T44" s="594"/>
      <c r="U44" s="594"/>
      <c r="V44" s="594"/>
      <c r="W44" s="594"/>
      <c r="X44" s="594"/>
      <c r="Y44" s="594"/>
      <c r="Z44" s="12"/>
      <c r="AA44" s="12"/>
    </row>
    <row r="45" spans="3:27" ht="20.25" thickBot="1" x14ac:dyDescent="0.45">
      <c r="D45" s="12"/>
      <c r="E45" s="596" t="s">
        <v>115</v>
      </c>
      <c r="F45" s="596"/>
      <c r="G45" s="52">
        <f>H45+I45+J45</f>
        <v>100</v>
      </c>
      <c r="H45" s="24">
        <v>80</v>
      </c>
      <c r="I45" s="25">
        <v>15</v>
      </c>
      <c r="J45" s="26">
        <f>100-H45-I45</f>
        <v>5</v>
      </c>
      <c r="K45" s="27">
        <v>13.97</v>
      </c>
      <c r="L45" s="27">
        <v>3.4</v>
      </c>
      <c r="M45" s="27">
        <v>2.16</v>
      </c>
      <c r="N45" s="27">
        <v>42.81</v>
      </c>
      <c r="O45" s="27">
        <v>1.65</v>
      </c>
      <c r="P45" s="27">
        <v>0.26</v>
      </c>
      <c r="Q45" s="27">
        <v>0.49</v>
      </c>
      <c r="R45" s="27">
        <v>0.2</v>
      </c>
      <c r="S45" s="27">
        <v>0.01</v>
      </c>
      <c r="T45" s="55">
        <f>0.786*N45+1.1*O45+0.2</f>
        <v>35.663660000000007</v>
      </c>
      <c r="U45" s="55">
        <f>SUM(K45:T45)</f>
        <v>100.61366000000001</v>
      </c>
      <c r="V45" s="55">
        <f>N45*100/(2.8*K45+1.2*L45+0.65*M45)</f>
        <v>95.986547085201792</v>
      </c>
      <c r="W45" s="55">
        <f xml:space="preserve"> N45/(K45+L45+M45)</f>
        <v>2.1920122887864824</v>
      </c>
      <c r="X45" s="55">
        <f xml:space="preserve"> K45/(L45+M45)</f>
        <v>2.5125899280575537</v>
      </c>
      <c r="Y45" s="55">
        <f>L45/M45</f>
        <v>1.574074074074074</v>
      </c>
      <c r="Z45" s="12"/>
      <c r="AA45" s="12"/>
    </row>
    <row r="46" spans="3:27" ht="20.25" thickBot="1" x14ac:dyDescent="0.45">
      <c r="D46" s="12"/>
      <c r="E46" s="596" t="s">
        <v>127</v>
      </c>
      <c r="F46" s="596"/>
      <c r="G46" s="52">
        <f t="shared" ref="G46:G49" si="10">H46+I46+J46</f>
        <v>100</v>
      </c>
      <c r="H46" s="52">
        <f>H45+N52-N45</f>
        <v>80</v>
      </c>
      <c r="I46" s="53">
        <f>100-H46-J46</f>
        <v>15</v>
      </c>
      <c r="J46" s="54">
        <f>J45+M52-M45</f>
        <v>5</v>
      </c>
      <c r="K46" s="27">
        <v>13.8</v>
      </c>
      <c r="L46" s="27">
        <v>3.2</v>
      </c>
      <c r="M46" s="27">
        <v>2.2000000000000002</v>
      </c>
      <c r="N46" s="27">
        <v>41</v>
      </c>
      <c r="O46" s="27">
        <v>1.65</v>
      </c>
      <c r="P46" s="27">
        <v>0.26</v>
      </c>
      <c r="Q46" s="27">
        <v>0.49</v>
      </c>
      <c r="R46" s="27">
        <v>0.2</v>
      </c>
      <c r="S46" s="27">
        <v>0.01</v>
      </c>
      <c r="T46" s="55">
        <f>0.786*N46+1.1*O46+0.2</f>
        <v>34.241</v>
      </c>
      <c r="U46" s="55">
        <f>SUM(K46:T46)</f>
        <v>97.051000000000002</v>
      </c>
      <c r="V46" s="55">
        <f t="shared" ref="V46:V48" si="11">N46*100/(2.8*K46+1.2*L46+0.65*M46)</f>
        <v>93.372808016397173</v>
      </c>
      <c r="W46" s="55">
        <f t="shared" ref="W46:W48" si="12" xml:space="preserve"> N46/(K46+L46+M46)</f>
        <v>2.135416666666667</v>
      </c>
      <c r="X46" s="55">
        <f t="shared" ref="X46:X48" si="13" xml:space="preserve"> K46/(L46+M46)</f>
        <v>2.5555555555555554</v>
      </c>
      <c r="Y46" s="55">
        <f t="shared" ref="Y46:Y48" si="14">L46/M46</f>
        <v>1.4545454545454546</v>
      </c>
      <c r="Z46" s="12"/>
      <c r="AA46" s="12"/>
    </row>
    <row r="47" spans="3:27" ht="20.25" thickBot="1" x14ac:dyDescent="0.45">
      <c r="D47" s="12"/>
      <c r="E47" s="596" t="s">
        <v>127</v>
      </c>
      <c r="F47" s="596"/>
      <c r="G47" s="52">
        <f t="shared" si="10"/>
        <v>99.999999999999986</v>
      </c>
      <c r="H47" s="52">
        <f>H46+N52-N46</f>
        <v>81.81</v>
      </c>
      <c r="I47" s="53">
        <f>100-H47-J47</f>
        <v>13.229999999999997</v>
      </c>
      <c r="J47" s="54">
        <f>J46+M52-M46</f>
        <v>4.96</v>
      </c>
      <c r="K47" s="27">
        <v>13.97</v>
      </c>
      <c r="L47" s="27">
        <v>3.4</v>
      </c>
      <c r="M47" s="27">
        <v>2.16</v>
      </c>
      <c r="N47" s="27">
        <v>42.81</v>
      </c>
      <c r="O47" s="27">
        <v>1.65</v>
      </c>
      <c r="P47" s="27">
        <v>0.26</v>
      </c>
      <c r="Q47" s="27">
        <v>0.49</v>
      </c>
      <c r="R47" s="27">
        <v>0.2</v>
      </c>
      <c r="S47" s="27">
        <v>0.01</v>
      </c>
      <c r="T47" s="55">
        <f>0.786*N47+1.1*O47+0.2</f>
        <v>35.663660000000007</v>
      </c>
      <c r="U47" s="55">
        <f>SUM(K47:T47)</f>
        <v>100.61366000000001</v>
      </c>
      <c r="V47" s="55">
        <f t="shared" si="11"/>
        <v>95.986547085201792</v>
      </c>
      <c r="W47" s="55">
        <f t="shared" si="12"/>
        <v>2.1920122887864824</v>
      </c>
      <c r="X47" s="55">
        <f t="shared" si="13"/>
        <v>2.5125899280575537</v>
      </c>
      <c r="Y47" s="55">
        <f t="shared" si="14"/>
        <v>1.574074074074074</v>
      </c>
      <c r="Z47" s="12"/>
      <c r="AA47" s="12"/>
    </row>
    <row r="48" spans="3:27" ht="20.25" thickBot="1" x14ac:dyDescent="0.45">
      <c r="D48" s="12"/>
      <c r="E48" s="596" t="s">
        <v>127</v>
      </c>
      <c r="F48" s="596"/>
      <c r="G48" s="52">
        <f t="shared" si="10"/>
        <v>99.999999999999986</v>
      </c>
      <c r="H48" s="52">
        <f>H47+N52-N47</f>
        <v>81.81</v>
      </c>
      <c r="I48" s="53">
        <f>100-H48-J48</f>
        <v>13.229999999999997</v>
      </c>
      <c r="J48" s="54">
        <f>J47+M52-M47</f>
        <v>4.96</v>
      </c>
      <c r="K48" s="27">
        <v>13.97</v>
      </c>
      <c r="L48" s="27">
        <v>3.4</v>
      </c>
      <c r="M48" s="27">
        <v>2.16</v>
      </c>
      <c r="N48" s="27">
        <v>42.81</v>
      </c>
      <c r="O48" s="27">
        <v>1.65</v>
      </c>
      <c r="P48" s="27">
        <v>0.26</v>
      </c>
      <c r="Q48" s="27">
        <v>0.49</v>
      </c>
      <c r="R48" s="27">
        <v>0.2</v>
      </c>
      <c r="S48" s="27">
        <v>0.01</v>
      </c>
      <c r="T48" s="55">
        <f>0.786*N48+1.1*O48+0.2</f>
        <v>35.663660000000007</v>
      </c>
      <c r="U48" s="55">
        <f>SUM(K48:T48)</f>
        <v>100.61366000000001</v>
      </c>
      <c r="V48" s="55">
        <f t="shared" si="11"/>
        <v>95.986547085201792</v>
      </c>
      <c r="W48" s="55">
        <f t="shared" si="12"/>
        <v>2.1920122887864824</v>
      </c>
      <c r="X48" s="55">
        <f t="shared" si="13"/>
        <v>2.5125899280575537</v>
      </c>
      <c r="Y48" s="55">
        <f t="shared" si="14"/>
        <v>1.574074074074074</v>
      </c>
      <c r="Z48" s="12"/>
      <c r="AA48" s="12"/>
    </row>
    <row r="49" spans="4:27" ht="20.25" thickBot="1" x14ac:dyDescent="0.45">
      <c r="D49" s="12"/>
      <c r="E49" s="596" t="s">
        <v>127</v>
      </c>
      <c r="F49" s="596"/>
      <c r="G49" s="52">
        <f t="shared" si="10"/>
        <v>99.999999999999986</v>
      </c>
      <c r="H49" s="52">
        <f>H48+N52-N48</f>
        <v>81.81</v>
      </c>
      <c r="I49" s="53">
        <f>100-H49-J49</f>
        <v>13.229999999999997</v>
      </c>
      <c r="J49" s="54">
        <f>J48+M52-M48</f>
        <v>4.96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4:27" ht="24" thickTop="1" thickBot="1" x14ac:dyDescent="0.5">
      <c r="D50" s="12"/>
      <c r="E50" s="12"/>
      <c r="F50" s="12"/>
      <c r="G50" s="12"/>
      <c r="H50" s="12"/>
      <c r="I50" s="12"/>
      <c r="J50" s="12"/>
      <c r="K50" s="618" t="s">
        <v>120</v>
      </c>
      <c r="L50" s="618"/>
      <c r="M50" s="618"/>
      <c r="N50" s="618"/>
      <c r="O50" s="618"/>
      <c r="P50" s="618"/>
      <c r="Q50" s="618"/>
      <c r="R50" s="618"/>
      <c r="S50" s="618"/>
      <c r="T50" s="618"/>
      <c r="U50" s="618"/>
      <c r="V50" s="618"/>
      <c r="W50" s="618"/>
      <c r="X50" s="618"/>
      <c r="Y50" s="618"/>
      <c r="Z50" s="12"/>
      <c r="AA50" s="12"/>
    </row>
    <row r="51" spans="4:27" ht="24" thickTop="1" thickBot="1" x14ac:dyDescent="0.45">
      <c r="D51" s="12"/>
      <c r="E51" s="12"/>
      <c r="F51" s="613" t="s">
        <v>121</v>
      </c>
      <c r="G51" s="613"/>
      <c r="H51" s="613"/>
      <c r="I51" s="12"/>
      <c r="J51" s="12"/>
      <c r="K51" s="64" t="s">
        <v>1</v>
      </c>
      <c r="L51" s="64" t="s">
        <v>3</v>
      </c>
      <c r="M51" s="64" t="s">
        <v>4</v>
      </c>
      <c r="N51" s="64" t="s">
        <v>5</v>
      </c>
      <c r="O51" s="64" t="s">
        <v>6</v>
      </c>
      <c r="P51" s="64" t="s">
        <v>8</v>
      </c>
      <c r="Q51" s="64" t="s">
        <v>7</v>
      </c>
      <c r="R51" s="64" t="s">
        <v>9</v>
      </c>
      <c r="S51" s="64" t="s">
        <v>41</v>
      </c>
      <c r="T51" s="65" t="s">
        <v>40</v>
      </c>
      <c r="U51" s="65" t="s">
        <v>10</v>
      </c>
      <c r="V51" s="65" t="s">
        <v>39</v>
      </c>
      <c r="W51" s="65" t="s">
        <v>53</v>
      </c>
      <c r="X51" s="65" t="s">
        <v>37</v>
      </c>
      <c r="Y51" s="65" t="s">
        <v>38</v>
      </c>
      <c r="Z51" s="12"/>
      <c r="AA51" s="12"/>
    </row>
    <row r="52" spans="4:27" ht="21" thickTop="1" thickBot="1" x14ac:dyDescent="0.45">
      <c r="D52" s="12"/>
      <c r="E52" s="12"/>
      <c r="F52" s="614" t="s">
        <v>39</v>
      </c>
      <c r="G52" s="614"/>
      <c r="H52" s="60">
        <f>V52</f>
        <v>95.986547085201792</v>
      </c>
      <c r="I52" s="12"/>
      <c r="J52" s="12"/>
      <c r="K52" s="28">
        <v>13.97</v>
      </c>
      <c r="L52" s="28">
        <v>3.4</v>
      </c>
      <c r="M52" s="28">
        <v>2.16</v>
      </c>
      <c r="N52" s="28">
        <v>42.81</v>
      </c>
      <c r="O52" s="28">
        <v>1.65</v>
      </c>
      <c r="P52" s="28">
        <v>0.26</v>
      </c>
      <c r="Q52" s="28">
        <v>0.49</v>
      </c>
      <c r="R52" s="28">
        <v>0.2</v>
      </c>
      <c r="S52" s="28">
        <v>0.01</v>
      </c>
      <c r="T52" s="59">
        <f>0.786*N52+1.1*O52+0.2</f>
        <v>35.663660000000007</v>
      </c>
      <c r="U52" s="59">
        <f>SUM(K52:T52)</f>
        <v>100.61366000000001</v>
      </c>
      <c r="V52" s="60">
        <f>N52*100/(2.8*K52+1.2*L52+0.65*M52)</f>
        <v>95.986547085201792</v>
      </c>
      <c r="W52" s="59">
        <f>N52/(K52+L52+M52)</f>
        <v>2.1920122887864824</v>
      </c>
      <c r="X52" s="60">
        <f>K52/(L52+M52)</f>
        <v>2.5125899280575537</v>
      </c>
      <c r="Y52" s="60">
        <f>L52/M52</f>
        <v>1.574074074074074</v>
      </c>
      <c r="Z52" s="12"/>
      <c r="AA52" s="12"/>
    </row>
    <row r="53" spans="4:27" ht="24" thickTop="1" thickBot="1" x14ac:dyDescent="0.45">
      <c r="D53" s="12"/>
      <c r="E53" s="12"/>
      <c r="F53" s="614" t="s">
        <v>38</v>
      </c>
      <c r="G53" s="614"/>
      <c r="H53" s="60">
        <f>Y52</f>
        <v>1.574074074074074</v>
      </c>
      <c r="I53" s="12"/>
      <c r="J53" s="12"/>
      <c r="K53" s="615" t="s">
        <v>124</v>
      </c>
      <c r="L53" s="615"/>
      <c r="M53" s="615"/>
      <c r="N53" s="615"/>
      <c r="O53" s="615"/>
      <c r="P53" s="615"/>
      <c r="Q53" s="615"/>
      <c r="R53" s="615"/>
      <c r="S53" s="615"/>
      <c r="T53" s="615"/>
      <c r="U53" s="615"/>
      <c r="V53" s="615"/>
      <c r="W53" s="615"/>
      <c r="X53" s="615"/>
      <c r="Y53" s="615"/>
      <c r="Z53" s="12"/>
      <c r="AA53" s="12"/>
    </row>
    <row r="54" spans="4:27" ht="24" thickTop="1" thickBot="1" x14ac:dyDescent="0.45">
      <c r="D54" s="12"/>
      <c r="E54" s="12"/>
      <c r="F54" s="616" t="s">
        <v>47</v>
      </c>
      <c r="G54" s="617"/>
      <c r="H54" s="68">
        <v>2.1000000000000001E-2</v>
      </c>
      <c r="I54" s="12"/>
      <c r="J54" s="12"/>
      <c r="K54" s="29">
        <v>51.910012874140349</v>
      </c>
      <c r="L54" s="29">
        <v>24.189980517995103</v>
      </c>
      <c r="M54" s="29">
        <v>6.7227097100043149</v>
      </c>
      <c r="N54" s="29">
        <v>8.1274517505998443</v>
      </c>
      <c r="O54" s="29">
        <v>1.1075203400231253</v>
      </c>
      <c r="P54" s="29">
        <v>0.2</v>
      </c>
      <c r="Q54" s="29">
        <v>0.9</v>
      </c>
      <c r="R54" s="29">
        <v>4.2</v>
      </c>
      <c r="S54" s="29">
        <v>0.01</v>
      </c>
      <c r="T54" s="29">
        <v>1.5</v>
      </c>
      <c r="U54" s="61">
        <f>SUM(K54:T54)</f>
        <v>98.867675192762746</v>
      </c>
      <c r="V54" s="61">
        <f t="shared" ref="V54" si="15">N54*100/(2.8*K54+1.2*L54+0.65*M54)</f>
        <v>4.5469336530875761</v>
      </c>
      <c r="W54" s="61">
        <f t="shared" ref="W54" si="16">N54/(K54+L54+M54)</f>
        <v>9.8130723173533663E-2</v>
      </c>
      <c r="X54" s="61">
        <f t="shared" ref="X54" si="17">K54/(L54+M54)</f>
        <v>1.6792460472146948</v>
      </c>
      <c r="Y54" s="61">
        <f t="shared" ref="Y54" si="18">L54/M54</f>
        <v>3.5982485577202734</v>
      </c>
      <c r="Z54" s="12"/>
      <c r="AA54" s="12"/>
    </row>
    <row r="55" spans="4:27" ht="24" thickTop="1" thickBot="1" x14ac:dyDescent="0.5">
      <c r="D55" s="12"/>
      <c r="E55" s="12"/>
      <c r="F55" s="604" t="s">
        <v>122</v>
      </c>
      <c r="G55" s="604"/>
      <c r="H55" s="67" t="s">
        <v>132</v>
      </c>
      <c r="I55" s="12"/>
      <c r="J55" s="12"/>
      <c r="K55" s="605" t="s">
        <v>123</v>
      </c>
      <c r="L55" s="605"/>
      <c r="M55" s="605"/>
      <c r="N55" s="605"/>
      <c r="O55" s="605"/>
      <c r="P55" s="605"/>
      <c r="Q55" s="605"/>
      <c r="R55" s="605"/>
      <c r="S55" s="605"/>
      <c r="T55" s="605"/>
      <c r="U55" s="605"/>
      <c r="V55" s="605"/>
      <c r="W55" s="605"/>
      <c r="X55" s="605"/>
      <c r="Y55" s="605"/>
      <c r="Z55" s="70"/>
      <c r="AA55" s="12"/>
    </row>
    <row r="56" spans="4:27" ht="24" thickTop="1" thickBot="1" x14ac:dyDescent="0.45">
      <c r="D56" s="12"/>
      <c r="E56" s="12"/>
      <c r="F56" s="12"/>
      <c r="G56" s="12"/>
      <c r="H56" s="12"/>
      <c r="I56" s="12"/>
      <c r="J56" s="12"/>
      <c r="K56" s="64" t="s">
        <v>1</v>
      </c>
      <c r="L56" s="64" t="s">
        <v>3</v>
      </c>
      <c r="M56" s="64" t="s">
        <v>4</v>
      </c>
      <c r="N56" s="64" t="s">
        <v>5</v>
      </c>
      <c r="O56" s="64" t="s">
        <v>6</v>
      </c>
      <c r="P56" s="64" t="s">
        <v>8</v>
      </c>
      <c r="Q56" s="64" t="s">
        <v>7</v>
      </c>
      <c r="R56" s="64" t="s">
        <v>9</v>
      </c>
      <c r="S56" s="64" t="s">
        <v>41</v>
      </c>
      <c r="T56" s="606" t="s">
        <v>10</v>
      </c>
      <c r="U56" s="606"/>
      <c r="V56" s="65" t="s">
        <v>39</v>
      </c>
      <c r="W56" s="65" t="s">
        <v>53</v>
      </c>
      <c r="X56" s="65" t="s">
        <v>37</v>
      </c>
      <c r="Y56" s="65" t="s">
        <v>38</v>
      </c>
      <c r="Z56" s="12"/>
      <c r="AA56" s="12"/>
    </row>
    <row r="57" spans="4:27" ht="21" thickTop="1" thickBot="1" x14ac:dyDescent="0.45">
      <c r="D57" s="12"/>
      <c r="E57" s="12"/>
      <c r="F57" s="12"/>
      <c r="G57" s="12"/>
      <c r="H57" s="12"/>
      <c r="I57" s="12"/>
      <c r="J57" s="12"/>
      <c r="K57" s="59">
        <f>(1/(1-T52/100))*K52*(1-H54)+K54*H54</f>
        <v>22.348127123662564</v>
      </c>
      <c r="L57" s="59">
        <f>(1/(1-T52/100))*L52*(1-H54)+L54*H54</f>
        <v>5.6817374291913598</v>
      </c>
      <c r="M57" s="59">
        <f>(1/(1-T52/100))*M52*(1-H54)+M54*H54</f>
        <v>3.4280284717798204</v>
      </c>
      <c r="N57" s="59">
        <f>(1/(1-T52/100))*N52*(1-H54)+N54*H54</f>
        <v>65.314248533291831</v>
      </c>
      <c r="O57" s="59">
        <f>(1/(1-T52/100))*O52*(1-H54)+O54*H54</f>
        <v>2.534047319263196</v>
      </c>
      <c r="P57" s="59">
        <f>(1/(1-T52/100))*P52*(1-H54)+P54*H54</f>
        <v>0.3998395405769119</v>
      </c>
      <c r="Q57" s="59">
        <f t="shared" ref="Q57" si="19">(1/(1-Z52/100))*Q52*(1-N59)+Q54*N59</f>
        <v>0.49</v>
      </c>
      <c r="R57" s="59">
        <f>(1/(1-T52/100))*R52*(1-H54)+R54*H54</f>
        <v>0.39253810813608614</v>
      </c>
      <c r="S57" s="59">
        <f>(1/(1-T52/100))*S52*(1-H54)+S54*H54</f>
        <v>1.5426905406804305E-2</v>
      </c>
      <c r="T57" s="607">
        <f>SUM(K57:S57)</f>
        <v>100.60399343130855</v>
      </c>
      <c r="U57" s="607"/>
      <c r="V57" s="60">
        <f>N57*100/(2.8*K57+1.2*L57+0.65*M57)</f>
        <v>91.194194989144691</v>
      </c>
      <c r="W57" s="59">
        <f>N57/(K57+L57+M57)</f>
        <v>2.0762435831969475</v>
      </c>
      <c r="X57" s="60">
        <f>K57/(L57+M57)</f>
        <v>2.4532054244423627</v>
      </c>
      <c r="Y57" s="60">
        <f>L57/M57</f>
        <v>1.657435892369185</v>
      </c>
      <c r="Z57" s="12"/>
      <c r="AA57" s="12"/>
    </row>
    <row r="58" spans="4:27" ht="24" thickTop="1" thickBot="1" x14ac:dyDescent="0.5">
      <c r="D58" s="12"/>
      <c r="E58" s="12"/>
      <c r="F58" s="12"/>
      <c r="G58" s="12"/>
      <c r="H58" s="12"/>
      <c r="I58" s="12"/>
      <c r="J58" s="12"/>
      <c r="K58" s="608" t="s">
        <v>152</v>
      </c>
      <c r="L58" s="608" t="s">
        <v>54</v>
      </c>
      <c r="M58" s="609" t="s">
        <v>151</v>
      </c>
      <c r="N58" s="610" t="s">
        <v>56</v>
      </c>
      <c r="O58" s="610" t="s">
        <v>57</v>
      </c>
      <c r="P58" s="611" t="s">
        <v>58</v>
      </c>
      <c r="Q58" s="611"/>
      <c r="R58" s="611"/>
      <c r="S58" s="611"/>
      <c r="T58" s="612" t="s">
        <v>134</v>
      </c>
      <c r="U58" s="612" t="s">
        <v>59</v>
      </c>
      <c r="V58" s="612" t="s">
        <v>128</v>
      </c>
      <c r="W58" s="612" t="s">
        <v>60</v>
      </c>
      <c r="X58" s="611" t="s">
        <v>61</v>
      </c>
      <c r="Y58" s="611"/>
      <c r="Z58" s="12"/>
      <c r="AA58" s="12"/>
    </row>
    <row r="59" spans="4:27" ht="24" thickTop="1" thickBot="1" x14ac:dyDescent="0.45">
      <c r="D59" s="12"/>
      <c r="E59" s="12"/>
      <c r="F59" s="12"/>
      <c r="G59" s="12"/>
      <c r="H59" s="12"/>
      <c r="I59" s="12"/>
      <c r="J59" s="12"/>
      <c r="K59" s="608"/>
      <c r="L59" s="608"/>
      <c r="M59" s="609"/>
      <c r="N59" s="610"/>
      <c r="O59" s="610"/>
      <c r="P59" s="66" t="s">
        <v>62</v>
      </c>
      <c r="Q59" s="66" t="s">
        <v>63</v>
      </c>
      <c r="R59" s="66" t="s">
        <v>64</v>
      </c>
      <c r="S59" s="66" t="s">
        <v>65</v>
      </c>
      <c r="T59" s="612"/>
      <c r="U59" s="612"/>
      <c r="V59" s="612"/>
      <c r="W59" s="612"/>
      <c r="X59" s="66" t="s">
        <v>66</v>
      </c>
      <c r="Y59" s="66" t="s">
        <v>40</v>
      </c>
      <c r="Z59" s="12"/>
      <c r="AA59" s="12"/>
    </row>
    <row r="60" spans="4:27" ht="21" thickTop="1" thickBot="1" x14ac:dyDescent="0.45">
      <c r="D60" s="12"/>
      <c r="E60" s="12"/>
      <c r="F60" s="12"/>
      <c r="G60" s="12"/>
      <c r="H60" s="12"/>
      <c r="I60" s="12"/>
      <c r="J60" s="12"/>
      <c r="K60" s="30">
        <v>1.25</v>
      </c>
      <c r="L60" s="30">
        <v>1.8</v>
      </c>
      <c r="M60" s="32" t="s">
        <v>131</v>
      </c>
      <c r="N60" s="59">
        <f>((O60/100)-(Y60/100))/((O60/100)-(O60/100)*(Y60/100))*100</f>
        <v>96.166062000057735</v>
      </c>
      <c r="O60" s="31">
        <v>34.39</v>
      </c>
      <c r="P60" s="60">
        <f>4.071*(N57-L60)-7.6024*K57-6.718*L57-1.4297*M57</f>
        <v>45.596139778687601</v>
      </c>
      <c r="Q60" s="60">
        <f>8.6024*K57+5.0683*L57+1.0785*M57-3.071*(N57-L60)</f>
        <v>29.689150042040694</v>
      </c>
      <c r="R60" s="60">
        <f>2.65*L57-1.692*M57</f>
        <v>9.2563800131056464</v>
      </c>
      <c r="S60" s="60">
        <f>3.0432*M57</f>
        <v>10.432176245320349</v>
      </c>
      <c r="T60" s="59">
        <f>R57/(Q57+0.5*P57)</f>
        <v>0.56896196491363871</v>
      </c>
      <c r="U60" s="59">
        <f>P57+(0.658*Q57)</f>
        <v>0.72225954057691188</v>
      </c>
      <c r="V60" s="59">
        <f>3*L57+2.25*M57+O57+P57+Q57+R57</f>
        <v>28.57470131705487</v>
      </c>
      <c r="W60" s="59">
        <f>R60+S60+(Q60*0.2)+(2*M57)</f>
        <v>32.482443210393775</v>
      </c>
      <c r="X60" s="31">
        <v>1</v>
      </c>
      <c r="Y60" s="30">
        <v>1.97</v>
      </c>
      <c r="Z60" s="12"/>
      <c r="AA60" s="12"/>
    </row>
    <row r="61" spans="4:27" ht="20.25" thickTop="1" x14ac:dyDescent="0.4">
      <c r="D61" s="12"/>
      <c r="E61" s="12"/>
      <c r="F61" s="12"/>
      <c r="G61" s="12"/>
      <c r="H61" s="70"/>
      <c r="I61" s="70"/>
      <c r="J61" s="7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4:27" x14ac:dyDescent="0.4">
      <c r="D62" s="12"/>
      <c r="E62" s="12"/>
      <c r="F62" s="12"/>
      <c r="G62" s="12"/>
      <c r="H62" s="70"/>
      <c r="I62" s="70"/>
      <c r="J62" s="7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4:27" x14ac:dyDescent="0.4">
      <c r="D63" s="12"/>
      <c r="E63" s="12"/>
      <c r="F63" s="12"/>
      <c r="G63" s="12"/>
      <c r="H63" s="70"/>
      <c r="I63" s="70"/>
      <c r="J63" s="7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4:27" x14ac:dyDescent="0.4">
      <c r="D64" s="12"/>
      <c r="E64" s="12"/>
      <c r="F64" s="12"/>
      <c r="G64" s="12"/>
      <c r="H64" s="70"/>
      <c r="I64" s="70"/>
      <c r="J64" s="7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</sheetData>
  <mergeCells count="104">
    <mergeCell ref="E34:E35"/>
    <mergeCell ref="F34:G35"/>
    <mergeCell ref="F55:G55"/>
    <mergeCell ref="K55:Y55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V58:V59"/>
    <mergeCell ref="W58:W59"/>
    <mergeCell ref="X58:Y58"/>
    <mergeCell ref="F51:H51"/>
    <mergeCell ref="F52:G52"/>
    <mergeCell ref="F53:G53"/>
    <mergeCell ref="K53:Y53"/>
    <mergeCell ref="F54:G54"/>
    <mergeCell ref="K50:Y50"/>
    <mergeCell ref="E45:F45"/>
    <mergeCell ref="E46:F46"/>
    <mergeCell ref="E47:F47"/>
    <mergeCell ref="E48:F48"/>
    <mergeCell ref="E49:F49"/>
    <mergeCell ref="X42:X44"/>
    <mergeCell ref="Y42:Y44"/>
    <mergeCell ref="H43:H44"/>
    <mergeCell ref="I43:I44"/>
    <mergeCell ref="J43:J44"/>
    <mergeCell ref="Q42:Q44"/>
    <mergeCell ref="R42:R44"/>
    <mergeCell ref="S42:S44"/>
    <mergeCell ref="V42:V44"/>
    <mergeCell ref="W42:W44"/>
    <mergeCell ref="E40:Y40"/>
    <mergeCell ref="E41:F44"/>
    <mergeCell ref="G41:G44"/>
    <mergeCell ref="H41:J42"/>
    <mergeCell ref="K41:S41"/>
    <mergeCell ref="T41:T44"/>
    <mergeCell ref="U41:U44"/>
    <mergeCell ref="V41:Y41"/>
    <mergeCell ref="K42:K44"/>
    <mergeCell ref="L42:L44"/>
    <mergeCell ref="M42:M44"/>
    <mergeCell ref="N42:N44"/>
    <mergeCell ref="O42:O44"/>
    <mergeCell ref="P42:P44"/>
    <mergeCell ref="F18:G18"/>
    <mergeCell ref="K18:Y18"/>
    <mergeCell ref="K20:Y20"/>
    <mergeCell ref="T21:U21"/>
    <mergeCell ref="T22:U22"/>
    <mergeCell ref="K23:K24"/>
    <mergeCell ref="L23:L24"/>
    <mergeCell ref="M23:M24"/>
    <mergeCell ref="N23:N24"/>
    <mergeCell ref="O23:O24"/>
    <mergeCell ref="F19:G19"/>
    <mergeCell ref="F20:G20"/>
    <mergeCell ref="P23:S23"/>
    <mergeCell ref="T23:T24"/>
    <mergeCell ref="U23:U24"/>
    <mergeCell ref="V23:V24"/>
    <mergeCell ref="W23:W24"/>
    <mergeCell ref="X23:Y23"/>
    <mergeCell ref="M8:M9"/>
    <mergeCell ref="N8:N9"/>
    <mergeCell ref="O8:O9"/>
    <mergeCell ref="P8:P9"/>
    <mergeCell ref="Q8:Q9"/>
    <mergeCell ref="R8:R9"/>
    <mergeCell ref="S8:S9"/>
    <mergeCell ref="V6:Y7"/>
    <mergeCell ref="V8:V9"/>
    <mergeCell ref="W8:W9"/>
    <mergeCell ref="X8:X9"/>
    <mergeCell ref="Y8:Y9"/>
    <mergeCell ref="E4:Y5"/>
    <mergeCell ref="L34:M35"/>
    <mergeCell ref="P34:Q35"/>
    <mergeCell ref="E6:F9"/>
    <mergeCell ref="G6:G9"/>
    <mergeCell ref="H6:J7"/>
    <mergeCell ref="T6:T9"/>
    <mergeCell ref="U6:U9"/>
    <mergeCell ref="H8:H9"/>
    <mergeCell ref="I8:I9"/>
    <mergeCell ref="F17:G17"/>
    <mergeCell ref="E10:F10"/>
    <mergeCell ref="E11:F11"/>
    <mergeCell ref="E12:F12"/>
    <mergeCell ref="E13:F13"/>
    <mergeCell ref="E14:F14"/>
    <mergeCell ref="K15:Y15"/>
    <mergeCell ref="F16:H16"/>
    <mergeCell ref="J8:J9"/>
    <mergeCell ref="K6:S7"/>
    <mergeCell ref="K8:K9"/>
    <mergeCell ref="L8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Z87"/>
  <sheetViews>
    <sheetView topLeftCell="A4" zoomScale="60" zoomScaleNormal="60" workbookViewId="0">
      <selection activeCell="J37" sqref="J37"/>
    </sheetView>
  </sheetViews>
  <sheetFormatPr defaultRowHeight="19.5" x14ac:dyDescent="0.4"/>
  <cols>
    <col min="1" max="3" width="9.140625" style="69"/>
    <col min="4" max="4" width="9.7109375" style="69" bestFit="1" customWidth="1"/>
    <col min="5" max="5" width="24.7109375" style="69" customWidth="1"/>
    <col min="6" max="6" width="21.140625" style="69" bestFit="1" customWidth="1"/>
    <col min="7" max="7" width="20.42578125" style="69" customWidth="1"/>
    <col min="8" max="8" width="16.7109375" style="69" bestFit="1" customWidth="1"/>
    <col min="9" max="9" width="17.28515625" style="69" bestFit="1" customWidth="1"/>
    <col min="10" max="10" width="17" style="69" customWidth="1"/>
    <col min="11" max="11" width="9.140625" style="69"/>
    <col min="12" max="13" width="12.42578125" style="69" customWidth="1"/>
    <col min="14" max="16384" width="9.140625" style="69"/>
  </cols>
  <sheetData>
    <row r="3" spans="4:16" x14ac:dyDescent="0.4">
      <c r="D3" s="216"/>
      <c r="E3" s="216"/>
      <c r="F3" s="216"/>
      <c r="G3" s="216"/>
      <c r="H3" s="216" t="s">
        <v>153</v>
      </c>
      <c r="I3" s="216"/>
      <c r="J3" s="216"/>
      <c r="K3" s="216"/>
      <c r="L3" s="216"/>
      <c r="M3" s="216"/>
      <c r="N3" s="216"/>
      <c r="O3" s="216"/>
      <c r="P3" s="216"/>
    </row>
    <row r="4" spans="4:16" ht="20.25" thickBot="1" x14ac:dyDescent="0.45"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</row>
    <row r="5" spans="4:16" ht="12.75" customHeight="1" thickTop="1" x14ac:dyDescent="0.4">
      <c r="D5" s="216"/>
      <c r="E5" s="619" t="s">
        <v>168</v>
      </c>
      <c r="F5" s="620"/>
      <c r="G5" s="620"/>
      <c r="H5" s="620"/>
      <c r="I5" s="620"/>
      <c r="J5" s="621"/>
      <c r="K5" s="254"/>
      <c r="L5" s="254"/>
      <c r="M5" s="254"/>
      <c r="N5" s="254"/>
      <c r="O5" s="254"/>
      <c r="P5" s="216"/>
    </row>
    <row r="6" spans="4:16" ht="12.75" customHeight="1" x14ac:dyDescent="0.4">
      <c r="D6" s="216"/>
      <c r="E6" s="622"/>
      <c r="F6" s="623"/>
      <c r="G6" s="623"/>
      <c r="H6" s="623"/>
      <c r="I6" s="623"/>
      <c r="J6" s="624"/>
      <c r="K6" s="254"/>
      <c r="L6" s="254"/>
      <c r="M6" s="254"/>
      <c r="N6" s="254"/>
      <c r="O6" s="254"/>
      <c r="P6" s="216"/>
    </row>
    <row r="7" spans="4:16" ht="12.75" customHeight="1" x14ac:dyDescent="0.4">
      <c r="D7" s="216"/>
      <c r="E7" s="622"/>
      <c r="F7" s="623"/>
      <c r="G7" s="623"/>
      <c r="H7" s="623"/>
      <c r="I7" s="623"/>
      <c r="J7" s="624"/>
      <c r="K7" s="254"/>
      <c r="L7" s="254"/>
      <c r="M7" s="254"/>
      <c r="N7" s="254"/>
      <c r="O7" s="254"/>
      <c r="P7" s="216"/>
    </row>
    <row r="8" spans="4:16" ht="20.25" thickBot="1" x14ac:dyDescent="0.45">
      <c r="D8" s="216"/>
      <c r="E8" s="625"/>
      <c r="F8" s="626"/>
      <c r="G8" s="626"/>
      <c r="H8" s="626"/>
      <c r="I8" s="626"/>
      <c r="J8" s="627"/>
      <c r="K8" s="255"/>
      <c r="L8" s="255"/>
      <c r="M8" s="255"/>
      <c r="N8" s="255"/>
      <c r="O8" s="255"/>
      <c r="P8" s="216"/>
    </row>
    <row r="9" spans="4:16" ht="21.75" thickTop="1" thickBot="1" x14ac:dyDescent="0.45">
      <c r="D9" s="216"/>
      <c r="E9" s="647" t="s">
        <v>44</v>
      </c>
      <c r="F9" s="648"/>
      <c r="G9" s="648"/>
      <c r="H9" s="649"/>
      <c r="I9" s="649"/>
      <c r="J9" s="650"/>
      <c r="K9" s="256"/>
      <c r="L9" s="256"/>
      <c r="M9" s="256"/>
      <c r="N9" s="256"/>
      <c r="O9" s="256"/>
      <c r="P9" s="216"/>
    </row>
    <row r="10" spans="4:16" ht="22.5" thickTop="1" thickBot="1" x14ac:dyDescent="0.45">
      <c r="D10" s="216"/>
      <c r="E10" s="672" t="s">
        <v>42</v>
      </c>
      <c r="F10" s="673"/>
      <c r="G10" s="674"/>
      <c r="H10" s="680">
        <v>90</v>
      </c>
      <c r="I10" s="681"/>
      <c r="J10" s="682"/>
      <c r="K10" s="256"/>
      <c r="L10" s="256"/>
      <c r="M10" s="256"/>
      <c r="N10" s="256"/>
      <c r="O10" s="256"/>
      <c r="P10" s="216"/>
    </row>
    <row r="11" spans="4:16" ht="22.5" thickTop="1" thickBot="1" x14ac:dyDescent="0.45">
      <c r="D11" s="216"/>
      <c r="E11" s="685" t="s">
        <v>43</v>
      </c>
      <c r="F11" s="686"/>
      <c r="G11" s="687"/>
      <c r="H11" s="677">
        <v>1.5</v>
      </c>
      <c r="I11" s="678"/>
      <c r="J11" s="679"/>
      <c r="K11" s="257"/>
      <c r="L11" s="258"/>
      <c r="M11" s="216"/>
      <c r="N11" s="216"/>
      <c r="O11" s="216"/>
      <c r="P11" s="216"/>
    </row>
    <row r="12" spans="4:16" ht="21" thickTop="1" thickBot="1" x14ac:dyDescent="0.45">
      <c r="D12" s="216"/>
      <c r="E12" s="688" t="s">
        <v>2</v>
      </c>
      <c r="F12" s="378" t="s">
        <v>11</v>
      </c>
      <c r="G12" s="379" t="s">
        <v>26</v>
      </c>
      <c r="H12" s="283" t="s">
        <v>27</v>
      </c>
      <c r="I12" s="675" t="s">
        <v>0</v>
      </c>
      <c r="J12" s="676"/>
      <c r="K12" s="216"/>
      <c r="L12" s="690" t="s">
        <v>12</v>
      </c>
      <c r="M12" s="690"/>
      <c r="N12" s="690"/>
      <c r="O12" s="690"/>
      <c r="P12" s="216"/>
    </row>
    <row r="13" spans="4:16" ht="21" thickTop="1" thickBot="1" x14ac:dyDescent="0.45">
      <c r="D13" s="216"/>
      <c r="E13" s="689"/>
      <c r="F13" s="284">
        <v>82.75</v>
      </c>
      <c r="G13" s="285">
        <v>17.170000000000002</v>
      </c>
      <c r="H13" s="286">
        <v>0.08</v>
      </c>
      <c r="I13" s="663">
        <f>SUM(F13:H13)</f>
        <v>100</v>
      </c>
      <c r="J13" s="664"/>
      <c r="K13" s="216"/>
      <c r="L13" s="304" t="s">
        <v>13</v>
      </c>
      <c r="M13" s="667">
        <v>1</v>
      </c>
      <c r="N13" s="667"/>
      <c r="O13" s="667"/>
      <c r="P13" s="216"/>
    </row>
    <row r="14" spans="4:16" ht="21" thickTop="1" thickBot="1" x14ac:dyDescent="0.45">
      <c r="D14" s="216"/>
      <c r="E14" s="287" t="s">
        <v>1</v>
      </c>
      <c r="F14" s="288">
        <v>3.24</v>
      </c>
      <c r="G14" s="289">
        <v>74.98</v>
      </c>
      <c r="H14" s="290">
        <v>9.16</v>
      </c>
      <c r="I14" s="654">
        <f>(F13*F14+G13*G14+H13*H14)/I13</f>
        <v>15.562494000000004</v>
      </c>
      <c r="J14" s="655"/>
      <c r="K14" s="216"/>
      <c r="L14" s="304" t="s">
        <v>14</v>
      </c>
      <c r="M14" s="667">
        <v>1</v>
      </c>
      <c r="N14" s="667"/>
      <c r="O14" s="667"/>
      <c r="P14" s="216"/>
    </row>
    <row r="15" spans="4:16" ht="21" thickTop="1" thickBot="1" x14ac:dyDescent="0.45">
      <c r="D15" s="216"/>
      <c r="E15" s="287" t="s">
        <v>3</v>
      </c>
      <c r="F15" s="288">
        <v>0.79</v>
      </c>
      <c r="G15" s="289">
        <v>8.8000000000000007</v>
      </c>
      <c r="H15" s="290">
        <v>2</v>
      </c>
      <c r="I15" s="654">
        <f>(F13*F15+G13*G15+H13*H15)/I13</f>
        <v>2.1662850000000002</v>
      </c>
      <c r="J15" s="655"/>
      <c r="K15" s="216"/>
      <c r="L15" s="304" t="s">
        <v>15</v>
      </c>
      <c r="M15" s="667">
        <v>1</v>
      </c>
      <c r="N15" s="667"/>
      <c r="O15" s="667"/>
      <c r="P15" s="216"/>
    </row>
    <row r="16" spans="4:16" ht="21" thickTop="1" thickBot="1" x14ac:dyDescent="0.45">
      <c r="D16" s="216"/>
      <c r="E16" s="287" t="s">
        <v>4</v>
      </c>
      <c r="F16" s="288">
        <v>0.38</v>
      </c>
      <c r="G16" s="289">
        <v>6.2</v>
      </c>
      <c r="H16" s="290">
        <v>83.04</v>
      </c>
      <c r="I16" s="654">
        <f>(F13*F16+G13*G16+H13*H16)/I13</f>
        <v>1.445422</v>
      </c>
      <c r="J16" s="655"/>
      <c r="K16" s="216"/>
      <c r="L16" s="304" t="s">
        <v>16</v>
      </c>
      <c r="M16" s="667">
        <v>100</v>
      </c>
      <c r="N16" s="667"/>
      <c r="O16" s="667"/>
      <c r="P16" s="216"/>
    </row>
    <row r="17" spans="4:16" ht="21" thickTop="1" thickBot="1" x14ac:dyDescent="0.45">
      <c r="D17" s="216"/>
      <c r="E17" s="287" t="s">
        <v>5</v>
      </c>
      <c r="F17" s="288">
        <v>51</v>
      </c>
      <c r="G17" s="289">
        <v>0.98</v>
      </c>
      <c r="H17" s="290">
        <v>0.06</v>
      </c>
      <c r="I17" s="654">
        <f>(F13*F17+G13*G17+H13*H17)/I13</f>
        <v>42.370814000000003</v>
      </c>
      <c r="J17" s="655"/>
      <c r="K17" s="216"/>
      <c r="L17" s="304" t="s">
        <v>17</v>
      </c>
      <c r="M17" s="667">
        <f>(H11*F16)-F15</f>
        <v>-0.21999999999999997</v>
      </c>
      <c r="N17" s="667"/>
      <c r="O17" s="667"/>
      <c r="P17" s="216"/>
    </row>
    <row r="18" spans="4:16" ht="21" thickTop="1" thickBot="1" x14ac:dyDescent="0.45">
      <c r="D18" s="216"/>
      <c r="E18" s="287" t="s">
        <v>6</v>
      </c>
      <c r="F18" s="291">
        <v>1.24</v>
      </c>
      <c r="G18" s="292">
        <v>0.24</v>
      </c>
      <c r="H18" s="293">
        <v>0.41</v>
      </c>
      <c r="I18" s="654">
        <f>(F13*F18+G13*G18+H13*H18)/I13</f>
        <v>1.067636</v>
      </c>
      <c r="J18" s="655"/>
      <c r="K18" s="216"/>
      <c r="L18" s="304" t="s">
        <v>18</v>
      </c>
      <c r="M18" s="667">
        <f>(H11*G16)-G15</f>
        <v>0.5</v>
      </c>
      <c r="N18" s="667"/>
      <c r="O18" s="667"/>
      <c r="P18" s="216"/>
    </row>
    <row r="19" spans="4:16" ht="21" thickTop="1" thickBot="1" x14ac:dyDescent="0.45">
      <c r="D19" s="216"/>
      <c r="E19" s="287" t="s">
        <v>8</v>
      </c>
      <c r="F19" s="291">
        <v>0.5</v>
      </c>
      <c r="G19" s="292">
        <v>0.3</v>
      </c>
      <c r="H19" s="293">
        <v>0.2</v>
      </c>
      <c r="I19" s="654">
        <f>(F13*F19+G13*G19+H13*H19)/I13</f>
        <v>0.46542</v>
      </c>
      <c r="J19" s="655"/>
      <c r="K19" s="216"/>
      <c r="L19" s="304" t="s">
        <v>19</v>
      </c>
      <c r="M19" s="667">
        <f>(H11*H16)-H15</f>
        <v>122.56</v>
      </c>
      <c r="N19" s="667"/>
      <c r="O19" s="667"/>
      <c r="P19" s="216"/>
    </row>
    <row r="20" spans="4:16" ht="21" thickTop="1" thickBot="1" x14ac:dyDescent="0.45">
      <c r="D20" s="216"/>
      <c r="E20" s="287" t="s">
        <v>7</v>
      </c>
      <c r="F20" s="291">
        <v>0.2</v>
      </c>
      <c r="G20" s="292">
        <v>0.2</v>
      </c>
      <c r="H20" s="293">
        <v>0.1</v>
      </c>
      <c r="I20" s="654">
        <f>(F13*F20+G13*G20+H13*H20)/I13</f>
        <v>0.19992000000000001</v>
      </c>
      <c r="J20" s="655"/>
      <c r="K20" s="216"/>
      <c r="L20" s="304" t="s">
        <v>20</v>
      </c>
      <c r="M20" s="667">
        <v>0</v>
      </c>
      <c r="N20" s="667"/>
      <c r="O20" s="667"/>
      <c r="P20" s="216"/>
    </row>
    <row r="21" spans="4:16" ht="21" thickTop="1" thickBot="1" x14ac:dyDescent="0.45">
      <c r="D21" s="216"/>
      <c r="E21" s="287" t="s">
        <v>9</v>
      </c>
      <c r="F21" s="291">
        <v>0.1</v>
      </c>
      <c r="G21" s="292">
        <v>0.2</v>
      </c>
      <c r="H21" s="293">
        <v>7.0000000000000007E-2</v>
      </c>
      <c r="I21" s="654">
        <f>(F13*F21+G13*G21+H13*H21)/I13</f>
        <v>0.11714600000000001</v>
      </c>
      <c r="J21" s="655"/>
      <c r="K21" s="216"/>
      <c r="L21" s="304" t="s">
        <v>21</v>
      </c>
      <c r="M21" s="667">
        <f>H10*(2.8*F14+1.18*F15+0.65*F16)-100*F17</f>
        <v>-4177.3919999999998</v>
      </c>
      <c r="N21" s="667"/>
      <c r="O21" s="667"/>
      <c r="P21" s="216"/>
    </row>
    <row r="22" spans="4:16" ht="21" thickTop="1" thickBot="1" x14ac:dyDescent="0.45">
      <c r="D22" s="216"/>
      <c r="E22" s="287" t="s">
        <v>41</v>
      </c>
      <c r="F22" s="291">
        <v>0.1</v>
      </c>
      <c r="G22" s="292">
        <v>0.2</v>
      </c>
      <c r="H22" s="293">
        <v>7.0000000000000007E-2</v>
      </c>
      <c r="I22" s="654">
        <f>(F13*F22+G13*G22+H13*H22)/I13</f>
        <v>0.11714600000000001</v>
      </c>
      <c r="J22" s="655"/>
      <c r="K22" s="216"/>
      <c r="L22" s="304" t="s">
        <v>22</v>
      </c>
      <c r="M22" s="667">
        <f>H10*(2.8*G14+1.18*G15+0.65*G16)-100*G17</f>
        <v>20094.219999999998</v>
      </c>
      <c r="N22" s="667"/>
      <c r="O22" s="667"/>
      <c r="P22" s="216"/>
    </row>
    <row r="23" spans="4:16" ht="21" thickTop="1" thickBot="1" x14ac:dyDescent="0.45">
      <c r="D23" s="216"/>
      <c r="E23" s="287" t="s">
        <v>40</v>
      </c>
      <c r="F23" s="291">
        <v>42.48</v>
      </c>
      <c r="G23" s="292">
        <v>8</v>
      </c>
      <c r="H23" s="293">
        <v>4.6500000000000004</v>
      </c>
      <c r="I23" s="654">
        <f>(F13*F23+G13*G23+H13*H23)/I13</f>
        <v>36.529519999999998</v>
      </c>
      <c r="J23" s="655"/>
      <c r="K23" s="216"/>
      <c r="L23" s="304" t="s">
        <v>23</v>
      </c>
      <c r="M23" s="667">
        <f>H10*(2.8*H14+1.18*H15+0.65*H16)-100*H17</f>
        <v>7372.56</v>
      </c>
      <c r="N23" s="667"/>
      <c r="O23" s="667"/>
      <c r="P23" s="216"/>
    </row>
    <row r="24" spans="4:16" ht="21" thickTop="1" thickBot="1" x14ac:dyDescent="0.45">
      <c r="D24" s="216"/>
      <c r="E24" s="294" t="s">
        <v>10</v>
      </c>
      <c r="F24" s="295">
        <f>SUM(F14:F23)</f>
        <v>100.03</v>
      </c>
      <c r="G24" s="295">
        <f>SUM(G14:G23)</f>
        <v>100.10000000000001</v>
      </c>
      <c r="H24" s="295">
        <f>SUM(H14:H23)</f>
        <v>99.759999999999991</v>
      </c>
      <c r="I24" s="683">
        <f>SUM(I14:I23)</f>
        <v>100.041803</v>
      </c>
      <c r="J24" s="684"/>
      <c r="K24" s="216"/>
      <c r="L24" s="304" t="s">
        <v>24</v>
      </c>
      <c r="M24" s="667">
        <v>0</v>
      </c>
      <c r="N24" s="667"/>
      <c r="O24" s="667"/>
      <c r="P24" s="216"/>
    </row>
    <row r="25" spans="4:16" ht="21" thickTop="1" thickBot="1" x14ac:dyDescent="0.45">
      <c r="D25" s="216"/>
      <c r="E25" s="384" t="s">
        <v>39</v>
      </c>
      <c r="F25" s="296">
        <f>100*F17/(2.8*F14+1.18*F15+0.65*F16)</f>
        <v>497.50273138754494</v>
      </c>
      <c r="G25" s="296">
        <f>100*G17/(2.8*G14+1.18*G15+0.65*G16)</f>
        <v>0.43680189696823829</v>
      </c>
      <c r="H25" s="296">
        <f>100*H17/(2.8*H14+1.18*H15+0.65*H16)</f>
        <v>7.3185011709601872E-2</v>
      </c>
      <c r="I25" s="670">
        <f>100*I17/(2.8*I14+1.18*I15+0.65*I16)</f>
        <v>90.015216634506018</v>
      </c>
      <c r="J25" s="671"/>
      <c r="K25" s="216"/>
      <c r="L25" s="304" t="s">
        <v>25</v>
      </c>
      <c r="M25" s="667">
        <f>(M13*M18*M23)+(M14*M19*M21)+(M15*M17*M22)-(M15*M18*M21)-(M13*M19*M22)-(M14*M17*M23)</f>
        <v>-2971752.5559199997</v>
      </c>
      <c r="N25" s="667"/>
      <c r="O25" s="667"/>
      <c r="P25" s="216"/>
    </row>
    <row r="26" spans="4:16" ht="21" thickTop="1" thickBot="1" x14ac:dyDescent="0.45">
      <c r="D26" s="216"/>
      <c r="E26" s="294" t="s">
        <v>37</v>
      </c>
      <c r="F26" s="296">
        <f>F14/(F15+F16)</f>
        <v>2.7692307692307696</v>
      </c>
      <c r="G26" s="296">
        <f>G14/(G15+G16)</f>
        <v>4.9986666666666668</v>
      </c>
      <c r="H26" s="296">
        <f>H14/(H15+H16)</f>
        <v>0.1077140169332079</v>
      </c>
      <c r="I26" s="668">
        <f>I14/(I15+I16)</f>
        <v>4.30890268784262</v>
      </c>
      <c r="J26" s="669"/>
      <c r="K26" s="216"/>
      <c r="L26" s="372" t="s">
        <v>148</v>
      </c>
      <c r="M26" s="216"/>
      <c r="N26" s="216"/>
      <c r="O26" s="216"/>
      <c r="P26" s="216"/>
    </row>
    <row r="27" spans="4:16" x14ac:dyDescent="0.4">
      <c r="D27" s="216"/>
      <c r="E27" s="384" t="s">
        <v>38</v>
      </c>
      <c r="F27" s="296">
        <f>F15/F16</f>
        <v>2.0789473684210527</v>
      </c>
      <c r="G27" s="296">
        <f>G15/G16</f>
        <v>1.4193548387096775</v>
      </c>
      <c r="H27" s="296">
        <f>H15/H16</f>
        <v>2.4084778420038533E-2</v>
      </c>
      <c r="I27" s="670">
        <f>I15/I16</f>
        <v>1.4987214806471745</v>
      </c>
      <c r="J27" s="671"/>
      <c r="K27" s="216"/>
      <c r="L27" s="373">
        <f>J35/(1-0.01*I35)</f>
        <v>87.102999144795007</v>
      </c>
      <c r="M27" s="216"/>
      <c r="N27" s="216"/>
      <c r="O27" s="216"/>
      <c r="P27" s="216"/>
    </row>
    <row r="28" spans="4:16" ht="21" x14ac:dyDescent="0.4">
      <c r="D28" s="216"/>
      <c r="E28" s="651" t="s">
        <v>156</v>
      </c>
      <c r="F28" s="652"/>
      <c r="G28" s="652"/>
      <c r="H28" s="652"/>
      <c r="I28" s="652"/>
      <c r="J28" s="653"/>
      <c r="K28" s="216"/>
      <c r="L28" s="374">
        <f>J36/(1-0.01*I36)</f>
        <v>18.769046457954179</v>
      </c>
      <c r="M28" s="216"/>
      <c r="N28" s="216"/>
      <c r="O28" s="216"/>
      <c r="P28" s="216"/>
    </row>
    <row r="29" spans="4:16" ht="21" thickBot="1" x14ac:dyDescent="0.45">
      <c r="D29" s="216"/>
      <c r="E29" s="691" t="str">
        <f>F12</f>
        <v>LIMESTONE</v>
      </c>
      <c r="F29" s="692"/>
      <c r="G29" s="692"/>
      <c r="H29" s="693">
        <f>(M16*M18*M23-M16*M19*M22)/M25</f>
        <v>82.747849187555246</v>
      </c>
      <c r="I29" s="693"/>
      <c r="J29" s="694"/>
      <c r="K29" s="216"/>
      <c r="L29" s="375">
        <f>J37/(1-0.01*I37)</f>
        <v>8.5112042751286587E-2</v>
      </c>
      <c r="M29" s="216"/>
      <c r="N29" s="216"/>
      <c r="O29" s="216"/>
      <c r="P29" s="216"/>
    </row>
    <row r="30" spans="4:16" ht="21.75" thickTop="1" thickBot="1" x14ac:dyDescent="0.45">
      <c r="D30" s="216"/>
      <c r="E30" s="695" t="str">
        <f>G12</f>
        <v>SHALE</v>
      </c>
      <c r="F30" s="696"/>
      <c r="G30" s="696"/>
      <c r="H30" s="701">
        <f>(M16*M19*M21-M16*M17*M23)/M25</f>
        <v>17.173677509028074</v>
      </c>
      <c r="I30" s="701"/>
      <c r="J30" s="702"/>
      <c r="K30" s="216"/>
      <c r="L30" s="302">
        <f>L27+L28+L29</f>
        <v>105.95715764550047</v>
      </c>
      <c r="M30" s="216"/>
      <c r="N30" s="216"/>
      <c r="O30" s="216"/>
      <c r="P30" s="216"/>
    </row>
    <row r="31" spans="4:16" ht="21" thickTop="1" x14ac:dyDescent="0.4">
      <c r="D31" s="216"/>
      <c r="E31" s="697" t="str">
        <f>H12</f>
        <v>IRON ORE</v>
      </c>
      <c r="F31" s="698"/>
      <c r="G31" s="698"/>
      <c r="H31" s="703">
        <f>100-H30-H29</f>
        <v>7.8473303416686235E-2</v>
      </c>
      <c r="I31" s="703"/>
      <c r="J31" s="704"/>
      <c r="K31" s="216"/>
      <c r="L31" s="216"/>
      <c r="M31" s="216"/>
      <c r="N31" s="216"/>
      <c r="O31" s="216"/>
      <c r="P31" s="216"/>
    </row>
    <row r="32" spans="4:16" ht="20.25" thickBot="1" x14ac:dyDescent="0.45">
      <c r="D32" s="216"/>
      <c r="E32" s="699" t="s">
        <v>10</v>
      </c>
      <c r="F32" s="700"/>
      <c r="G32" s="700"/>
      <c r="H32" s="705">
        <f>SUM(F29:H31)</f>
        <v>100.00000000000001</v>
      </c>
      <c r="I32" s="705"/>
      <c r="J32" s="706"/>
      <c r="K32" s="216"/>
      <c r="L32" s="216"/>
      <c r="M32" s="216"/>
      <c r="N32" s="216"/>
      <c r="O32" s="216"/>
      <c r="P32" s="216"/>
    </row>
    <row r="33" spans="3:26" ht="21.75" thickTop="1" thickBot="1" x14ac:dyDescent="0.45">
      <c r="D33" s="216"/>
      <c r="E33" s="707" t="s">
        <v>165</v>
      </c>
      <c r="F33" s="708"/>
      <c r="G33" s="708"/>
      <c r="H33" s="708"/>
      <c r="I33" s="708"/>
      <c r="J33" s="709"/>
      <c r="K33" s="216"/>
      <c r="L33" s="216"/>
      <c r="M33" s="216"/>
      <c r="N33" s="216"/>
      <c r="O33" s="216"/>
      <c r="P33" s="216"/>
    </row>
    <row r="34" spans="3:26" ht="22.5" thickBot="1" x14ac:dyDescent="0.45">
      <c r="D34" s="216"/>
      <c r="E34" s="376" t="s">
        <v>83</v>
      </c>
      <c r="F34" s="710" t="s">
        <v>166</v>
      </c>
      <c r="G34" s="711"/>
      <c r="H34" s="712"/>
      <c r="I34" s="297" t="s">
        <v>157</v>
      </c>
      <c r="J34" s="298" t="s">
        <v>158</v>
      </c>
      <c r="K34" s="216"/>
      <c r="L34" s="216"/>
      <c r="M34" s="216"/>
      <c r="N34" s="216"/>
      <c r="O34" s="216"/>
      <c r="P34" s="216"/>
    </row>
    <row r="35" spans="3:26" ht="21" thickBot="1" x14ac:dyDescent="0.45">
      <c r="D35" s="216"/>
      <c r="E35" s="369" t="str">
        <f>E29</f>
        <v>LIMESTONE</v>
      </c>
      <c r="F35" s="713">
        <f>(L27/L30)*100</f>
        <v>82.205866106954673</v>
      </c>
      <c r="G35" s="714"/>
      <c r="H35" s="715"/>
      <c r="I35" s="366">
        <v>5</v>
      </c>
      <c r="J35" s="299">
        <v>82.747849187555246</v>
      </c>
      <c r="K35" s="216"/>
      <c r="L35" s="216"/>
      <c r="M35" s="216"/>
      <c r="N35" s="216"/>
      <c r="O35" s="216"/>
      <c r="P35" s="216"/>
    </row>
    <row r="36" spans="3:26" ht="21.75" thickTop="1" thickBot="1" x14ac:dyDescent="0.45">
      <c r="D36" s="216"/>
      <c r="E36" s="370" t="str">
        <f>E30</f>
        <v>SHALE</v>
      </c>
      <c r="F36" s="716">
        <f>(L28/L30)*100</f>
        <v>17.713807047136488</v>
      </c>
      <c r="G36" s="717"/>
      <c r="H36" s="718"/>
      <c r="I36" s="367">
        <v>8.5</v>
      </c>
      <c r="J36" s="300">
        <v>17.173677509028074</v>
      </c>
      <c r="K36" s="216"/>
      <c r="L36" s="216"/>
      <c r="M36" s="216"/>
      <c r="N36" s="216"/>
      <c r="O36" s="216"/>
      <c r="P36" s="216"/>
    </row>
    <row r="37" spans="3:26" ht="21.75" thickTop="1" thickBot="1" x14ac:dyDescent="0.45">
      <c r="D37" s="216"/>
      <c r="E37" s="371" t="str">
        <f>E31</f>
        <v>IRON ORE</v>
      </c>
      <c r="F37" s="719">
        <f>(L29/L30)*100</f>
        <v>8.0326845908838804E-2</v>
      </c>
      <c r="G37" s="720"/>
      <c r="H37" s="721"/>
      <c r="I37" s="368">
        <v>7.8</v>
      </c>
      <c r="J37" s="301">
        <v>7.8473303416686235E-2</v>
      </c>
      <c r="K37" s="216"/>
      <c r="L37" s="216"/>
      <c r="M37" s="216"/>
      <c r="N37" s="216"/>
      <c r="O37" s="216"/>
      <c r="P37" s="216"/>
    </row>
    <row r="38" spans="3:26" ht="21" thickTop="1" thickBot="1" x14ac:dyDescent="0.45">
      <c r="D38" s="216"/>
      <c r="E38" s="377" t="str">
        <f>E32</f>
        <v>TOTAL</v>
      </c>
      <c r="F38" s="722">
        <f>F35+F36+F37</f>
        <v>100</v>
      </c>
      <c r="G38" s="723"/>
      <c r="H38" s="724"/>
      <c r="I38" s="302">
        <f t="shared" ref="I38:J38" si="0">I35+I36+I37</f>
        <v>21.3</v>
      </c>
      <c r="J38" s="303">
        <f t="shared" si="0"/>
        <v>100.00000000000001</v>
      </c>
      <c r="K38" s="216"/>
      <c r="L38" s="216"/>
      <c r="M38" s="216"/>
      <c r="N38" s="216"/>
      <c r="O38" s="216"/>
      <c r="P38" s="216"/>
    </row>
    <row r="39" spans="3:26" ht="20.25" thickTop="1" x14ac:dyDescent="0.4"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</row>
    <row r="42" spans="3:26" x14ac:dyDescent="0.4"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3:26" s="103" customFormat="1" x14ac:dyDescent="0.4"/>
    <row r="44" spans="3:26" x14ac:dyDescent="0.4"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</row>
    <row r="45" spans="3:26" x14ac:dyDescent="0.4"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5"/>
      <c r="P45" s="74"/>
      <c r="Q45" s="76"/>
      <c r="R45" s="76"/>
      <c r="S45" s="77"/>
      <c r="T45" s="74"/>
      <c r="U45" s="74"/>
      <c r="V45" s="74"/>
      <c r="W45" s="74"/>
      <c r="X45" s="74"/>
      <c r="Y45" s="74"/>
      <c r="Z45" s="74"/>
    </row>
    <row r="46" spans="3:26" x14ac:dyDescent="0.4">
      <c r="C46" s="74"/>
      <c r="D46" s="74"/>
      <c r="E46" s="74"/>
      <c r="F46" s="74"/>
      <c r="G46" s="74"/>
      <c r="H46" s="12"/>
      <c r="I46" s="74"/>
      <c r="J46" s="74"/>
      <c r="K46" s="74"/>
      <c r="L46" s="74"/>
      <c r="M46" s="74"/>
      <c r="N46" s="74"/>
      <c r="O46" s="75"/>
      <c r="P46" s="74"/>
      <c r="Q46" s="76"/>
      <c r="R46" s="76"/>
      <c r="S46" s="77"/>
      <c r="T46" s="74"/>
      <c r="U46" s="74"/>
      <c r="V46" s="74"/>
      <c r="W46" s="74"/>
      <c r="X46" s="74"/>
      <c r="Y46" s="74"/>
      <c r="Z46" s="74"/>
    </row>
    <row r="47" spans="3:26" x14ac:dyDescent="0.4">
      <c r="C47" s="74"/>
      <c r="D47" s="74"/>
      <c r="E47" s="74"/>
      <c r="F47" s="74"/>
      <c r="G47" s="74"/>
      <c r="H47" s="74"/>
      <c r="I47" s="74"/>
      <c r="J47" s="74"/>
      <c r="K47" s="78"/>
      <c r="L47" s="79"/>
      <c r="M47" s="79"/>
      <c r="N47" s="80"/>
      <c r="O47" s="12"/>
      <c r="P47" s="12"/>
      <c r="Q47" s="81"/>
      <c r="R47" s="82"/>
      <c r="S47" s="82"/>
      <c r="T47" s="82"/>
      <c r="U47" s="83"/>
      <c r="V47" s="84"/>
      <c r="W47" s="84"/>
      <c r="X47" s="84"/>
      <c r="Y47" s="85"/>
      <c r="Z47" s="12"/>
    </row>
    <row r="48" spans="3:26" ht="19.5" customHeight="1" x14ac:dyDescent="0.4">
      <c r="C48" s="74"/>
      <c r="D48" s="74"/>
      <c r="E48" s="645" t="s">
        <v>49</v>
      </c>
      <c r="F48" s="645"/>
      <c r="G48" s="645"/>
      <c r="H48" s="645"/>
      <c r="I48" s="645"/>
      <c r="J48" s="645"/>
      <c r="K48" s="86"/>
      <c r="L48" s="601" t="s">
        <v>137</v>
      </c>
      <c r="M48" s="602" t="s">
        <v>136</v>
      </c>
      <c r="N48" s="603"/>
      <c r="O48" s="12"/>
      <c r="P48" s="12"/>
      <c r="Q48" s="87"/>
      <c r="R48" s="88"/>
      <c r="S48" s="520" t="s">
        <v>139</v>
      </c>
      <c r="T48" s="520"/>
      <c r="U48" s="89"/>
      <c r="V48" s="90"/>
      <c r="W48" s="521" t="s">
        <v>140</v>
      </c>
      <c r="X48" s="521"/>
      <c r="Y48" s="91"/>
      <c r="Z48" s="12"/>
    </row>
    <row r="49" spans="3:26" ht="19.5" customHeight="1" x14ac:dyDescent="0.4">
      <c r="C49" s="74"/>
      <c r="D49" s="74"/>
      <c r="E49" s="645"/>
      <c r="F49" s="645"/>
      <c r="G49" s="645"/>
      <c r="H49" s="645"/>
      <c r="I49" s="645"/>
      <c r="J49" s="645"/>
      <c r="K49" s="86"/>
      <c r="L49" s="601"/>
      <c r="M49" s="602"/>
      <c r="N49" s="603"/>
      <c r="O49" s="12"/>
      <c r="P49" s="12"/>
      <c r="Q49" s="87"/>
      <c r="R49" s="88"/>
      <c r="S49" s="520"/>
      <c r="T49" s="520"/>
      <c r="U49" s="89"/>
      <c r="V49" s="90"/>
      <c r="W49" s="521"/>
      <c r="X49" s="521"/>
      <c r="Y49" s="91"/>
      <c r="Z49" s="12"/>
    </row>
    <row r="50" spans="3:26" ht="19.5" customHeight="1" x14ac:dyDescent="0.4">
      <c r="C50" s="74"/>
      <c r="D50" s="74"/>
      <c r="E50" s="645"/>
      <c r="F50" s="645"/>
      <c r="G50" s="645"/>
      <c r="H50" s="645"/>
      <c r="I50" s="645"/>
      <c r="J50" s="645"/>
      <c r="K50" s="92"/>
      <c r="L50" s="93"/>
      <c r="M50" s="93"/>
      <c r="N50" s="94"/>
      <c r="O50" s="12"/>
      <c r="P50" s="12"/>
      <c r="Q50" s="95"/>
      <c r="R50" s="96"/>
      <c r="S50" s="96"/>
      <c r="T50" s="96"/>
      <c r="U50" s="97"/>
      <c r="V50" s="98"/>
      <c r="W50" s="98"/>
      <c r="X50" s="98"/>
      <c r="Y50" s="99"/>
      <c r="Z50" s="12"/>
    </row>
    <row r="51" spans="3:26" ht="20.25" thickBot="1" x14ac:dyDescent="0.45">
      <c r="C51" s="74"/>
      <c r="D51" s="74"/>
      <c r="E51" s="100"/>
      <c r="F51" s="100"/>
      <c r="G51" s="100"/>
      <c r="H51" s="100"/>
      <c r="I51" s="100"/>
      <c r="J51" s="10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3:26" ht="26.25" thickTop="1" thickBot="1" x14ac:dyDescent="0.45">
      <c r="C52" s="74"/>
      <c r="D52" s="74"/>
      <c r="E52" s="646" t="s">
        <v>44</v>
      </c>
      <c r="F52" s="646"/>
      <c r="G52" s="646"/>
      <c r="H52" s="646"/>
      <c r="I52" s="646"/>
      <c r="J52" s="646"/>
      <c r="K52" s="100"/>
      <c r="L52" s="100"/>
      <c r="M52" s="100"/>
      <c r="N52" s="100"/>
      <c r="O52" s="100"/>
      <c r="P52" s="74"/>
      <c r="Q52" s="74"/>
    </row>
    <row r="53" spans="3:26" ht="24" thickTop="1" thickBot="1" x14ac:dyDescent="0.5">
      <c r="C53" s="74"/>
      <c r="D53" s="74"/>
      <c r="E53" s="659" t="s">
        <v>42</v>
      </c>
      <c r="F53" s="659"/>
      <c r="G53" s="659"/>
      <c r="H53" s="660">
        <v>90</v>
      </c>
      <c r="I53" s="660"/>
      <c r="J53" s="660"/>
      <c r="K53" s="100"/>
      <c r="L53" s="100"/>
      <c r="M53" s="100"/>
      <c r="N53" s="100"/>
      <c r="O53" s="100"/>
      <c r="P53" s="74"/>
      <c r="Q53" s="74"/>
    </row>
    <row r="54" spans="3:26" ht="24" thickTop="1" thickBot="1" x14ac:dyDescent="0.5">
      <c r="C54" s="74"/>
      <c r="D54" s="74"/>
      <c r="E54" s="659" t="s">
        <v>43</v>
      </c>
      <c r="F54" s="659"/>
      <c r="G54" s="659"/>
      <c r="H54" s="661">
        <v>1.5</v>
      </c>
      <c r="I54" s="661"/>
      <c r="J54" s="661"/>
      <c r="K54" s="101"/>
      <c r="L54" s="102"/>
      <c r="M54" s="74"/>
      <c r="N54" s="74"/>
      <c r="O54" s="74"/>
      <c r="P54" s="74"/>
      <c r="Q54" s="74"/>
    </row>
    <row r="55" spans="3:26" ht="24" thickTop="1" thickBot="1" x14ac:dyDescent="0.45">
      <c r="C55" s="74"/>
      <c r="D55" s="74"/>
      <c r="E55" s="662" t="s">
        <v>2</v>
      </c>
      <c r="F55" s="139" t="s">
        <v>11</v>
      </c>
      <c r="G55" s="140" t="s">
        <v>26</v>
      </c>
      <c r="H55" s="141" t="s">
        <v>27</v>
      </c>
      <c r="I55" s="662" t="s">
        <v>0</v>
      </c>
      <c r="J55" s="662"/>
      <c r="K55" s="74"/>
      <c r="L55" s="665" t="s">
        <v>12</v>
      </c>
      <c r="M55" s="665"/>
      <c r="N55" s="665"/>
      <c r="O55" s="665"/>
      <c r="P55" s="74"/>
      <c r="Q55" s="74"/>
    </row>
    <row r="56" spans="3:26" ht="21" thickTop="1" thickBot="1" x14ac:dyDescent="0.45">
      <c r="C56" s="74"/>
      <c r="D56" s="74"/>
      <c r="E56" s="662"/>
      <c r="F56" s="163">
        <v>82.75</v>
      </c>
      <c r="G56" s="164">
        <v>17.170000000000002</v>
      </c>
      <c r="H56" s="165">
        <v>0.08</v>
      </c>
      <c r="I56" s="666">
        <f>SUM(F56:H56)</f>
        <v>100</v>
      </c>
      <c r="J56" s="666"/>
      <c r="K56" s="74"/>
      <c r="L56" s="149" t="s">
        <v>13</v>
      </c>
      <c r="M56" s="656">
        <v>1</v>
      </c>
      <c r="N56" s="656"/>
      <c r="O56" s="656"/>
      <c r="P56" s="74"/>
      <c r="Q56" s="74"/>
    </row>
    <row r="57" spans="3:26" ht="24" thickTop="1" thickBot="1" x14ac:dyDescent="0.45">
      <c r="C57" s="74"/>
      <c r="D57" s="74"/>
      <c r="E57" s="142" t="s">
        <v>1</v>
      </c>
      <c r="F57" s="166">
        <v>3.24</v>
      </c>
      <c r="G57" s="167">
        <v>74.98</v>
      </c>
      <c r="H57" s="168">
        <v>9.16</v>
      </c>
      <c r="I57" s="644">
        <f>(F56*F57+G56*G57+H56*H57)/I56</f>
        <v>15.562494000000004</v>
      </c>
      <c r="J57" s="644"/>
      <c r="K57" s="74"/>
      <c r="L57" s="149" t="s">
        <v>14</v>
      </c>
      <c r="M57" s="656">
        <v>1</v>
      </c>
      <c r="N57" s="656"/>
      <c r="O57" s="656"/>
      <c r="P57" s="74"/>
      <c r="Q57" s="74"/>
    </row>
    <row r="58" spans="3:26" ht="24" thickTop="1" thickBot="1" x14ac:dyDescent="0.45">
      <c r="C58" s="74"/>
      <c r="D58" s="74"/>
      <c r="E58" s="142" t="s">
        <v>3</v>
      </c>
      <c r="F58" s="166">
        <v>0.79</v>
      </c>
      <c r="G58" s="167">
        <v>8.8000000000000007</v>
      </c>
      <c r="H58" s="168">
        <v>2</v>
      </c>
      <c r="I58" s="644">
        <f>(F56*F58+G56*G58+H56*H58)/I56</f>
        <v>2.1662850000000002</v>
      </c>
      <c r="J58" s="644"/>
      <c r="K58" s="74"/>
      <c r="L58" s="149" t="s">
        <v>15</v>
      </c>
      <c r="M58" s="656">
        <v>1</v>
      </c>
      <c r="N58" s="656"/>
      <c r="O58" s="656"/>
      <c r="P58" s="74"/>
      <c r="Q58" s="74"/>
    </row>
    <row r="59" spans="3:26" ht="24" thickTop="1" thickBot="1" x14ac:dyDescent="0.45">
      <c r="C59" s="74"/>
      <c r="D59" s="74"/>
      <c r="E59" s="142" t="s">
        <v>4</v>
      </c>
      <c r="F59" s="166">
        <v>0.38</v>
      </c>
      <c r="G59" s="167">
        <v>6.2</v>
      </c>
      <c r="H59" s="168">
        <v>83.04</v>
      </c>
      <c r="I59" s="644">
        <f>(F56*F59+G56*G59+H56*H59)/I56</f>
        <v>1.445422</v>
      </c>
      <c r="J59" s="644"/>
      <c r="K59" s="74"/>
      <c r="L59" s="149" t="s">
        <v>16</v>
      </c>
      <c r="M59" s="656">
        <v>100</v>
      </c>
      <c r="N59" s="656"/>
      <c r="O59" s="656"/>
      <c r="P59" s="74"/>
      <c r="Q59" s="74"/>
    </row>
    <row r="60" spans="3:26" ht="24" thickTop="1" thickBot="1" x14ac:dyDescent="0.45">
      <c r="C60" s="74"/>
      <c r="D60" s="74"/>
      <c r="E60" s="142" t="s">
        <v>5</v>
      </c>
      <c r="F60" s="166">
        <v>51</v>
      </c>
      <c r="G60" s="167">
        <v>0.98</v>
      </c>
      <c r="H60" s="168">
        <v>0.06</v>
      </c>
      <c r="I60" s="644">
        <f>(F56*F60+G56*G60+H56*H60)/I56</f>
        <v>42.370814000000003</v>
      </c>
      <c r="J60" s="644"/>
      <c r="K60" s="74"/>
      <c r="L60" s="149" t="s">
        <v>17</v>
      </c>
      <c r="M60" s="657">
        <f>(H54*F59)-F58</f>
        <v>-0.21999999999999997</v>
      </c>
      <c r="N60" s="657"/>
      <c r="O60" s="657"/>
      <c r="P60" s="74"/>
      <c r="Q60" s="74"/>
    </row>
    <row r="61" spans="3:26" ht="24" thickTop="1" thickBot="1" x14ac:dyDescent="0.45">
      <c r="C61" s="74"/>
      <c r="D61" s="74"/>
      <c r="E61" s="142" t="s">
        <v>6</v>
      </c>
      <c r="F61" s="166">
        <v>1.24</v>
      </c>
      <c r="G61" s="167">
        <v>0.24</v>
      </c>
      <c r="H61" s="168">
        <v>0.41</v>
      </c>
      <c r="I61" s="644">
        <f>(F56*F61+G56*G61+H56*H61)/I56</f>
        <v>1.067636</v>
      </c>
      <c r="J61" s="644"/>
      <c r="K61" s="74"/>
      <c r="L61" s="149" t="s">
        <v>18</v>
      </c>
      <c r="M61" s="657">
        <f>(H54*G59)-G58</f>
        <v>0.5</v>
      </c>
      <c r="N61" s="657"/>
      <c r="O61" s="657"/>
      <c r="P61" s="74"/>
      <c r="Q61" s="74"/>
    </row>
    <row r="62" spans="3:26" ht="24" thickTop="1" thickBot="1" x14ac:dyDescent="0.45">
      <c r="C62" s="74"/>
      <c r="D62" s="74"/>
      <c r="E62" s="142" t="s">
        <v>8</v>
      </c>
      <c r="F62" s="166">
        <v>0.5</v>
      </c>
      <c r="G62" s="167">
        <v>0.3</v>
      </c>
      <c r="H62" s="168">
        <v>0.2</v>
      </c>
      <c r="I62" s="644">
        <f>(F56*F62+G56*G62+H56*H62)/I56</f>
        <v>0.46542</v>
      </c>
      <c r="J62" s="644"/>
      <c r="K62" s="74"/>
      <c r="L62" s="149" t="s">
        <v>19</v>
      </c>
      <c r="M62" s="657">
        <f>(H54*H59)-H58</f>
        <v>122.56</v>
      </c>
      <c r="N62" s="657"/>
      <c r="O62" s="657"/>
      <c r="P62" s="74"/>
      <c r="Q62" s="74"/>
    </row>
    <row r="63" spans="3:26" ht="24" thickTop="1" thickBot="1" x14ac:dyDescent="0.45">
      <c r="C63" s="74"/>
      <c r="D63" s="74"/>
      <c r="E63" s="142" t="s">
        <v>7</v>
      </c>
      <c r="F63" s="166">
        <v>0.2</v>
      </c>
      <c r="G63" s="167">
        <v>0.2</v>
      </c>
      <c r="H63" s="168">
        <v>0.1</v>
      </c>
      <c r="I63" s="644">
        <f>(F56*F63+G56*G63+H56*H63)/I56</f>
        <v>0.19992000000000001</v>
      </c>
      <c r="J63" s="644"/>
      <c r="K63" s="74"/>
      <c r="L63" s="149" t="s">
        <v>20</v>
      </c>
      <c r="M63" s="656">
        <v>0</v>
      </c>
      <c r="N63" s="656"/>
      <c r="O63" s="656"/>
      <c r="P63" s="74"/>
      <c r="Q63" s="74"/>
    </row>
    <row r="64" spans="3:26" ht="24" thickTop="1" thickBot="1" x14ac:dyDescent="0.45">
      <c r="C64" s="74"/>
      <c r="D64" s="74"/>
      <c r="E64" s="142" t="s">
        <v>9</v>
      </c>
      <c r="F64" s="166">
        <v>0.1</v>
      </c>
      <c r="G64" s="167">
        <v>0.2</v>
      </c>
      <c r="H64" s="168">
        <v>7.0000000000000007E-2</v>
      </c>
      <c r="I64" s="644">
        <f>(F56*F64+G56*G64+H56*H64)/I56</f>
        <v>0.11714600000000001</v>
      </c>
      <c r="J64" s="644"/>
      <c r="K64" s="74"/>
      <c r="L64" s="149" t="s">
        <v>21</v>
      </c>
      <c r="M64" s="657">
        <f>H53*(2.8*F57+1.18*F58+0.65*F59)-100*F60</f>
        <v>-4177.3919999999998</v>
      </c>
      <c r="N64" s="657"/>
      <c r="O64" s="657"/>
      <c r="P64" s="74"/>
      <c r="Q64" s="74"/>
    </row>
    <row r="65" spans="3:17" ht="24" thickTop="1" thickBot="1" x14ac:dyDescent="0.45">
      <c r="C65" s="74"/>
      <c r="D65" s="74"/>
      <c r="E65" s="142" t="s">
        <v>41</v>
      </c>
      <c r="F65" s="166">
        <v>0.1</v>
      </c>
      <c r="G65" s="167">
        <v>0.2</v>
      </c>
      <c r="H65" s="168">
        <v>7.0000000000000007E-2</v>
      </c>
      <c r="I65" s="644">
        <f>(F56*F65+G56*G65+H56*H65)/I56</f>
        <v>0.11714600000000001</v>
      </c>
      <c r="J65" s="644"/>
      <c r="K65" s="74"/>
      <c r="L65" s="149" t="s">
        <v>22</v>
      </c>
      <c r="M65" s="657">
        <f>H53*(2.8*G57+1.18*G58+0.65*G59)-100*G60</f>
        <v>20094.219999999998</v>
      </c>
      <c r="N65" s="657"/>
      <c r="O65" s="657"/>
      <c r="P65" s="74"/>
      <c r="Q65" s="74"/>
    </row>
    <row r="66" spans="3:17" ht="24" thickTop="1" thickBot="1" x14ac:dyDescent="0.45">
      <c r="C66" s="74"/>
      <c r="D66" s="74"/>
      <c r="E66" s="142" t="s">
        <v>40</v>
      </c>
      <c r="F66" s="166">
        <v>42.48</v>
      </c>
      <c r="G66" s="167">
        <v>8</v>
      </c>
      <c r="H66" s="168">
        <v>4.6500000000000004</v>
      </c>
      <c r="I66" s="644">
        <f>(F56*F66+G56*G66+H56*H66)/I56</f>
        <v>36.529519999999998</v>
      </c>
      <c r="J66" s="644"/>
      <c r="K66" s="74"/>
      <c r="L66" s="149" t="s">
        <v>23</v>
      </c>
      <c r="M66" s="657">
        <f>H53*(2.8*H57+1.18*H58+0.65*H59)-100*H60</f>
        <v>7372.56</v>
      </c>
      <c r="N66" s="657"/>
      <c r="O66" s="657"/>
      <c r="P66" s="74"/>
      <c r="Q66" s="74"/>
    </row>
    <row r="67" spans="3:17" ht="24" thickTop="1" thickBot="1" x14ac:dyDescent="0.45">
      <c r="C67" s="74"/>
      <c r="D67" s="74"/>
      <c r="E67" s="143" t="s">
        <v>10</v>
      </c>
      <c r="F67" s="172">
        <f>SUM(F57:F66)</f>
        <v>100.03</v>
      </c>
      <c r="G67" s="172">
        <f>SUM(G57:G66)</f>
        <v>100.10000000000001</v>
      </c>
      <c r="H67" s="172">
        <f>SUM(H57:H66)</f>
        <v>99.759999999999991</v>
      </c>
      <c r="I67" s="643">
        <f>SUM(I57:I66)</f>
        <v>100.041803</v>
      </c>
      <c r="J67" s="643"/>
      <c r="K67" s="74"/>
      <c r="L67" s="149" t="s">
        <v>24</v>
      </c>
      <c r="M67" s="656">
        <v>0</v>
      </c>
      <c r="N67" s="656"/>
      <c r="O67" s="656"/>
      <c r="P67" s="74"/>
      <c r="Q67" s="74"/>
    </row>
    <row r="68" spans="3:17" ht="24" thickTop="1" thickBot="1" x14ac:dyDescent="0.45">
      <c r="C68" s="74"/>
      <c r="D68" s="74"/>
      <c r="E68" s="144" t="s">
        <v>39</v>
      </c>
      <c r="F68" s="171">
        <f>100*F60/(2.8*F57+1.18*F58+0.65*F59)</f>
        <v>497.50273138754494</v>
      </c>
      <c r="G68" s="171">
        <f>100*G60/(2.8*G57+1.18*G58+0.65*G59)</f>
        <v>0.43680189696823829</v>
      </c>
      <c r="H68" s="171">
        <f>100*H60/(2.8*H57+1.18*H58+0.65*H59)</f>
        <v>7.3185011709601872E-2</v>
      </c>
      <c r="I68" s="638">
        <f>100*I60/(2.8*I57+1.18*I58+0.65*I59)</f>
        <v>90.015216634506018</v>
      </c>
      <c r="J68" s="638"/>
      <c r="K68" s="74"/>
      <c r="L68" s="149" t="s">
        <v>25</v>
      </c>
      <c r="M68" s="657">
        <f>(M56*M61*M66)+(M57*M62*M64)+(M58*M60*M65)-(M58*M61*M64)-(M56*M62*M65)-(M57*M60*M66)</f>
        <v>-2971752.5559199997</v>
      </c>
      <c r="N68" s="657"/>
      <c r="O68" s="657"/>
      <c r="P68" s="74"/>
      <c r="Q68" s="74"/>
    </row>
    <row r="69" spans="3:17" ht="24" thickTop="1" thickBot="1" x14ac:dyDescent="0.45">
      <c r="C69" s="74"/>
      <c r="D69" s="74"/>
      <c r="E69" s="139" t="s">
        <v>37</v>
      </c>
      <c r="F69" s="173">
        <f>F57/(F58+F59)</f>
        <v>2.7692307692307696</v>
      </c>
      <c r="G69" s="173">
        <f>G57/(G58+G59)</f>
        <v>4.9986666666666668</v>
      </c>
      <c r="H69" s="173">
        <f>H57/(H58+H59)</f>
        <v>0.1077140169332079</v>
      </c>
      <c r="I69" s="658">
        <f>I57/(I58+I59)</f>
        <v>4.30890268784262</v>
      </c>
      <c r="J69" s="658"/>
      <c r="K69" s="74"/>
      <c r="L69" s="74"/>
      <c r="M69" s="74"/>
      <c r="N69" s="74"/>
      <c r="O69" s="74"/>
      <c r="P69" s="74"/>
      <c r="Q69" s="74"/>
    </row>
    <row r="70" spans="3:17" ht="24" thickTop="1" thickBot="1" x14ac:dyDescent="0.45">
      <c r="C70" s="74"/>
      <c r="D70" s="74"/>
      <c r="E70" s="144" t="s">
        <v>38</v>
      </c>
      <c r="F70" s="171">
        <f>F58/F59</f>
        <v>2.0789473684210527</v>
      </c>
      <c r="G70" s="171">
        <f>G58/G59</f>
        <v>1.4193548387096775</v>
      </c>
      <c r="H70" s="171">
        <f>H58/H59</f>
        <v>2.4084778420038533E-2</v>
      </c>
      <c r="I70" s="638">
        <f>I58/I59</f>
        <v>1.4987214806471745</v>
      </c>
      <c r="J70" s="638"/>
      <c r="K70" s="74"/>
      <c r="L70" s="74"/>
      <c r="M70" s="74"/>
      <c r="N70" s="74"/>
      <c r="O70" s="74"/>
      <c r="P70" s="74"/>
      <c r="Q70" s="74"/>
    </row>
    <row r="71" spans="3:17" ht="24" thickTop="1" thickBot="1" x14ac:dyDescent="0.5">
      <c r="C71" s="74"/>
      <c r="D71" s="74"/>
      <c r="E71" s="628" t="s">
        <v>150</v>
      </c>
      <c r="F71" s="628"/>
      <c r="G71" s="628"/>
      <c r="H71" s="628"/>
      <c r="I71" s="628"/>
      <c r="J71" s="628"/>
      <c r="K71" s="74"/>
      <c r="L71" s="74"/>
      <c r="M71" s="74"/>
      <c r="N71" s="74"/>
      <c r="O71" s="74"/>
      <c r="P71" s="74"/>
      <c r="Q71" s="74"/>
    </row>
    <row r="72" spans="3:17" ht="24" thickTop="1" thickBot="1" x14ac:dyDescent="0.45">
      <c r="C72" s="74"/>
      <c r="D72" s="74"/>
      <c r="E72" s="639" t="str">
        <f>F55</f>
        <v>LIMESTONE</v>
      </c>
      <c r="F72" s="639"/>
      <c r="G72" s="639"/>
      <c r="H72" s="640">
        <f>(M59*M61*M66-M59*M62*M65)/M68</f>
        <v>82.747849187555246</v>
      </c>
      <c r="I72" s="640"/>
      <c r="J72" s="640"/>
      <c r="K72" s="74"/>
      <c r="L72" s="74"/>
      <c r="M72" s="74"/>
      <c r="N72" s="74"/>
      <c r="O72" s="74"/>
      <c r="P72" s="74"/>
      <c r="Q72" s="74"/>
    </row>
    <row r="73" spans="3:17" ht="24" thickTop="1" thickBot="1" x14ac:dyDescent="0.45">
      <c r="C73" s="74"/>
      <c r="D73" s="74"/>
      <c r="E73" s="641" t="str">
        <f>G55</f>
        <v>SHALE</v>
      </c>
      <c r="F73" s="641"/>
      <c r="G73" s="641"/>
      <c r="H73" s="642">
        <f>(M59*M62*M64-M59*M60*M66)/M68</f>
        <v>17.173677509028074</v>
      </c>
      <c r="I73" s="642"/>
      <c r="J73" s="642"/>
      <c r="K73" s="74"/>
      <c r="L73" s="74"/>
      <c r="M73" s="74"/>
      <c r="N73" s="74"/>
      <c r="O73" s="74"/>
      <c r="P73" s="74"/>
      <c r="Q73" s="74"/>
    </row>
    <row r="74" spans="3:17" ht="24" thickTop="1" thickBot="1" x14ac:dyDescent="0.45">
      <c r="C74" s="74"/>
      <c r="D74" s="74"/>
      <c r="E74" s="633" t="str">
        <f>H55</f>
        <v>IRON ORE</v>
      </c>
      <c r="F74" s="633"/>
      <c r="G74" s="633"/>
      <c r="H74" s="634">
        <f>100-H73-H72</f>
        <v>7.8473303416686235E-2</v>
      </c>
      <c r="I74" s="634"/>
      <c r="J74" s="634"/>
      <c r="K74" s="74"/>
      <c r="L74" s="74"/>
      <c r="M74" s="74"/>
      <c r="N74" s="74"/>
      <c r="O74" s="74"/>
      <c r="P74" s="74"/>
      <c r="Q74" s="74"/>
    </row>
    <row r="75" spans="3:17" ht="24" thickTop="1" thickBot="1" x14ac:dyDescent="0.45">
      <c r="C75" s="74"/>
      <c r="D75" s="74"/>
      <c r="E75" s="635" t="s">
        <v>10</v>
      </c>
      <c r="F75" s="635"/>
      <c r="G75" s="635"/>
      <c r="H75" s="636">
        <f>SUM(F72:H74)</f>
        <v>100.00000000000001</v>
      </c>
      <c r="I75" s="636"/>
      <c r="J75" s="636"/>
      <c r="K75" s="74"/>
      <c r="L75" s="74"/>
      <c r="M75" s="74"/>
      <c r="N75" s="74"/>
      <c r="O75" s="74"/>
      <c r="P75" s="74"/>
      <c r="Q75" s="74"/>
    </row>
    <row r="76" spans="3:17" ht="24" thickTop="1" thickBot="1" x14ac:dyDescent="0.45">
      <c r="C76" s="74"/>
      <c r="D76" s="74"/>
      <c r="E76" s="637" t="s">
        <v>147</v>
      </c>
      <c r="F76" s="637"/>
      <c r="G76" s="637"/>
      <c r="H76" s="637"/>
      <c r="I76" s="637"/>
      <c r="J76" s="637"/>
      <c r="K76" s="74"/>
      <c r="L76" s="74"/>
      <c r="M76" s="74"/>
      <c r="N76" s="74"/>
      <c r="O76" s="74"/>
      <c r="P76" s="74"/>
      <c r="Q76" s="74"/>
    </row>
    <row r="77" spans="3:17" ht="24" thickTop="1" thickBot="1" x14ac:dyDescent="0.5">
      <c r="C77" s="74"/>
      <c r="D77" s="74"/>
      <c r="E77" s="160" t="s">
        <v>83</v>
      </c>
      <c r="F77" s="628" t="s">
        <v>149</v>
      </c>
      <c r="G77" s="628"/>
      <c r="H77" s="145" t="s">
        <v>148</v>
      </c>
      <c r="I77" s="157" t="s">
        <v>146</v>
      </c>
      <c r="J77" s="156" t="s">
        <v>145</v>
      </c>
      <c r="K77" s="74"/>
      <c r="L77" s="74"/>
      <c r="M77" s="74"/>
      <c r="N77" s="74"/>
      <c r="O77" s="74"/>
      <c r="P77" s="74"/>
      <c r="Q77" s="74"/>
    </row>
    <row r="78" spans="3:17" ht="24" thickTop="1" thickBot="1" x14ac:dyDescent="0.45">
      <c r="C78" s="74"/>
      <c r="D78" s="74"/>
      <c r="E78" s="146" t="str">
        <f>E72</f>
        <v>LIMESTONE</v>
      </c>
      <c r="F78" s="629">
        <f>(H78/H81)*100</f>
        <v>82.205866106954673</v>
      </c>
      <c r="G78" s="629"/>
      <c r="H78" s="174">
        <f>J78/(1-0.01*I78)</f>
        <v>87.102999144795007</v>
      </c>
      <c r="I78" s="169">
        <v>5</v>
      </c>
      <c r="J78" s="170">
        <v>82.747849187555246</v>
      </c>
      <c r="K78" s="74"/>
      <c r="L78" s="74"/>
      <c r="M78" s="74"/>
      <c r="N78" s="74"/>
      <c r="O78" s="74"/>
      <c r="P78" s="74"/>
      <c r="Q78" s="74"/>
    </row>
    <row r="79" spans="3:17" ht="24" thickTop="1" thickBot="1" x14ac:dyDescent="0.45">
      <c r="C79" s="74"/>
      <c r="D79" s="74"/>
      <c r="E79" s="147" t="str">
        <f>E73</f>
        <v>SHALE</v>
      </c>
      <c r="F79" s="630">
        <f>(H79/H81)*100</f>
        <v>17.713807047136488</v>
      </c>
      <c r="G79" s="630"/>
      <c r="H79" s="174">
        <f>J79/(1-0.01*I79)</f>
        <v>18.769046457954179</v>
      </c>
      <c r="I79" s="169">
        <v>8.5</v>
      </c>
      <c r="J79" s="170">
        <v>17.173677509028074</v>
      </c>
      <c r="K79" s="74"/>
      <c r="L79" s="74"/>
      <c r="M79" s="74"/>
      <c r="N79" s="74"/>
      <c r="O79" s="74"/>
      <c r="P79" s="74"/>
      <c r="Q79" s="74"/>
    </row>
    <row r="80" spans="3:17" ht="24" thickTop="1" thickBot="1" x14ac:dyDescent="0.45">
      <c r="C80" s="74"/>
      <c r="D80" s="74"/>
      <c r="E80" s="148" t="str">
        <f>E74</f>
        <v>IRON ORE</v>
      </c>
      <c r="F80" s="629">
        <f>(H80/H81)*100</f>
        <v>8.0326845908838804E-2</v>
      </c>
      <c r="G80" s="629"/>
      <c r="H80" s="174">
        <f>J80/(1-0.01*I80)</f>
        <v>8.5112042751286587E-2</v>
      </c>
      <c r="I80" s="169">
        <v>7.8</v>
      </c>
      <c r="J80" s="170">
        <v>7.8473303416686235E-2</v>
      </c>
      <c r="K80" s="74"/>
      <c r="L80" s="74"/>
      <c r="M80" s="74"/>
      <c r="N80" s="74"/>
      <c r="O80" s="74"/>
      <c r="P80" s="74"/>
      <c r="Q80" s="74"/>
    </row>
    <row r="81" spans="3:17" ht="24" thickTop="1" thickBot="1" x14ac:dyDescent="0.45">
      <c r="C81" s="74"/>
      <c r="D81" s="74"/>
      <c r="E81" s="146" t="str">
        <f>E75</f>
        <v>TOTAL</v>
      </c>
      <c r="F81" s="631">
        <f>F78+F79+F80</f>
        <v>100</v>
      </c>
      <c r="G81" s="632"/>
      <c r="H81" s="175">
        <f>H78+H79+H80</f>
        <v>105.95715764550047</v>
      </c>
      <c r="I81" s="175">
        <f t="shared" ref="I81" si="1">I78+I79+I80</f>
        <v>21.3</v>
      </c>
      <c r="J81" s="175">
        <f t="shared" ref="J81" si="2">J78+J79+J80</f>
        <v>100.00000000000001</v>
      </c>
      <c r="K81" s="74"/>
      <c r="L81" s="74"/>
      <c r="M81" s="74"/>
      <c r="N81" s="74"/>
      <c r="O81" s="74"/>
      <c r="P81" s="74"/>
      <c r="Q81" s="74"/>
    </row>
    <row r="82" spans="3:17" ht="20.25" thickTop="1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3:17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</row>
    <row r="84" spans="3:17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</row>
    <row r="85" spans="3:17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</row>
    <row r="86" spans="3:17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</row>
    <row r="87" spans="3:17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</row>
  </sheetData>
  <mergeCells count="108">
    <mergeCell ref="S48:T49"/>
    <mergeCell ref="W48:X49"/>
    <mergeCell ref="E33:J33"/>
    <mergeCell ref="F34:H34"/>
    <mergeCell ref="F35:H35"/>
    <mergeCell ref="F36:H36"/>
    <mergeCell ref="F37:H37"/>
    <mergeCell ref="F38:H38"/>
    <mergeCell ref="E29:G29"/>
    <mergeCell ref="H29:J29"/>
    <mergeCell ref="E30:G30"/>
    <mergeCell ref="E31:G31"/>
    <mergeCell ref="E32:G32"/>
    <mergeCell ref="H30:J30"/>
    <mergeCell ref="H31:J31"/>
    <mergeCell ref="H32:J32"/>
    <mergeCell ref="I27:J27"/>
    <mergeCell ref="E10:G10"/>
    <mergeCell ref="I12:J12"/>
    <mergeCell ref="H11:J11"/>
    <mergeCell ref="H10:J10"/>
    <mergeCell ref="M25:O25"/>
    <mergeCell ref="M18:O18"/>
    <mergeCell ref="M19:O19"/>
    <mergeCell ref="M20:O20"/>
    <mergeCell ref="M21:O21"/>
    <mergeCell ref="I23:J23"/>
    <mergeCell ref="I24:J24"/>
    <mergeCell ref="E11:G11"/>
    <mergeCell ref="M22:O22"/>
    <mergeCell ref="M23:O23"/>
    <mergeCell ref="M24:O24"/>
    <mergeCell ref="E12:E13"/>
    <mergeCell ref="M17:O17"/>
    <mergeCell ref="L12:O12"/>
    <mergeCell ref="M13:O13"/>
    <mergeCell ref="M14:O14"/>
    <mergeCell ref="M15:O15"/>
    <mergeCell ref="I16:J16"/>
    <mergeCell ref="I15:J15"/>
    <mergeCell ref="I14:J14"/>
    <mergeCell ref="I13:J13"/>
    <mergeCell ref="I22:J22"/>
    <mergeCell ref="I21:J21"/>
    <mergeCell ref="I20:J20"/>
    <mergeCell ref="I19:J19"/>
    <mergeCell ref="I18:J18"/>
    <mergeCell ref="L55:O55"/>
    <mergeCell ref="I56:J56"/>
    <mergeCell ref="M56:O56"/>
    <mergeCell ref="M16:O16"/>
    <mergeCell ref="I26:J26"/>
    <mergeCell ref="I25:J25"/>
    <mergeCell ref="L48:L49"/>
    <mergeCell ref="M48:N49"/>
    <mergeCell ref="I57:J57"/>
    <mergeCell ref="M57:O57"/>
    <mergeCell ref="E53:G53"/>
    <mergeCell ref="H53:J53"/>
    <mergeCell ref="E54:G54"/>
    <mergeCell ref="H54:J54"/>
    <mergeCell ref="E55:E56"/>
    <mergeCell ref="I55:J55"/>
    <mergeCell ref="M61:O61"/>
    <mergeCell ref="I62:J62"/>
    <mergeCell ref="M62:O62"/>
    <mergeCell ref="I63:J63"/>
    <mergeCell ref="M63:O63"/>
    <mergeCell ref="I58:J58"/>
    <mergeCell ref="M58:O58"/>
    <mergeCell ref="I59:J59"/>
    <mergeCell ref="M59:O59"/>
    <mergeCell ref="I60:J60"/>
    <mergeCell ref="M60:O60"/>
    <mergeCell ref="M67:O67"/>
    <mergeCell ref="I68:J68"/>
    <mergeCell ref="M68:O68"/>
    <mergeCell ref="I69:J69"/>
    <mergeCell ref="I64:J64"/>
    <mergeCell ref="M64:O64"/>
    <mergeCell ref="I65:J65"/>
    <mergeCell ref="M65:O65"/>
    <mergeCell ref="I66:J66"/>
    <mergeCell ref="M66:O66"/>
    <mergeCell ref="E5:J8"/>
    <mergeCell ref="F77:G77"/>
    <mergeCell ref="F78:G78"/>
    <mergeCell ref="F79:G79"/>
    <mergeCell ref="F80:G80"/>
    <mergeCell ref="F81:G81"/>
    <mergeCell ref="E74:G74"/>
    <mergeCell ref="H74:J74"/>
    <mergeCell ref="E75:G75"/>
    <mergeCell ref="H75:J75"/>
    <mergeCell ref="E76:J76"/>
    <mergeCell ref="I70:J70"/>
    <mergeCell ref="E71:J71"/>
    <mergeCell ref="E72:G72"/>
    <mergeCell ref="H72:J72"/>
    <mergeCell ref="E73:G73"/>
    <mergeCell ref="H73:J73"/>
    <mergeCell ref="I67:J67"/>
    <mergeCell ref="I61:J61"/>
    <mergeCell ref="E48:J50"/>
    <mergeCell ref="E52:J52"/>
    <mergeCell ref="E9:J9"/>
    <mergeCell ref="E28:J28"/>
    <mergeCell ref="I17:J17"/>
  </mergeCells>
  <phoneticPr fontId="2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D2:AA64"/>
  <sheetViews>
    <sheetView zoomScale="55" zoomScaleNormal="55" workbookViewId="0">
      <selection activeCell="M23" sqref="M23:M24"/>
    </sheetView>
  </sheetViews>
  <sheetFormatPr defaultRowHeight="19.5" x14ac:dyDescent="0.4"/>
  <cols>
    <col min="1" max="3" width="9.140625" style="69"/>
    <col min="4" max="4" width="5.7109375" style="69" customWidth="1"/>
    <col min="5" max="5" width="11.140625" style="69" customWidth="1"/>
    <col min="6" max="6" width="23" style="69" customWidth="1"/>
    <col min="7" max="7" width="13.140625" style="69" customWidth="1"/>
    <col min="8" max="8" width="18.140625" style="69" customWidth="1"/>
    <col min="9" max="9" width="11.140625" style="69" customWidth="1"/>
    <col min="10" max="10" width="13.5703125" style="69" customWidth="1"/>
    <col min="11" max="11" width="13.28515625" style="69" bestFit="1" customWidth="1"/>
    <col min="12" max="12" width="10.7109375" style="69" bestFit="1" customWidth="1"/>
    <col min="13" max="13" width="14.42578125" style="69" customWidth="1"/>
    <col min="14" max="14" width="13.140625" style="69" bestFit="1" customWidth="1"/>
    <col min="15" max="15" width="11.28515625" style="69" customWidth="1"/>
    <col min="16" max="16" width="13.28515625" style="69" customWidth="1"/>
    <col min="17" max="17" width="9.7109375" style="69" customWidth="1"/>
    <col min="18" max="18" width="10.140625" style="69" bestFit="1" customWidth="1"/>
    <col min="19" max="19" width="12" style="69" customWidth="1"/>
    <col min="20" max="20" width="19.28515625" style="69" customWidth="1"/>
    <col min="21" max="21" width="12.42578125" style="69" bestFit="1" customWidth="1"/>
    <col min="22" max="22" width="14.85546875" style="69" bestFit="1" customWidth="1"/>
    <col min="23" max="23" width="19.28515625" style="69" bestFit="1" customWidth="1"/>
    <col min="24" max="25" width="10.28515625" style="69" bestFit="1" customWidth="1"/>
    <col min="26" max="16384" width="9.140625" style="69"/>
  </cols>
  <sheetData>
    <row r="2" spans="4:27" x14ac:dyDescent="0.4"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</row>
    <row r="3" spans="4:27" ht="20.25" thickBot="1" x14ac:dyDescent="0.45">
      <c r="D3" s="280"/>
      <c r="E3" s="727" t="s">
        <v>135</v>
      </c>
      <c r="F3" s="727"/>
      <c r="G3" s="727"/>
      <c r="H3" s="727"/>
      <c r="I3" s="727"/>
      <c r="J3" s="727"/>
      <c r="K3" s="727"/>
      <c r="L3" s="727"/>
      <c r="M3" s="727"/>
      <c r="N3" s="727"/>
      <c r="O3" s="727"/>
      <c r="P3" s="727"/>
      <c r="Q3" s="727"/>
      <c r="R3" s="727"/>
      <c r="S3" s="727"/>
      <c r="T3" s="727"/>
      <c r="U3" s="727"/>
      <c r="V3" s="727"/>
      <c r="W3" s="727"/>
      <c r="X3" s="727"/>
      <c r="Y3" s="727"/>
      <c r="Z3" s="280"/>
      <c r="AA3" s="280"/>
    </row>
    <row r="4" spans="4:27" ht="25.5" customHeight="1" thickTop="1" x14ac:dyDescent="0.4">
      <c r="D4" s="280"/>
      <c r="E4" s="745" t="s">
        <v>169</v>
      </c>
      <c r="F4" s="746"/>
      <c r="G4" s="746"/>
      <c r="H4" s="746"/>
      <c r="I4" s="746"/>
      <c r="J4" s="746"/>
      <c r="K4" s="746"/>
      <c r="L4" s="746"/>
      <c r="M4" s="746"/>
      <c r="N4" s="746"/>
      <c r="O4" s="746"/>
      <c r="P4" s="746"/>
      <c r="Q4" s="746"/>
      <c r="R4" s="746"/>
      <c r="S4" s="746"/>
      <c r="T4" s="746"/>
      <c r="U4" s="746"/>
      <c r="V4" s="746"/>
      <c r="W4" s="746"/>
      <c r="X4" s="746"/>
      <c r="Y4" s="747"/>
      <c r="Z4" s="280"/>
      <c r="AA4" s="280"/>
    </row>
    <row r="5" spans="4:27" x14ac:dyDescent="0.4">
      <c r="D5" s="280"/>
      <c r="E5" s="748"/>
      <c r="F5" s="749"/>
      <c r="G5" s="749"/>
      <c r="H5" s="749"/>
      <c r="I5" s="749"/>
      <c r="J5" s="749"/>
      <c r="K5" s="749"/>
      <c r="L5" s="749"/>
      <c r="M5" s="749"/>
      <c r="N5" s="749"/>
      <c r="O5" s="749"/>
      <c r="P5" s="749"/>
      <c r="Q5" s="749"/>
      <c r="R5" s="749"/>
      <c r="S5" s="749"/>
      <c r="T5" s="749"/>
      <c r="U5" s="749"/>
      <c r="V5" s="749"/>
      <c r="W5" s="749"/>
      <c r="X5" s="749"/>
      <c r="Y5" s="750"/>
      <c r="Z5" s="280"/>
      <c r="AA5" s="280"/>
    </row>
    <row r="6" spans="4:27" x14ac:dyDescent="0.4">
      <c r="D6" s="280"/>
      <c r="E6" s="735" t="s">
        <v>126</v>
      </c>
      <c r="F6" s="736"/>
      <c r="G6" s="737" t="s">
        <v>10</v>
      </c>
      <c r="H6" s="737" t="s">
        <v>110</v>
      </c>
      <c r="I6" s="737"/>
      <c r="J6" s="737"/>
      <c r="K6" s="751" t="s">
        <v>155</v>
      </c>
      <c r="L6" s="752"/>
      <c r="M6" s="752"/>
      <c r="N6" s="752"/>
      <c r="O6" s="752"/>
      <c r="P6" s="752"/>
      <c r="Q6" s="752"/>
      <c r="R6" s="752"/>
      <c r="S6" s="753"/>
      <c r="T6" s="738" t="s">
        <v>40</v>
      </c>
      <c r="U6" s="738" t="s">
        <v>10</v>
      </c>
      <c r="V6" s="751" t="s">
        <v>109</v>
      </c>
      <c r="W6" s="752"/>
      <c r="X6" s="752"/>
      <c r="Y6" s="763"/>
      <c r="Z6" s="280"/>
      <c r="AA6" s="280"/>
    </row>
    <row r="7" spans="4:27" ht="19.5" customHeight="1" x14ac:dyDescent="0.4">
      <c r="D7" s="280"/>
      <c r="E7" s="735"/>
      <c r="F7" s="736"/>
      <c r="G7" s="737"/>
      <c r="H7" s="737"/>
      <c r="I7" s="737"/>
      <c r="J7" s="737"/>
      <c r="K7" s="754"/>
      <c r="L7" s="755"/>
      <c r="M7" s="755"/>
      <c r="N7" s="755"/>
      <c r="O7" s="755"/>
      <c r="P7" s="755"/>
      <c r="Q7" s="755"/>
      <c r="R7" s="755"/>
      <c r="S7" s="756"/>
      <c r="T7" s="738"/>
      <c r="U7" s="738"/>
      <c r="V7" s="754"/>
      <c r="W7" s="755"/>
      <c r="X7" s="755"/>
      <c r="Y7" s="764"/>
      <c r="Z7" s="280"/>
      <c r="AA7" s="280"/>
    </row>
    <row r="8" spans="4:27" ht="19.5" customHeight="1" x14ac:dyDescent="0.4">
      <c r="D8" s="280"/>
      <c r="E8" s="735"/>
      <c r="F8" s="736"/>
      <c r="G8" s="737"/>
      <c r="H8" s="739" t="s">
        <v>112</v>
      </c>
      <c r="I8" s="741" t="s">
        <v>113</v>
      </c>
      <c r="J8" s="743" t="s">
        <v>143</v>
      </c>
      <c r="K8" s="757" t="s">
        <v>1</v>
      </c>
      <c r="L8" s="757" t="s">
        <v>3</v>
      </c>
      <c r="M8" s="757" t="s">
        <v>4</v>
      </c>
      <c r="N8" s="757" t="s">
        <v>5</v>
      </c>
      <c r="O8" s="757" t="s">
        <v>6</v>
      </c>
      <c r="P8" s="757" t="s">
        <v>8</v>
      </c>
      <c r="Q8" s="757" t="s">
        <v>7</v>
      </c>
      <c r="R8" s="757" t="s">
        <v>9</v>
      </c>
      <c r="S8" s="757" t="s">
        <v>41</v>
      </c>
      <c r="T8" s="738"/>
      <c r="U8" s="738"/>
      <c r="V8" s="765" t="s">
        <v>39</v>
      </c>
      <c r="W8" s="767" t="s">
        <v>53</v>
      </c>
      <c r="X8" s="765" t="s">
        <v>37</v>
      </c>
      <c r="Y8" s="769" t="s">
        <v>38</v>
      </c>
      <c r="Z8" s="280"/>
      <c r="AA8" s="280"/>
    </row>
    <row r="9" spans="4:27" ht="20.25" customHeight="1" thickBot="1" x14ac:dyDescent="0.45">
      <c r="D9" s="280"/>
      <c r="E9" s="735"/>
      <c r="F9" s="736"/>
      <c r="G9" s="737"/>
      <c r="H9" s="740"/>
      <c r="I9" s="742"/>
      <c r="J9" s="744"/>
      <c r="K9" s="758"/>
      <c r="L9" s="758"/>
      <c r="M9" s="758"/>
      <c r="N9" s="758"/>
      <c r="O9" s="758"/>
      <c r="P9" s="758"/>
      <c r="Q9" s="758"/>
      <c r="R9" s="758"/>
      <c r="S9" s="758"/>
      <c r="T9" s="738"/>
      <c r="U9" s="738"/>
      <c r="V9" s="766"/>
      <c r="W9" s="768"/>
      <c r="X9" s="766"/>
      <c r="Y9" s="770"/>
      <c r="Z9" s="280"/>
      <c r="AA9" s="280"/>
    </row>
    <row r="10" spans="4:27" ht="24" customHeight="1" thickTop="1" thickBot="1" x14ac:dyDescent="0.45">
      <c r="D10" s="280"/>
      <c r="E10" s="759" t="s">
        <v>115</v>
      </c>
      <c r="F10" s="760"/>
      <c r="G10" s="305">
        <f>H10+I10+J10</f>
        <v>100</v>
      </c>
      <c r="H10" s="321">
        <v>80</v>
      </c>
      <c r="I10" s="323">
        <v>15</v>
      </c>
      <c r="J10" s="325">
        <f>100-H10-I10</f>
        <v>5</v>
      </c>
      <c r="K10" s="329">
        <v>13.97</v>
      </c>
      <c r="L10" s="329">
        <v>3.4</v>
      </c>
      <c r="M10" s="329">
        <v>2.16</v>
      </c>
      <c r="N10" s="329">
        <v>42.81</v>
      </c>
      <c r="O10" s="327">
        <v>1.65</v>
      </c>
      <c r="P10" s="327">
        <v>0.26</v>
      </c>
      <c r="Q10" s="327">
        <v>0.49</v>
      </c>
      <c r="R10" s="327">
        <v>0.2</v>
      </c>
      <c r="S10" s="327">
        <v>0.01</v>
      </c>
      <c r="T10" s="306">
        <f>0.786*N10+1.1*O10+0.2</f>
        <v>35.663660000000007</v>
      </c>
      <c r="U10" s="307">
        <f>SUM(K10:T10)</f>
        <v>100.61366000000001</v>
      </c>
      <c r="V10" s="332">
        <f>N10*100/(2.8*K10+1.2*L10+0.65*M10)</f>
        <v>95.986547085201792</v>
      </c>
      <c r="W10" s="307">
        <f xml:space="preserve"> N10/(K10+L10+M10)</f>
        <v>2.1920122887864824</v>
      </c>
      <c r="X10" s="332">
        <f xml:space="preserve"> K10/(L10+M10)</f>
        <v>2.5125899280575537</v>
      </c>
      <c r="Y10" s="308">
        <f>L10/M10</f>
        <v>1.574074074074074</v>
      </c>
      <c r="Z10" s="280"/>
      <c r="AA10" s="280"/>
    </row>
    <row r="11" spans="4:27" ht="21" thickTop="1" thickBot="1" x14ac:dyDescent="0.45">
      <c r="D11" s="280"/>
      <c r="E11" s="759" t="s">
        <v>127</v>
      </c>
      <c r="F11" s="760"/>
      <c r="G11" s="305">
        <f t="shared" ref="G11:G14" si="0">H11+I11+J11</f>
        <v>100</v>
      </c>
      <c r="H11" s="321">
        <f>H10+N17-N10</f>
        <v>80</v>
      </c>
      <c r="I11" s="323">
        <f>I10+K17-K10</f>
        <v>14.999999999999998</v>
      </c>
      <c r="J11" s="325">
        <f>100-H11-I11</f>
        <v>5.0000000000000018</v>
      </c>
      <c r="K11" s="329">
        <v>14</v>
      </c>
      <c r="L11" s="329">
        <v>3.5</v>
      </c>
      <c r="M11" s="329">
        <v>2.4</v>
      </c>
      <c r="N11" s="329">
        <v>43.5</v>
      </c>
      <c r="O11" s="327">
        <v>1.65</v>
      </c>
      <c r="P11" s="327">
        <v>0.26</v>
      </c>
      <c r="Q11" s="327">
        <v>0.49</v>
      </c>
      <c r="R11" s="327">
        <v>0.2</v>
      </c>
      <c r="S11" s="327">
        <v>0.01</v>
      </c>
      <c r="T11" s="306">
        <f>0.786*N11+1.1*O11+0.2</f>
        <v>36.206000000000003</v>
      </c>
      <c r="U11" s="307">
        <f>SUM(K11:T11)</f>
        <v>102.21600000000001</v>
      </c>
      <c r="V11" s="332">
        <f t="shared" ref="V11:V13" si="1">N11*100/(2.8*K11+1.2*L11+0.65*M11)</f>
        <v>96.7526690391459</v>
      </c>
      <c r="W11" s="307">
        <f t="shared" ref="W11:W13" si="2" xml:space="preserve"> N11/(K11+L11+M11)</f>
        <v>2.1859296482412063</v>
      </c>
      <c r="X11" s="332">
        <f t="shared" ref="X11:X13" si="3" xml:space="preserve"> K11/(L11+M11)</f>
        <v>2.3728813559322033</v>
      </c>
      <c r="Y11" s="308">
        <f t="shared" ref="Y11:Y13" si="4">L11/M11</f>
        <v>1.4583333333333335</v>
      </c>
      <c r="Z11" s="280"/>
      <c r="AA11" s="280"/>
    </row>
    <row r="12" spans="4:27" ht="21" thickTop="1" thickBot="1" x14ac:dyDescent="0.45">
      <c r="D12" s="280"/>
      <c r="E12" s="759" t="s">
        <v>127</v>
      </c>
      <c r="F12" s="760"/>
      <c r="G12" s="305">
        <f t="shared" si="0"/>
        <v>100</v>
      </c>
      <c r="H12" s="321">
        <f>H11+N17-N11</f>
        <v>79.31</v>
      </c>
      <c r="I12" s="323">
        <f>I11+K17-K11</f>
        <v>14.969999999999999</v>
      </c>
      <c r="J12" s="325">
        <f>100-H12-I12</f>
        <v>5.7199999999999989</v>
      </c>
      <c r="K12" s="329">
        <v>13.5</v>
      </c>
      <c r="L12" s="329">
        <v>3.3</v>
      </c>
      <c r="M12" s="329">
        <v>2.1</v>
      </c>
      <c r="N12" s="329">
        <v>42.1</v>
      </c>
      <c r="O12" s="327">
        <v>1.65</v>
      </c>
      <c r="P12" s="327">
        <v>0.26</v>
      </c>
      <c r="Q12" s="327">
        <v>0.49</v>
      </c>
      <c r="R12" s="327">
        <v>0.2</v>
      </c>
      <c r="S12" s="327">
        <v>0.01</v>
      </c>
      <c r="T12" s="306">
        <f>0.786*N12+1.1*O12+0.2</f>
        <v>35.105600000000003</v>
      </c>
      <c r="U12" s="307">
        <f>SUM(K12:T12)</f>
        <v>98.715599999999995</v>
      </c>
      <c r="V12" s="332">
        <f t="shared" si="1"/>
        <v>97.623188405797094</v>
      </c>
      <c r="W12" s="307">
        <f t="shared" si="2"/>
        <v>2.2275132275132274</v>
      </c>
      <c r="X12" s="332">
        <f t="shared" si="3"/>
        <v>2.5</v>
      </c>
      <c r="Y12" s="308">
        <f t="shared" si="4"/>
        <v>1.5714285714285712</v>
      </c>
      <c r="Z12" s="280"/>
      <c r="AA12" s="280"/>
    </row>
    <row r="13" spans="4:27" ht="21" thickTop="1" thickBot="1" x14ac:dyDescent="0.45">
      <c r="D13" s="280"/>
      <c r="E13" s="759" t="s">
        <v>127</v>
      </c>
      <c r="F13" s="760"/>
      <c r="G13" s="305">
        <f t="shared" si="0"/>
        <v>100</v>
      </c>
      <c r="H13" s="321">
        <f>H12+N17-N12</f>
        <v>80.02000000000001</v>
      </c>
      <c r="I13" s="323">
        <f>I12+K17-K12</f>
        <v>15.439999999999998</v>
      </c>
      <c r="J13" s="325">
        <f>100-H13-I13</f>
        <v>4.539999999999992</v>
      </c>
      <c r="K13" s="330">
        <v>14</v>
      </c>
      <c r="L13" s="330">
        <v>3.4</v>
      </c>
      <c r="M13" s="330">
        <v>2.2000000000000002</v>
      </c>
      <c r="N13" s="330">
        <v>42.4</v>
      </c>
      <c r="O13" s="328">
        <v>1.65</v>
      </c>
      <c r="P13" s="328">
        <v>0.26</v>
      </c>
      <c r="Q13" s="328">
        <v>0.49</v>
      </c>
      <c r="R13" s="328">
        <v>0.2</v>
      </c>
      <c r="S13" s="328">
        <v>0.01</v>
      </c>
      <c r="T13" s="309">
        <f>0.786*N13+1.1*O13+0.2</f>
        <v>35.3414</v>
      </c>
      <c r="U13" s="310">
        <f>SUM(K13:T13)</f>
        <v>99.951400000000007</v>
      </c>
      <c r="V13" s="333">
        <f t="shared" si="1"/>
        <v>94.833370610601662</v>
      </c>
      <c r="W13" s="310">
        <f t="shared" si="2"/>
        <v>2.1632653061224492</v>
      </c>
      <c r="X13" s="333">
        <f t="shared" si="3"/>
        <v>2.5</v>
      </c>
      <c r="Y13" s="311">
        <f t="shared" si="4"/>
        <v>1.5454545454545452</v>
      </c>
      <c r="Z13" s="280"/>
      <c r="AA13" s="280"/>
    </row>
    <row r="14" spans="4:27" ht="21" thickTop="1" thickBot="1" x14ac:dyDescent="0.45">
      <c r="D14" s="280"/>
      <c r="E14" s="761" t="s">
        <v>127</v>
      </c>
      <c r="F14" s="762"/>
      <c r="G14" s="312">
        <f t="shared" si="0"/>
        <v>100</v>
      </c>
      <c r="H14" s="322">
        <f>H13+N17-N13</f>
        <v>80.430000000000007</v>
      </c>
      <c r="I14" s="324">
        <f>I13+K17-K13</f>
        <v>15.409999999999997</v>
      </c>
      <c r="J14" s="326">
        <f>100-H14-I14</f>
        <v>4.1599999999999966</v>
      </c>
      <c r="K14" s="313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  <c r="Y14" s="313"/>
      <c r="Z14" s="280"/>
      <c r="AA14" s="280"/>
    </row>
    <row r="15" spans="4:27" ht="21.75" thickTop="1" thickBot="1" x14ac:dyDescent="0.45">
      <c r="D15" s="280"/>
      <c r="E15" s="313"/>
      <c r="F15" s="313"/>
      <c r="G15" s="313"/>
      <c r="H15" s="313"/>
      <c r="I15" s="313"/>
      <c r="J15" s="313"/>
      <c r="K15" s="548" t="s">
        <v>120</v>
      </c>
      <c r="L15" s="549"/>
      <c r="M15" s="549"/>
      <c r="N15" s="549"/>
      <c r="O15" s="549"/>
      <c r="P15" s="549"/>
      <c r="Q15" s="549"/>
      <c r="R15" s="549"/>
      <c r="S15" s="549"/>
      <c r="T15" s="549"/>
      <c r="U15" s="549"/>
      <c r="V15" s="549"/>
      <c r="W15" s="549"/>
      <c r="X15" s="549"/>
      <c r="Y15" s="550"/>
      <c r="Z15" s="280"/>
      <c r="AA15" s="280"/>
    </row>
    <row r="16" spans="4:27" ht="21" thickBot="1" x14ac:dyDescent="0.45">
      <c r="D16" s="280"/>
      <c r="E16" s="313"/>
      <c r="F16" s="551" t="s">
        <v>121</v>
      </c>
      <c r="G16" s="551"/>
      <c r="H16" s="551"/>
      <c r="I16" s="313"/>
      <c r="J16" s="313"/>
      <c r="K16" s="269" t="s">
        <v>1</v>
      </c>
      <c r="L16" s="270" t="s">
        <v>3</v>
      </c>
      <c r="M16" s="270" t="s">
        <v>4</v>
      </c>
      <c r="N16" s="270" t="s">
        <v>5</v>
      </c>
      <c r="O16" s="270" t="s">
        <v>6</v>
      </c>
      <c r="P16" s="270" t="s">
        <v>8</v>
      </c>
      <c r="Q16" s="270" t="s">
        <v>7</v>
      </c>
      <c r="R16" s="270" t="s">
        <v>9</v>
      </c>
      <c r="S16" s="270" t="s">
        <v>41</v>
      </c>
      <c r="T16" s="271" t="s">
        <v>40</v>
      </c>
      <c r="U16" s="271" t="s">
        <v>10</v>
      </c>
      <c r="V16" s="267" t="s">
        <v>39</v>
      </c>
      <c r="W16" s="415" t="s">
        <v>53</v>
      </c>
      <c r="X16" s="267" t="s">
        <v>37</v>
      </c>
      <c r="Y16" s="414" t="s">
        <v>38</v>
      </c>
      <c r="Z16" s="280"/>
      <c r="AA16" s="280"/>
    </row>
    <row r="17" spans="4:27" ht="21" thickTop="1" thickBot="1" x14ac:dyDescent="0.45">
      <c r="D17" s="280"/>
      <c r="E17" s="313"/>
      <c r="F17" s="773" t="s">
        <v>160</v>
      </c>
      <c r="G17" s="774"/>
      <c r="H17" s="412">
        <f>V17</f>
        <v>95.986547085201792</v>
      </c>
      <c r="I17" s="313"/>
      <c r="J17" s="313"/>
      <c r="K17" s="275">
        <v>13.97</v>
      </c>
      <c r="L17" s="276">
        <v>3.4</v>
      </c>
      <c r="M17" s="276">
        <v>2.16</v>
      </c>
      <c r="N17" s="276">
        <v>42.81</v>
      </c>
      <c r="O17" s="314">
        <v>1.65</v>
      </c>
      <c r="P17" s="314">
        <v>0.26</v>
      </c>
      <c r="Q17" s="314">
        <v>0.49</v>
      </c>
      <c r="R17" s="314">
        <v>0.2</v>
      </c>
      <c r="S17" s="314">
        <v>0.01</v>
      </c>
      <c r="T17" s="315">
        <f>0.786*N17+1.1*O17+0.2</f>
        <v>35.663660000000007</v>
      </c>
      <c r="U17" s="316">
        <f>SUM(K17:T17)</f>
        <v>100.61366000000001</v>
      </c>
      <c r="V17" s="236">
        <f>N17*100/(2.8*K17+1.2*L17+0.65*M17)</f>
        <v>95.986547085201792</v>
      </c>
      <c r="W17" s="316">
        <f>N17/(K17+L17+M17)</f>
        <v>2.1920122887864824</v>
      </c>
      <c r="X17" s="236">
        <f>K17/(L17+M17)</f>
        <v>2.5125899280575537</v>
      </c>
      <c r="Y17" s="317">
        <f>L17/M17</f>
        <v>1.574074074074074</v>
      </c>
      <c r="Z17" s="280"/>
      <c r="AA17" s="280"/>
    </row>
    <row r="18" spans="4:27" ht="21.75" thickTop="1" thickBot="1" x14ac:dyDescent="0.45">
      <c r="D18" s="280"/>
      <c r="E18" s="313"/>
      <c r="F18" s="773" t="s">
        <v>37</v>
      </c>
      <c r="G18" s="774"/>
      <c r="H18" s="413">
        <f>X17</f>
        <v>2.5125899280575537</v>
      </c>
      <c r="I18" s="313"/>
      <c r="J18" s="313"/>
      <c r="K18" s="571" t="s">
        <v>124</v>
      </c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3"/>
      <c r="W18" s="573"/>
      <c r="X18" s="573"/>
      <c r="Y18" s="574"/>
      <c r="Z18" s="280"/>
      <c r="AA18" s="280"/>
    </row>
    <row r="19" spans="4:27" ht="21" thickTop="1" thickBot="1" x14ac:dyDescent="0.45">
      <c r="D19" s="280"/>
      <c r="E19" s="313"/>
      <c r="F19" s="585" t="s">
        <v>47</v>
      </c>
      <c r="G19" s="586"/>
      <c r="H19" s="272">
        <v>2.1000000000000001E-2</v>
      </c>
      <c r="I19" s="313"/>
      <c r="J19" s="313"/>
      <c r="K19" s="277">
        <v>51.910012874140349</v>
      </c>
      <c r="L19" s="278">
        <v>24.189980517995103</v>
      </c>
      <c r="M19" s="278">
        <v>6.7227097100043149</v>
      </c>
      <c r="N19" s="278">
        <v>8.1274517505998443</v>
      </c>
      <c r="O19" s="245">
        <v>1.1075203400231253</v>
      </c>
      <c r="P19" s="245">
        <v>0.2</v>
      </c>
      <c r="Q19" s="245">
        <v>0.9</v>
      </c>
      <c r="R19" s="279">
        <v>4.2</v>
      </c>
      <c r="S19" s="245">
        <v>0.01</v>
      </c>
      <c r="T19" s="245">
        <v>1.5</v>
      </c>
      <c r="U19" s="221">
        <f>SUM(K19:T19)</f>
        <v>98.867675192762746</v>
      </c>
      <c r="V19" s="222">
        <f t="shared" ref="V19" si="5">N19*100/(2.8*K19+1.2*L19+0.65*M19)</f>
        <v>4.5469336530875761</v>
      </c>
      <c r="W19" s="222">
        <f t="shared" ref="W19" si="6">N19/(K19+L19+M19)</f>
        <v>9.8130723173533663E-2</v>
      </c>
      <c r="X19" s="222">
        <f t="shared" ref="X19" si="7">K19/(L19+M19)</f>
        <v>1.6792460472146948</v>
      </c>
      <c r="Y19" s="227">
        <f t="shared" ref="Y19" si="8">L19/M19</f>
        <v>3.5982485577202734</v>
      </c>
      <c r="Z19" s="280"/>
      <c r="AA19" s="280"/>
    </row>
    <row r="20" spans="4:27" ht="21.75" thickTop="1" thickBot="1" x14ac:dyDescent="0.45">
      <c r="D20" s="280"/>
      <c r="E20" s="313"/>
      <c r="F20" s="587" t="s">
        <v>122</v>
      </c>
      <c r="G20" s="588"/>
      <c r="H20" s="252" t="s">
        <v>133</v>
      </c>
      <c r="I20" s="313"/>
      <c r="J20" s="313"/>
      <c r="K20" s="575" t="s">
        <v>123</v>
      </c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7"/>
      <c r="Z20" s="282"/>
      <c r="AA20" s="280"/>
    </row>
    <row r="21" spans="4:27" ht="20.25" thickBot="1" x14ac:dyDescent="0.45">
      <c r="D21" s="280"/>
      <c r="E21" s="313"/>
      <c r="F21" s="313"/>
      <c r="G21" s="313"/>
      <c r="H21" s="313"/>
      <c r="I21" s="313"/>
      <c r="J21" s="313"/>
      <c r="K21" s="264" t="s">
        <v>1</v>
      </c>
      <c r="L21" s="265" t="s">
        <v>3</v>
      </c>
      <c r="M21" s="265" t="s">
        <v>4</v>
      </c>
      <c r="N21" s="265" t="s">
        <v>5</v>
      </c>
      <c r="O21" s="265" t="s">
        <v>6</v>
      </c>
      <c r="P21" s="265" t="s">
        <v>8</v>
      </c>
      <c r="Q21" s="265" t="s">
        <v>7</v>
      </c>
      <c r="R21" s="265" t="s">
        <v>9</v>
      </c>
      <c r="S21" s="265" t="s">
        <v>41</v>
      </c>
      <c r="T21" s="578" t="s">
        <v>10</v>
      </c>
      <c r="U21" s="578"/>
      <c r="V21" s="267" t="s">
        <v>39</v>
      </c>
      <c r="W21" s="266" t="s">
        <v>53</v>
      </c>
      <c r="X21" s="267" t="s">
        <v>37</v>
      </c>
      <c r="Y21" s="414" t="s">
        <v>38</v>
      </c>
      <c r="Z21" s="280"/>
      <c r="AA21" s="280"/>
    </row>
    <row r="22" spans="4:27" ht="21" thickTop="1" thickBot="1" x14ac:dyDescent="0.45">
      <c r="D22" s="280"/>
      <c r="E22" s="313"/>
      <c r="F22" s="313"/>
      <c r="G22" s="313"/>
      <c r="H22" s="313"/>
      <c r="I22" s="313"/>
      <c r="J22" s="313"/>
      <c r="K22" s="334">
        <f>(1/(1-T17/100))*K17*(1-H19)+K19*H19</f>
        <v>22.348127123662564</v>
      </c>
      <c r="L22" s="274">
        <f>(1/(1-T17/100))*L17*(1-H19)+L19*H19</f>
        <v>5.6817374291913598</v>
      </c>
      <c r="M22" s="274">
        <f>(1/(1-T17/100))*M17*(1-H19)+M19*H19</f>
        <v>3.4280284717798204</v>
      </c>
      <c r="N22" s="274">
        <f>(1/(1-T17/100))*N17*(1-H19)+N19*H19</f>
        <v>65.314248533291831</v>
      </c>
      <c r="O22" s="260">
        <f>(1/(1-T17/100))*O17*(1-H19)+O19*H19</f>
        <v>2.534047319263196</v>
      </c>
      <c r="P22" s="260">
        <f>(1/(1-T17/100))*P17*(1-H19)+P19*H19</f>
        <v>0.3998395405769119</v>
      </c>
      <c r="Q22" s="260">
        <f t="shared" ref="Q22" si="9">(1/(1-Z17/100))*Q17*(1-N24)+Q19*N24</f>
        <v>0.49</v>
      </c>
      <c r="R22" s="260">
        <f>(1/(1-T17/100))*R17*(1-H19)+R19*H19</f>
        <v>0.39253810813608614</v>
      </c>
      <c r="S22" s="260">
        <f>(1/(1-T17/100))*S17*(1-H19)+S19*H19</f>
        <v>1.5426905406804305E-2</v>
      </c>
      <c r="T22" s="780">
        <f>SUM(K22:S22)</f>
        <v>100.60399343130855</v>
      </c>
      <c r="U22" s="781"/>
      <c r="V22" s="234">
        <f>N22*100/(2.8*K22+1.2*L22+0.65*M22)</f>
        <v>91.194194989144691</v>
      </c>
      <c r="W22" s="237">
        <f>N22/(K22+L22+M22)</f>
        <v>2.0762435831969475</v>
      </c>
      <c r="X22" s="234">
        <f>K22/(L22+M22)</f>
        <v>2.4532054244423627</v>
      </c>
      <c r="Y22" s="318">
        <f>L22/M22</f>
        <v>1.657435892369185</v>
      </c>
      <c r="Z22" s="280"/>
      <c r="AA22" s="280"/>
    </row>
    <row r="23" spans="4:27" ht="21.75" thickTop="1" x14ac:dyDescent="0.4">
      <c r="D23" s="280"/>
      <c r="E23" s="313"/>
      <c r="F23" s="313"/>
      <c r="G23" s="313"/>
      <c r="H23" s="313"/>
      <c r="I23" s="313"/>
      <c r="J23" s="313"/>
      <c r="K23" s="581" t="s">
        <v>154</v>
      </c>
      <c r="L23" s="775" t="s">
        <v>54</v>
      </c>
      <c r="M23" s="778" t="s">
        <v>163</v>
      </c>
      <c r="N23" s="775" t="s">
        <v>56</v>
      </c>
      <c r="O23" s="775" t="s">
        <v>57</v>
      </c>
      <c r="P23" s="776" t="s">
        <v>58</v>
      </c>
      <c r="Q23" s="776"/>
      <c r="R23" s="776"/>
      <c r="S23" s="776"/>
      <c r="T23" s="777" t="s">
        <v>164</v>
      </c>
      <c r="U23" s="777" t="s">
        <v>59</v>
      </c>
      <c r="V23" s="777" t="s">
        <v>128</v>
      </c>
      <c r="W23" s="777" t="s">
        <v>60</v>
      </c>
      <c r="X23" s="771" t="s">
        <v>61</v>
      </c>
      <c r="Y23" s="772"/>
      <c r="Z23" s="280"/>
      <c r="AA23" s="280"/>
    </row>
    <row r="24" spans="4:27" ht="20.25" thickBot="1" x14ac:dyDescent="0.45">
      <c r="D24" s="280"/>
      <c r="E24" s="313"/>
      <c r="F24" s="313"/>
      <c r="G24" s="313"/>
      <c r="H24" s="313"/>
      <c r="I24" s="313"/>
      <c r="J24" s="313"/>
      <c r="K24" s="582"/>
      <c r="L24" s="584"/>
      <c r="M24" s="779"/>
      <c r="N24" s="584"/>
      <c r="O24" s="584"/>
      <c r="P24" s="336" t="s">
        <v>62</v>
      </c>
      <c r="Q24" s="336" t="s">
        <v>63</v>
      </c>
      <c r="R24" s="336" t="s">
        <v>64</v>
      </c>
      <c r="S24" s="336" t="s">
        <v>65</v>
      </c>
      <c r="T24" s="777"/>
      <c r="U24" s="777"/>
      <c r="V24" s="777"/>
      <c r="W24" s="777"/>
      <c r="X24" s="261" t="s">
        <v>66</v>
      </c>
      <c r="Y24" s="263" t="s">
        <v>40</v>
      </c>
      <c r="Z24" s="280"/>
      <c r="AA24" s="280"/>
    </row>
    <row r="25" spans="4:27" ht="21" thickTop="1" thickBot="1" x14ac:dyDescent="0.45">
      <c r="D25" s="280"/>
      <c r="E25" s="313"/>
      <c r="F25" s="313"/>
      <c r="G25" s="313"/>
      <c r="H25" s="313"/>
      <c r="I25" s="313"/>
      <c r="J25" s="313"/>
      <c r="K25" s="335">
        <v>1.25</v>
      </c>
      <c r="L25" s="243">
        <v>1.8</v>
      </c>
      <c r="M25" s="248" t="s">
        <v>131</v>
      </c>
      <c r="N25" s="243">
        <f>((O25/100)-(Y25/100))/((O25/100)-(O25/100)*(Y25/100))*100</f>
        <v>96.166062000057735</v>
      </c>
      <c r="O25" s="243">
        <v>34.39</v>
      </c>
      <c r="P25" s="319">
        <f>4.071*(N22-L25)-7.6024*K22-6.718*L22-1.4297*M22</f>
        <v>45.596139778687601</v>
      </c>
      <c r="Q25" s="238">
        <f>8.6024*K22+5.0683*L22+1.0785*M22-3.071*(N22-L25)</f>
        <v>29.689150042040694</v>
      </c>
      <c r="R25" s="238">
        <f>2.65*L22-1.692*M22</f>
        <v>9.2563800131056464</v>
      </c>
      <c r="S25" s="238">
        <f>3.0432*M22</f>
        <v>10.432176245320349</v>
      </c>
      <c r="T25" s="238">
        <f>R22/(Q22+0.5*P22)</f>
        <v>0.56896196491363871</v>
      </c>
      <c r="U25" s="238">
        <f>P22+(0.658*Q22)</f>
        <v>0.72225954057691188</v>
      </c>
      <c r="V25" s="238">
        <f>3*L22+2.25*M22+O22+P22+Q22+R22</f>
        <v>28.57470131705487</v>
      </c>
      <c r="W25" s="320">
        <f>R25+S25+(Q25*0.2)+(2*M22)</f>
        <v>32.482443210393775</v>
      </c>
      <c r="X25" s="243">
        <v>1</v>
      </c>
      <c r="Y25" s="250">
        <v>1.97</v>
      </c>
      <c r="Z25" s="280"/>
      <c r="AA25" s="280"/>
    </row>
    <row r="26" spans="4:27" ht="20.25" thickTop="1" x14ac:dyDescent="0.4">
      <c r="D26" s="280"/>
      <c r="E26" s="280"/>
      <c r="F26" s="280"/>
      <c r="G26" s="280"/>
      <c r="H26" s="282"/>
      <c r="I26" s="282"/>
      <c r="J26" s="282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</row>
    <row r="27" spans="4:27" x14ac:dyDescent="0.4">
      <c r="D27" s="280"/>
      <c r="E27" s="280"/>
      <c r="F27" s="280"/>
      <c r="G27" s="280"/>
      <c r="H27" s="282"/>
      <c r="I27" s="282"/>
      <c r="J27" s="282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</row>
    <row r="28" spans="4:27" x14ac:dyDescent="0.4">
      <c r="D28" s="104"/>
      <c r="E28" s="104"/>
      <c r="F28" s="104"/>
      <c r="G28" s="104"/>
      <c r="H28" s="105"/>
      <c r="I28" s="105"/>
      <c r="J28" s="1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4:27" x14ac:dyDescent="0.4">
      <c r="D29" s="12"/>
      <c r="E29" s="12"/>
      <c r="F29" s="12"/>
      <c r="G29" s="12"/>
      <c r="H29" s="70"/>
      <c r="I29" s="70"/>
      <c r="J29" s="7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4:27" x14ac:dyDescent="0.4">
      <c r="D30" s="12"/>
      <c r="E30" s="12" t="s">
        <v>138</v>
      </c>
      <c r="F30" s="12"/>
      <c r="G30" s="12"/>
      <c r="H30" s="70"/>
      <c r="I30" s="70"/>
      <c r="J30" s="7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4:27" x14ac:dyDescent="0.4">
      <c r="D31" s="12"/>
      <c r="E31" s="12"/>
      <c r="F31" s="12"/>
      <c r="G31" s="12"/>
      <c r="H31" s="70"/>
      <c r="I31" s="70"/>
      <c r="J31" s="106"/>
      <c r="K31" s="783" t="s">
        <v>141</v>
      </c>
      <c r="L31" s="12"/>
      <c r="M31" s="90"/>
      <c r="N31" s="782" t="s">
        <v>142</v>
      </c>
      <c r="O31" s="78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4:27" ht="14.25" customHeight="1" x14ac:dyDescent="0.4">
      <c r="D32" s="12"/>
      <c r="E32" s="601" t="s">
        <v>137</v>
      </c>
      <c r="F32" s="602" t="s">
        <v>136</v>
      </c>
      <c r="G32" s="12"/>
      <c r="H32" s="70"/>
      <c r="I32" s="70"/>
      <c r="J32" s="106"/>
      <c r="K32" s="783"/>
      <c r="L32" s="107"/>
      <c r="M32" s="108"/>
      <c r="N32" s="782"/>
      <c r="O32" s="782"/>
      <c r="P32" s="107"/>
      <c r="Q32" s="107"/>
      <c r="R32" s="107"/>
      <c r="S32" s="107"/>
      <c r="T32" s="107"/>
      <c r="U32" s="107"/>
      <c r="V32" s="107"/>
      <c r="W32" s="107"/>
      <c r="X32" s="12"/>
      <c r="Y32" s="12"/>
      <c r="Z32" s="12"/>
      <c r="AA32" s="12"/>
    </row>
    <row r="33" spans="4:27" ht="12.75" customHeight="1" x14ac:dyDescent="0.4">
      <c r="D33" s="12"/>
      <c r="E33" s="601"/>
      <c r="F33" s="602"/>
      <c r="G33" s="12"/>
      <c r="H33" s="12"/>
      <c r="I33" s="12"/>
      <c r="J33" s="1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2"/>
      <c r="Y33" s="12"/>
      <c r="Z33" s="12"/>
      <c r="AA33" s="12"/>
    </row>
    <row r="34" spans="4:27" ht="12.75" customHeight="1" x14ac:dyDescent="0.4">
      <c r="D34" s="12"/>
      <c r="E34" s="12"/>
      <c r="F34" s="12"/>
      <c r="G34" s="12"/>
      <c r="H34" s="12"/>
      <c r="I34" s="12"/>
      <c r="J34" s="1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2"/>
      <c r="Y34" s="12"/>
      <c r="Z34" s="12"/>
      <c r="AA34" s="12"/>
    </row>
    <row r="35" spans="4:27" ht="20.25" thickBot="1" x14ac:dyDescent="0.45"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4:27" ht="25.5" thickBot="1" x14ac:dyDescent="0.55000000000000004">
      <c r="D36" s="12"/>
      <c r="E36" s="734" t="s">
        <v>129</v>
      </c>
      <c r="F36" s="734"/>
      <c r="G36" s="734"/>
      <c r="H36" s="734"/>
      <c r="I36" s="734"/>
      <c r="J36" s="734"/>
      <c r="K36" s="734"/>
      <c r="L36" s="734"/>
      <c r="M36" s="734"/>
      <c r="N36" s="734"/>
      <c r="O36" s="734"/>
      <c r="P36" s="734"/>
      <c r="Q36" s="734"/>
      <c r="R36" s="734"/>
      <c r="S36" s="734"/>
      <c r="T36" s="734"/>
      <c r="U36" s="734"/>
      <c r="V36" s="734"/>
      <c r="W36" s="734"/>
      <c r="X36" s="734"/>
      <c r="Y36" s="734"/>
      <c r="Z36" s="12"/>
      <c r="AA36" s="12"/>
    </row>
    <row r="37" spans="4:27" ht="20.25" customHeight="1" thickBot="1" x14ac:dyDescent="0.45">
      <c r="D37" s="12"/>
      <c r="E37" s="594" t="s">
        <v>126</v>
      </c>
      <c r="F37" s="594"/>
      <c r="G37" s="595" t="s">
        <v>10</v>
      </c>
      <c r="H37" s="595" t="s">
        <v>110</v>
      </c>
      <c r="I37" s="595"/>
      <c r="J37" s="595"/>
      <c r="K37" s="595" t="s">
        <v>111</v>
      </c>
      <c r="L37" s="595"/>
      <c r="M37" s="595"/>
      <c r="N37" s="595"/>
      <c r="O37" s="595"/>
      <c r="P37" s="595"/>
      <c r="Q37" s="595"/>
      <c r="R37" s="595"/>
      <c r="S37" s="595"/>
      <c r="T37" s="594" t="s">
        <v>40</v>
      </c>
      <c r="U37" s="594" t="s">
        <v>10</v>
      </c>
      <c r="V37" s="595" t="s">
        <v>109</v>
      </c>
      <c r="W37" s="595"/>
      <c r="X37" s="595"/>
      <c r="Y37" s="595"/>
      <c r="Z37" s="12"/>
      <c r="AA37" s="12"/>
    </row>
    <row r="38" spans="4:27" ht="13.5" customHeight="1" thickBot="1" x14ac:dyDescent="0.45">
      <c r="D38" s="12"/>
      <c r="E38" s="594"/>
      <c r="F38" s="594"/>
      <c r="G38" s="595"/>
      <c r="H38" s="595"/>
      <c r="I38" s="595"/>
      <c r="J38" s="595"/>
      <c r="K38" s="595" t="s">
        <v>1</v>
      </c>
      <c r="L38" s="595" t="s">
        <v>3</v>
      </c>
      <c r="M38" s="595" t="s">
        <v>4</v>
      </c>
      <c r="N38" s="595" t="s">
        <v>5</v>
      </c>
      <c r="O38" s="595" t="s">
        <v>6</v>
      </c>
      <c r="P38" s="595" t="s">
        <v>8</v>
      </c>
      <c r="Q38" s="595" t="s">
        <v>7</v>
      </c>
      <c r="R38" s="595" t="s">
        <v>9</v>
      </c>
      <c r="S38" s="595" t="s">
        <v>41</v>
      </c>
      <c r="T38" s="594"/>
      <c r="U38" s="594"/>
      <c r="V38" s="594" t="s">
        <v>39</v>
      </c>
      <c r="W38" s="594" t="s">
        <v>53</v>
      </c>
      <c r="X38" s="594" t="s">
        <v>37</v>
      </c>
      <c r="Y38" s="594" t="s">
        <v>38</v>
      </c>
      <c r="Z38" s="12"/>
      <c r="AA38" s="12"/>
    </row>
    <row r="39" spans="4:27" ht="13.5" customHeight="1" thickBot="1" x14ac:dyDescent="0.45">
      <c r="D39" s="12"/>
      <c r="E39" s="594"/>
      <c r="F39" s="594"/>
      <c r="G39" s="595"/>
      <c r="H39" s="597" t="s">
        <v>112</v>
      </c>
      <c r="I39" s="598" t="s">
        <v>113</v>
      </c>
      <c r="J39" s="599" t="s">
        <v>143</v>
      </c>
      <c r="K39" s="595"/>
      <c r="L39" s="595"/>
      <c r="M39" s="595"/>
      <c r="N39" s="595"/>
      <c r="O39" s="595"/>
      <c r="P39" s="595"/>
      <c r="Q39" s="595"/>
      <c r="R39" s="595"/>
      <c r="S39" s="595"/>
      <c r="T39" s="594"/>
      <c r="U39" s="594"/>
      <c r="V39" s="594"/>
      <c r="W39" s="594"/>
      <c r="X39" s="594"/>
      <c r="Y39" s="594"/>
      <c r="Z39" s="12"/>
      <c r="AA39" s="12"/>
    </row>
    <row r="40" spans="4:27" ht="13.5" customHeight="1" thickBot="1" x14ac:dyDescent="0.45">
      <c r="D40" s="12"/>
      <c r="E40" s="594"/>
      <c r="F40" s="594"/>
      <c r="G40" s="595"/>
      <c r="H40" s="597"/>
      <c r="I40" s="598"/>
      <c r="J40" s="599"/>
      <c r="K40" s="595"/>
      <c r="L40" s="595"/>
      <c r="M40" s="595"/>
      <c r="N40" s="595"/>
      <c r="O40" s="595"/>
      <c r="P40" s="595"/>
      <c r="Q40" s="600"/>
      <c r="R40" s="595"/>
      <c r="S40" s="595"/>
      <c r="T40" s="594"/>
      <c r="U40" s="594"/>
      <c r="V40" s="594"/>
      <c r="W40" s="594"/>
      <c r="X40" s="594"/>
      <c r="Y40" s="594"/>
      <c r="Z40" s="12"/>
      <c r="AA40" s="12"/>
    </row>
    <row r="41" spans="4:27" ht="20.25" customHeight="1" thickBot="1" x14ac:dyDescent="0.45">
      <c r="D41" s="12"/>
      <c r="E41" s="596" t="s">
        <v>115</v>
      </c>
      <c r="F41" s="596"/>
      <c r="G41" s="13">
        <f>H41+I41+J41</f>
        <v>100</v>
      </c>
      <c r="H41" s="24">
        <v>80</v>
      </c>
      <c r="I41" s="25">
        <v>15</v>
      </c>
      <c r="J41" s="26">
        <f>100-H41-I41</f>
        <v>5</v>
      </c>
      <c r="K41" s="27">
        <v>13.97</v>
      </c>
      <c r="L41" s="27">
        <v>3.4</v>
      </c>
      <c r="M41" s="27">
        <v>2.16</v>
      </c>
      <c r="N41" s="27">
        <v>42.81</v>
      </c>
      <c r="O41" s="27">
        <v>1.65</v>
      </c>
      <c r="P41" s="27">
        <v>0.26</v>
      </c>
      <c r="Q41" s="27">
        <v>0.49</v>
      </c>
      <c r="R41" s="27">
        <v>0.2</v>
      </c>
      <c r="S41" s="27">
        <v>0.01</v>
      </c>
      <c r="T41" s="55">
        <f>0.786*N41+1.1*O41+0.2</f>
        <v>35.663660000000007</v>
      </c>
      <c r="U41" s="55">
        <f>SUM(K41:T41)</f>
        <v>100.61366000000001</v>
      </c>
      <c r="V41" s="55">
        <f>N41*100/(2.8*K41+1.2*L41+0.65*M41)</f>
        <v>95.986547085201792</v>
      </c>
      <c r="W41" s="55">
        <f xml:space="preserve"> N41/(K41+L41+M41)</f>
        <v>2.1920122887864824</v>
      </c>
      <c r="X41" s="55">
        <f xml:space="preserve"> K41/(L41+M41)</f>
        <v>2.5125899280575537</v>
      </c>
      <c r="Y41" s="55">
        <f>L41/M41</f>
        <v>1.574074074074074</v>
      </c>
      <c r="Z41" s="12"/>
      <c r="AA41" s="12"/>
    </row>
    <row r="42" spans="4:27" ht="20.25" customHeight="1" thickBot="1" x14ac:dyDescent="0.45">
      <c r="D42" s="12"/>
      <c r="E42" s="596" t="s">
        <v>127</v>
      </c>
      <c r="F42" s="596"/>
      <c r="G42" s="13">
        <f t="shared" ref="G42:G45" si="10">H42+I42+J42</f>
        <v>100</v>
      </c>
      <c r="H42" s="52">
        <f>H41+N52-N41</f>
        <v>80</v>
      </c>
      <c r="I42" s="53">
        <f>I41+K52-K41</f>
        <v>14.999999999999998</v>
      </c>
      <c r="J42" s="54">
        <f>100-H42-I42</f>
        <v>5.0000000000000018</v>
      </c>
      <c r="K42" s="27">
        <v>13.97</v>
      </c>
      <c r="L42" s="27">
        <v>3.4</v>
      </c>
      <c r="M42" s="27">
        <v>2.16</v>
      </c>
      <c r="N42" s="27">
        <v>42.81</v>
      </c>
      <c r="O42" s="27">
        <v>1.65</v>
      </c>
      <c r="P42" s="27">
        <v>0.26</v>
      </c>
      <c r="Q42" s="27">
        <v>0.49</v>
      </c>
      <c r="R42" s="27">
        <v>0.2</v>
      </c>
      <c r="S42" s="27">
        <v>0.01</v>
      </c>
      <c r="T42" s="55">
        <f>0.786*N42+1.1*O42+0.2</f>
        <v>35.663660000000007</v>
      </c>
      <c r="U42" s="55">
        <f>SUM(K42:T42)</f>
        <v>100.61366000000001</v>
      </c>
      <c r="V42" s="55">
        <f t="shared" ref="V42:V44" si="11">N42*100/(2.8*K42+1.2*L42+0.65*M42)</f>
        <v>95.986547085201792</v>
      </c>
      <c r="W42" s="55">
        <f t="shared" ref="W42:W44" si="12" xml:space="preserve"> N42/(K42+L42+M42)</f>
        <v>2.1920122887864824</v>
      </c>
      <c r="X42" s="55">
        <f t="shared" ref="X42:X44" si="13" xml:space="preserve"> K42/(L42+M42)</f>
        <v>2.5125899280575537</v>
      </c>
      <c r="Y42" s="55">
        <f t="shared" ref="Y42:Y44" si="14">L42/M42</f>
        <v>1.574074074074074</v>
      </c>
      <c r="Z42" s="12"/>
      <c r="AA42" s="12"/>
    </row>
    <row r="43" spans="4:27" ht="20.25" customHeight="1" thickBot="1" x14ac:dyDescent="0.45">
      <c r="D43" s="12"/>
      <c r="E43" s="596" t="s">
        <v>127</v>
      </c>
      <c r="F43" s="596"/>
      <c r="G43" s="13">
        <f t="shared" si="10"/>
        <v>100</v>
      </c>
      <c r="H43" s="52">
        <f>H42+N52-N42</f>
        <v>80</v>
      </c>
      <c r="I43" s="53">
        <f>I42+K52-K42</f>
        <v>14.999999999999998</v>
      </c>
      <c r="J43" s="54">
        <f>100-H43-I43</f>
        <v>5.0000000000000018</v>
      </c>
      <c r="K43" s="27">
        <v>13.97</v>
      </c>
      <c r="L43" s="27">
        <v>3.4</v>
      </c>
      <c r="M43" s="27">
        <v>2.16</v>
      </c>
      <c r="N43" s="27">
        <v>42.81</v>
      </c>
      <c r="O43" s="27">
        <v>1.65</v>
      </c>
      <c r="P43" s="27">
        <v>0.26</v>
      </c>
      <c r="Q43" s="27">
        <v>0.49</v>
      </c>
      <c r="R43" s="27">
        <v>0.2</v>
      </c>
      <c r="S43" s="27">
        <v>0.01</v>
      </c>
      <c r="T43" s="55">
        <f>0.786*N43+1.1*O43+0.2</f>
        <v>35.663660000000007</v>
      </c>
      <c r="U43" s="55">
        <f>SUM(K43:T43)</f>
        <v>100.61366000000001</v>
      </c>
      <c r="V43" s="55">
        <f t="shared" si="11"/>
        <v>95.986547085201792</v>
      </c>
      <c r="W43" s="55">
        <f t="shared" si="12"/>
        <v>2.1920122887864824</v>
      </c>
      <c r="X43" s="55">
        <f t="shared" si="13"/>
        <v>2.5125899280575537</v>
      </c>
      <c r="Y43" s="55">
        <f t="shared" si="14"/>
        <v>1.574074074074074</v>
      </c>
      <c r="Z43" s="12"/>
      <c r="AA43" s="12"/>
    </row>
    <row r="44" spans="4:27" ht="20.25" customHeight="1" thickBot="1" x14ac:dyDescent="0.45">
      <c r="D44" s="12"/>
      <c r="E44" s="596" t="s">
        <v>127</v>
      </c>
      <c r="F44" s="596"/>
      <c r="G44" s="13">
        <f t="shared" si="10"/>
        <v>100</v>
      </c>
      <c r="H44" s="52">
        <f>H43+N52-N43</f>
        <v>80</v>
      </c>
      <c r="I44" s="53">
        <f>I43+K52-K43</f>
        <v>14.999999999999998</v>
      </c>
      <c r="J44" s="54">
        <f>100-H44-I44</f>
        <v>5.0000000000000018</v>
      </c>
      <c r="K44" s="27">
        <v>13.97</v>
      </c>
      <c r="L44" s="27">
        <v>3.4</v>
      </c>
      <c r="M44" s="27">
        <v>2.16</v>
      </c>
      <c r="N44" s="27">
        <v>42.81</v>
      </c>
      <c r="O44" s="27">
        <v>1.65</v>
      </c>
      <c r="P44" s="27">
        <v>0.26</v>
      </c>
      <c r="Q44" s="27">
        <v>0.49</v>
      </c>
      <c r="R44" s="27">
        <v>0.2</v>
      </c>
      <c r="S44" s="27">
        <v>0.01</v>
      </c>
      <c r="T44" s="55">
        <f>0.786*N44+1.1*O44+0.2</f>
        <v>35.663660000000007</v>
      </c>
      <c r="U44" s="55">
        <f>SUM(K44:T44)</f>
        <v>100.61366000000001</v>
      </c>
      <c r="V44" s="55">
        <f t="shared" si="11"/>
        <v>95.986547085201792</v>
      </c>
      <c r="W44" s="55">
        <f t="shared" si="12"/>
        <v>2.1920122887864824</v>
      </c>
      <c r="X44" s="55">
        <f t="shared" si="13"/>
        <v>2.5125899280575537</v>
      </c>
      <c r="Y44" s="55">
        <f t="shared" si="14"/>
        <v>1.574074074074074</v>
      </c>
      <c r="Z44" s="12"/>
      <c r="AA44" s="12"/>
    </row>
    <row r="45" spans="4:27" ht="20.25" customHeight="1" thickBot="1" x14ac:dyDescent="0.45">
      <c r="D45" s="12"/>
      <c r="E45" s="596" t="s">
        <v>127</v>
      </c>
      <c r="F45" s="596"/>
      <c r="G45" s="13">
        <f t="shared" si="10"/>
        <v>100</v>
      </c>
      <c r="H45" s="52">
        <f>H44+N52-N44</f>
        <v>80</v>
      </c>
      <c r="I45" s="53">
        <f>I44+K52-K44</f>
        <v>14.999999999999998</v>
      </c>
      <c r="J45" s="54">
        <f>100-H45-I45</f>
        <v>5.0000000000000018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4:27" ht="23.25" thickBot="1" x14ac:dyDescent="0.45">
      <c r="D46" s="12"/>
      <c r="E46" s="731" t="s">
        <v>116</v>
      </c>
      <c r="F46" s="731"/>
      <c r="G46" s="731"/>
      <c r="H46" s="56">
        <f t="shared" ref="H46:Y46" si="15">AVERAGE(H41:H44)</f>
        <v>80</v>
      </c>
      <c r="I46" s="56">
        <f t="shared" si="15"/>
        <v>15</v>
      </c>
      <c r="J46" s="56">
        <f t="shared" si="15"/>
        <v>5.0000000000000018</v>
      </c>
      <c r="K46" s="57">
        <f t="shared" si="15"/>
        <v>13.97</v>
      </c>
      <c r="L46" s="57">
        <f t="shared" si="15"/>
        <v>3.4</v>
      </c>
      <c r="M46" s="57">
        <f t="shared" si="15"/>
        <v>2.16</v>
      </c>
      <c r="N46" s="57">
        <f t="shared" si="15"/>
        <v>42.81</v>
      </c>
      <c r="O46" s="57">
        <f t="shared" si="15"/>
        <v>1.65</v>
      </c>
      <c r="P46" s="57">
        <f t="shared" si="15"/>
        <v>0.26</v>
      </c>
      <c r="Q46" s="57">
        <f t="shared" si="15"/>
        <v>0.49</v>
      </c>
      <c r="R46" s="57">
        <f t="shared" si="15"/>
        <v>0.2</v>
      </c>
      <c r="S46" s="57">
        <f t="shared" si="15"/>
        <v>0.01</v>
      </c>
      <c r="T46" s="57">
        <f t="shared" si="15"/>
        <v>35.663660000000007</v>
      </c>
      <c r="U46" s="57">
        <f t="shared" si="15"/>
        <v>100.61366000000001</v>
      </c>
      <c r="V46" s="57">
        <f t="shared" si="15"/>
        <v>95.986547085201792</v>
      </c>
      <c r="W46" s="57">
        <f t="shared" si="15"/>
        <v>2.1920122887864824</v>
      </c>
      <c r="X46" s="57">
        <f t="shared" si="15"/>
        <v>2.5125899280575537</v>
      </c>
      <c r="Y46" s="57">
        <f t="shared" si="15"/>
        <v>1.574074074074074</v>
      </c>
      <c r="Z46" s="12"/>
      <c r="AA46" s="12"/>
    </row>
    <row r="47" spans="4:27" ht="23.25" thickBot="1" x14ac:dyDescent="0.45">
      <c r="D47" s="12"/>
      <c r="E47" s="731" t="s">
        <v>117</v>
      </c>
      <c r="F47" s="731"/>
      <c r="G47" s="731"/>
      <c r="H47" s="34"/>
      <c r="I47" s="35"/>
      <c r="J47" s="35"/>
      <c r="K47" s="36"/>
      <c r="L47" s="36"/>
      <c r="M47" s="36"/>
      <c r="N47" s="36"/>
      <c r="O47" s="36"/>
      <c r="P47" s="36"/>
      <c r="Q47" s="36"/>
      <c r="R47" s="36"/>
      <c r="S47" s="37"/>
      <c r="T47" s="57">
        <f t="shared" ref="T47" si="16">STDEV(T41:T44)</f>
        <v>0</v>
      </c>
      <c r="U47" s="33"/>
      <c r="V47" s="57">
        <f t="shared" ref="V47:Y47" si="17">STDEV(V41:V44)</f>
        <v>0</v>
      </c>
      <c r="W47" s="57">
        <f t="shared" si="17"/>
        <v>0</v>
      </c>
      <c r="X47" s="57">
        <f t="shared" si="17"/>
        <v>0</v>
      </c>
      <c r="Y47" s="57">
        <f t="shared" si="17"/>
        <v>0</v>
      </c>
      <c r="Z47" s="12"/>
      <c r="AA47" s="12"/>
    </row>
    <row r="48" spans="4:27" ht="23.25" thickBot="1" x14ac:dyDescent="0.45">
      <c r="D48" s="12"/>
      <c r="E48" s="731" t="s">
        <v>118</v>
      </c>
      <c r="F48" s="731"/>
      <c r="G48" s="731"/>
      <c r="H48" s="56">
        <f t="shared" ref="H48:Y48" si="18">MIN(H41:H44)</f>
        <v>80</v>
      </c>
      <c r="I48" s="56">
        <f t="shared" si="18"/>
        <v>14.999999999999998</v>
      </c>
      <c r="J48" s="56">
        <f t="shared" si="18"/>
        <v>5</v>
      </c>
      <c r="K48" s="57">
        <f t="shared" si="18"/>
        <v>13.97</v>
      </c>
      <c r="L48" s="57">
        <f t="shared" si="18"/>
        <v>3.4</v>
      </c>
      <c r="M48" s="57">
        <f t="shared" si="18"/>
        <v>2.16</v>
      </c>
      <c r="N48" s="57">
        <f t="shared" si="18"/>
        <v>42.81</v>
      </c>
      <c r="O48" s="57">
        <f t="shared" si="18"/>
        <v>1.65</v>
      </c>
      <c r="P48" s="57">
        <f t="shared" si="18"/>
        <v>0.26</v>
      </c>
      <c r="Q48" s="57">
        <f t="shared" si="18"/>
        <v>0.49</v>
      </c>
      <c r="R48" s="57">
        <f t="shared" si="18"/>
        <v>0.2</v>
      </c>
      <c r="S48" s="57">
        <f t="shared" si="18"/>
        <v>0.01</v>
      </c>
      <c r="T48" s="57">
        <f t="shared" si="18"/>
        <v>35.663660000000007</v>
      </c>
      <c r="U48" s="57">
        <f t="shared" si="18"/>
        <v>100.61366000000001</v>
      </c>
      <c r="V48" s="57">
        <f t="shared" si="18"/>
        <v>95.986547085201792</v>
      </c>
      <c r="W48" s="57">
        <f t="shared" si="18"/>
        <v>2.1920122887864824</v>
      </c>
      <c r="X48" s="57">
        <f t="shared" si="18"/>
        <v>2.5125899280575537</v>
      </c>
      <c r="Y48" s="57">
        <f t="shared" si="18"/>
        <v>1.574074074074074</v>
      </c>
      <c r="Z48" s="12"/>
      <c r="AA48" s="12"/>
    </row>
    <row r="49" spans="4:27" ht="23.25" thickBot="1" x14ac:dyDescent="0.45">
      <c r="D49" s="12"/>
      <c r="E49" s="731" t="s">
        <v>119</v>
      </c>
      <c r="F49" s="731"/>
      <c r="G49" s="731"/>
      <c r="H49" s="56">
        <f t="shared" ref="H49:Y49" si="19">MAX(H41:H44)</f>
        <v>80</v>
      </c>
      <c r="I49" s="56">
        <f t="shared" si="19"/>
        <v>15</v>
      </c>
      <c r="J49" s="56">
        <f t="shared" si="19"/>
        <v>5.0000000000000018</v>
      </c>
      <c r="K49" s="58">
        <f t="shared" si="19"/>
        <v>13.97</v>
      </c>
      <c r="L49" s="58">
        <f t="shared" si="19"/>
        <v>3.4</v>
      </c>
      <c r="M49" s="58">
        <f t="shared" si="19"/>
        <v>2.16</v>
      </c>
      <c r="N49" s="58">
        <f t="shared" si="19"/>
        <v>42.81</v>
      </c>
      <c r="O49" s="58">
        <f t="shared" si="19"/>
        <v>1.65</v>
      </c>
      <c r="P49" s="58">
        <f t="shared" si="19"/>
        <v>0.26</v>
      </c>
      <c r="Q49" s="58">
        <f t="shared" si="19"/>
        <v>0.49</v>
      </c>
      <c r="R49" s="58">
        <f t="shared" si="19"/>
        <v>0.2</v>
      </c>
      <c r="S49" s="58">
        <f t="shared" si="19"/>
        <v>0.01</v>
      </c>
      <c r="T49" s="58">
        <f t="shared" si="19"/>
        <v>35.663660000000007</v>
      </c>
      <c r="U49" s="58">
        <f t="shared" si="19"/>
        <v>100.61366000000001</v>
      </c>
      <c r="V49" s="58">
        <f t="shared" si="19"/>
        <v>95.986547085201792</v>
      </c>
      <c r="W49" s="58">
        <f t="shared" si="19"/>
        <v>2.1920122887864824</v>
      </c>
      <c r="X49" s="58">
        <f t="shared" si="19"/>
        <v>2.5125899280575537</v>
      </c>
      <c r="Y49" s="58">
        <f t="shared" si="19"/>
        <v>1.574074074074074</v>
      </c>
      <c r="Z49" s="12"/>
      <c r="AA49" s="12"/>
    </row>
    <row r="50" spans="4:27" ht="24" thickTop="1" thickBot="1" x14ac:dyDescent="0.5">
      <c r="D50" s="12"/>
      <c r="E50" s="12"/>
      <c r="F50" s="12"/>
      <c r="G50" s="12"/>
      <c r="H50" s="12"/>
      <c r="I50" s="12"/>
      <c r="J50" s="12"/>
      <c r="K50" s="732" t="s">
        <v>120</v>
      </c>
      <c r="L50" s="732"/>
      <c r="M50" s="732"/>
      <c r="N50" s="732"/>
      <c r="O50" s="732"/>
      <c r="P50" s="732"/>
      <c r="Q50" s="732"/>
      <c r="R50" s="732"/>
      <c r="S50" s="732"/>
      <c r="T50" s="732"/>
      <c r="U50" s="732"/>
      <c r="V50" s="732"/>
      <c r="W50" s="732"/>
      <c r="X50" s="732"/>
      <c r="Y50" s="732"/>
      <c r="Z50" s="12"/>
      <c r="AA50" s="12"/>
    </row>
    <row r="51" spans="4:27" ht="24" thickTop="1" thickBot="1" x14ac:dyDescent="0.45">
      <c r="D51" s="12"/>
      <c r="E51" s="12"/>
      <c r="F51" s="733" t="s">
        <v>121</v>
      </c>
      <c r="G51" s="733"/>
      <c r="H51" s="733"/>
      <c r="I51" s="12"/>
      <c r="J51" s="12"/>
      <c r="K51" s="64" t="s">
        <v>1</v>
      </c>
      <c r="L51" s="64" t="s">
        <v>3</v>
      </c>
      <c r="M51" s="64" t="s">
        <v>4</v>
      </c>
      <c r="N51" s="64" t="s">
        <v>5</v>
      </c>
      <c r="O51" s="64" t="s">
        <v>6</v>
      </c>
      <c r="P51" s="64" t="s">
        <v>8</v>
      </c>
      <c r="Q51" s="64" t="s">
        <v>7</v>
      </c>
      <c r="R51" s="64" t="s">
        <v>9</v>
      </c>
      <c r="S51" s="64" t="s">
        <v>41</v>
      </c>
      <c r="T51" s="65" t="s">
        <v>40</v>
      </c>
      <c r="U51" s="65" t="s">
        <v>10</v>
      </c>
      <c r="V51" s="65" t="s">
        <v>39</v>
      </c>
      <c r="W51" s="65" t="s">
        <v>53</v>
      </c>
      <c r="X51" s="65" t="s">
        <v>37</v>
      </c>
      <c r="Y51" s="65" t="s">
        <v>38</v>
      </c>
      <c r="Z51" s="12"/>
      <c r="AA51" s="12"/>
    </row>
    <row r="52" spans="4:27" ht="21" thickTop="1" thickBot="1" x14ac:dyDescent="0.45">
      <c r="D52" s="12"/>
      <c r="E52" s="12"/>
      <c r="F52" s="614" t="s">
        <v>39</v>
      </c>
      <c r="G52" s="614"/>
      <c r="H52" s="60">
        <f>V52</f>
        <v>95.986547085201792</v>
      </c>
      <c r="I52" s="12"/>
      <c r="J52" s="12"/>
      <c r="K52" s="28">
        <v>13.97</v>
      </c>
      <c r="L52" s="28">
        <v>3.4</v>
      </c>
      <c r="M52" s="28">
        <v>2.16</v>
      </c>
      <c r="N52" s="28">
        <v>42.81</v>
      </c>
      <c r="O52" s="28">
        <v>1.65</v>
      </c>
      <c r="P52" s="28">
        <v>0.26</v>
      </c>
      <c r="Q52" s="28">
        <v>0.49</v>
      </c>
      <c r="R52" s="28">
        <v>0.2</v>
      </c>
      <c r="S52" s="28">
        <v>0.01</v>
      </c>
      <c r="T52" s="59">
        <f>0.786*N52+1.1*O52+0.2</f>
        <v>35.663660000000007</v>
      </c>
      <c r="U52" s="59">
        <f>SUM(K52:T52)</f>
        <v>100.61366000000001</v>
      </c>
      <c r="V52" s="60">
        <f>N52*100/(2.8*K52+1.2*L52+0.65*M52)</f>
        <v>95.986547085201792</v>
      </c>
      <c r="W52" s="59">
        <f>N52/(K52+L52+M52)</f>
        <v>2.1920122887864824</v>
      </c>
      <c r="X52" s="60">
        <f>K52/(L52+M52)</f>
        <v>2.5125899280575537</v>
      </c>
      <c r="Y52" s="60">
        <f>L52/M52</f>
        <v>1.574074074074074</v>
      </c>
      <c r="Z52" s="12"/>
      <c r="AA52" s="12"/>
    </row>
    <row r="53" spans="4:27" ht="24" thickTop="1" thickBot="1" x14ac:dyDescent="0.45">
      <c r="D53" s="12"/>
      <c r="E53" s="12"/>
      <c r="F53" s="614" t="s">
        <v>37</v>
      </c>
      <c r="G53" s="614"/>
      <c r="H53" s="60">
        <f>X52</f>
        <v>2.5125899280575537</v>
      </c>
      <c r="I53" s="12"/>
      <c r="J53" s="12"/>
      <c r="K53" s="615" t="s">
        <v>124</v>
      </c>
      <c r="L53" s="615"/>
      <c r="M53" s="615"/>
      <c r="N53" s="615"/>
      <c r="O53" s="615"/>
      <c r="P53" s="615"/>
      <c r="Q53" s="615"/>
      <c r="R53" s="615"/>
      <c r="S53" s="615"/>
      <c r="T53" s="615"/>
      <c r="U53" s="615"/>
      <c r="V53" s="615"/>
      <c r="W53" s="615"/>
      <c r="X53" s="615"/>
      <c r="Y53" s="615"/>
      <c r="Z53" s="12"/>
      <c r="AA53" s="12"/>
    </row>
    <row r="54" spans="4:27" ht="24" thickTop="1" thickBot="1" x14ac:dyDescent="0.45">
      <c r="D54" s="12"/>
      <c r="E54" s="12"/>
      <c r="F54" s="616" t="s">
        <v>47</v>
      </c>
      <c r="G54" s="617"/>
      <c r="H54" s="68">
        <v>2.1000000000000001E-2</v>
      </c>
      <c r="I54" s="12"/>
      <c r="J54" s="12"/>
      <c r="K54" s="29">
        <v>51.910012874140349</v>
      </c>
      <c r="L54" s="29">
        <v>24.189980517995103</v>
      </c>
      <c r="M54" s="29">
        <v>6.7227097100043149</v>
      </c>
      <c r="N54" s="29">
        <v>8.1274517505998443</v>
      </c>
      <c r="O54" s="29">
        <v>1.1075203400231253</v>
      </c>
      <c r="P54" s="29">
        <v>0.2</v>
      </c>
      <c r="Q54" s="29">
        <v>0.9</v>
      </c>
      <c r="R54" s="29">
        <v>4.2</v>
      </c>
      <c r="S54" s="29">
        <v>0.01</v>
      </c>
      <c r="T54" s="29">
        <v>1.5</v>
      </c>
      <c r="U54" s="61">
        <f>SUM(K54:T54)</f>
        <v>98.867675192762746</v>
      </c>
      <c r="V54" s="61">
        <f t="shared" ref="V54" si="20">N54*100/(2.8*K54+1.2*L54+0.65*M54)</f>
        <v>4.5469336530875761</v>
      </c>
      <c r="W54" s="61">
        <f t="shared" ref="W54" si="21">N54/(K54+L54+M54)</f>
        <v>9.8130723173533663E-2</v>
      </c>
      <c r="X54" s="61">
        <f t="shared" ref="X54" si="22">K54/(L54+M54)</f>
        <v>1.6792460472146948</v>
      </c>
      <c r="Y54" s="61">
        <f t="shared" ref="Y54" si="23">L54/M54</f>
        <v>3.5982485577202734</v>
      </c>
      <c r="Z54" s="12"/>
      <c r="AA54" s="12"/>
    </row>
    <row r="55" spans="4:27" ht="24" thickTop="1" thickBot="1" x14ac:dyDescent="0.5">
      <c r="D55" s="12"/>
      <c r="E55" s="12"/>
      <c r="F55" s="604" t="s">
        <v>122</v>
      </c>
      <c r="G55" s="604"/>
      <c r="H55" s="67" t="s">
        <v>133</v>
      </c>
      <c r="I55" s="12"/>
      <c r="J55" s="12"/>
      <c r="K55" s="605" t="s">
        <v>123</v>
      </c>
      <c r="L55" s="605"/>
      <c r="M55" s="605"/>
      <c r="N55" s="605"/>
      <c r="O55" s="605"/>
      <c r="P55" s="605"/>
      <c r="Q55" s="605"/>
      <c r="R55" s="605"/>
      <c r="S55" s="605"/>
      <c r="T55" s="605"/>
      <c r="U55" s="605"/>
      <c r="V55" s="605"/>
      <c r="W55" s="605"/>
      <c r="X55" s="605"/>
      <c r="Y55" s="605"/>
      <c r="Z55" s="70"/>
      <c r="AA55" s="12"/>
    </row>
    <row r="56" spans="4:27" ht="24" thickTop="1" thickBot="1" x14ac:dyDescent="0.45">
      <c r="D56" s="12"/>
      <c r="E56" s="12"/>
      <c r="F56" s="12"/>
      <c r="G56" s="12"/>
      <c r="H56" s="12"/>
      <c r="I56" s="12"/>
      <c r="J56" s="12"/>
      <c r="K56" s="64" t="s">
        <v>1</v>
      </c>
      <c r="L56" s="64" t="s">
        <v>3</v>
      </c>
      <c r="M56" s="64" t="s">
        <v>4</v>
      </c>
      <c r="N56" s="64" t="s">
        <v>5</v>
      </c>
      <c r="O56" s="64" t="s">
        <v>6</v>
      </c>
      <c r="P56" s="64" t="s">
        <v>8</v>
      </c>
      <c r="Q56" s="64" t="s">
        <v>7</v>
      </c>
      <c r="R56" s="64" t="s">
        <v>9</v>
      </c>
      <c r="S56" s="64" t="s">
        <v>41</v>
      </c>
      <c r="T56" s="606" t="s">
        <v>10</v>
      </c>
      <c r="U56" s="606"/>
      <c r="V56" s="65" t="s">
        <v>39</v>
      </c>
      <c r="W56" s="65" t="s">
        <v>53</v>
      </c>
      <c r="X56" s="65" t="s">
        <v>37</v>
      </c>
      <c r="Y56" s="65" t="s">
        <v>38</v>
      </c>
      <c r="Z56" s="12"/>
      <c r="AA56" s="12"/>
    </row>
    <row r="57" spans="4:27" ht="21" thickTop="1" thickBot="1" x14ac:dyDescent="0.45">
      <c r="D57" s="12"/>
      <c r="E57" s="12"/>
      <c r="F57" s="12"/>
      <c r="G57" s="12"/>
      <c r="H57" s="12"/>
      <c r="I57" s="12"/>
      <c r="J57" s="12"/>
      <c r="K57" s="59">
        <f>(1/(1-T52/100))*K52*(1-H54)+K54*H54</f>
        <v>22.348127123662564</v>
      </c>
      <c r="L57" s="59">
        <f>(1/(1-T52/100))*L52*(1-H54)+L54*H54</f>
        <v>5.6817374291913598</v>
      </c>
      <c r="M57" s="59">
        <f>(1/(1-T52/100))*M52*(1-H54)+M54*H54</f>
        <v>3.4280284717798204</v>
      </c>
      <c r="N57" s="59">
        <f>(1/(1-T52/100))*N52*(1-H54)+N54*H54</f>
        <v>65.314248533291831</v>
      </c>
      <c r="O57" s="59">
        <f>(1/(1-T52/100))*O52*(1-H54)+O54*H54</f>
        <v>2.534047319263196</v>
      </c>
      <c r="P57" s="59">
        <f>(1/(1-T52/100))*P52*(1-H54)+P54*H54</f>
        <v>0.3998395405769119</v>
      </c>
      <c r="Q57" s="59">
        <f t="shared" ref="Q57" si="24">(1/(1-Z52/100))*Q52*(1-N59)+Q54*N59</f>
        <v>0.49</v>
      </c>
      <c r="R57" s="59">
        <f>(1/(1-T52/100))*R52*(1-H54)+R54*H54</f>
        <v>0.39253810813608614</v>
      </c>
      <c r="S57" s="59">
        <f>(1/(1-T52/100))*S52*(1-H54)+S54*H54</f>
        <v>1.5426905406804305E-2</v>
      </c>
      <c r="T57" s="607">
        <f>SUM(K57:S57)</f>
        <v>100.60399343130855</v>
      </c>
      <c r="U57" s="607"/>
      <c r="V57" s="60">
        <f>N57*100/(2.8*K57+1.2*L57+0.65*M57)</f>
        <v>91.194194989144691</v>
      </c>
      <c r="W57" s="59">
        <f>N57/(K57+L57+M57)</f>
        <v>2.0762435831969475</v>
      </c>
      <c r="X57" s="60">
        <f>K57/(L57+M57)</f>
        <v>2.4532054244423627</v>
      </c>
      <c r="Y57" s="60">
        <f>L57/M57</f>
        <v>1.657435892369185</v>
      </c>
      <c r="Z57" s="12"/>
      <c r="AA57" s="12"/>
    </row>
    <row r="58" spans="4:27" ht="21" customHeight="1" thickTop="1" thickBot="1" x14ac:dyDescent="0.5">
      <c r="D58" s="12"/>
      <c r="E58" s="12"/>
      <c r="F58" s="12"/>
      <c r="G58" s="12"/>
      <c r="H58" s="12"/>
      <c r="I58" s="12"/>
      <c r="J58" s="12"/>
      <c r="K58" s="728" t="s">
        <v>154</v>
      </c>
      <c r="L58" s="728" t="s">
        <v>54</v>
      </c>
      <c r="M58" s="729" t="s">
        <v>151</v>
      </c>
      <c r="N58" s="730" t="s">
        <v>56</v>
      </c>
      <c r="O58" s="730" t="s">
        <v>57</v>
      </c>
      <c r="P58" s="726" t="s">
        <v>58</v>
      </c>
      <c r="Q58" s="726"/>
      <c r="R58" s="726"/>
      <c r="S58" s="726"/>
      <c r="T58" s="725" t="s">
        <v>134</v>
      </c>
      <c r="U58" s="725" t="s">
        <v>59</v>
      </c>
      <c r="V58" s="725" t="s">
        <v>128</v>
      </c>
      <c r="W58" s="725" t="s">
        <v>60</v>
      </c>
      <c r="X58" s="726" t="s">
        <v>61</v>
      </c>
      <c r="Y58" s="726"/>
      <c r="Z58" s="12"/>
      <c r="AA58" s="12"/>
    </row>
    <row r="59" spans="4:27" ht="24" thickTop="1" thickBot="1" x14ac:dyDescent="0.45">
      <c r="D59" s="12"/>
      <c r="E59" s="12"/>
      <c r="F59" s="12"/>
      <c r="G59" s="12"/>
      <c r="H59" s="12"/>
      <c r="I59" s="12"/>
      <c r="J59" s="12"/>
      <c r="K59" s="728"/>
      <c r="L59" s="728"/>
      <c r="M59" s="729"/>
      <c r="N59" s="730"/>
      <c r="O59" s="730"/>
      <c r="P59" s="206" t="s">
        <v>62</v>
      </c>
      <c r="Q59" s="206" t="s">
        <v>63</v>
      </c>
      <c r="R59" s="206" t="s">
        <v>64</v>
      </c>
      <c r="S59" s="206" t="s">
        <v>65</v>
      </c>
      <c r="T59" s="725"/>
      <c r="U59" s="725"/>
      <c r="V59" s="725"/>
      <c r="W59" s="725"/>
      <c r="X59" s="206" t="s">
        <v>66</v>
      </c>
      <c r="Y59" s="206" t="s">
        <v>40</v>
      </c>
      <c r="Z59" s="12"/>
      <c r="AA59" s="12"/>
    </row>
    <row r="60" spans="4:27" ht="21" thickTop="1" thickBot="1" x14ac:dyDescent="0.45">
      <c r="D60" s="12"/>
      <c r="E60" s="12"/>
      <c r="F60" s="12"/>
      <c r="G60" s="12"/>
      <c r="H60" s="12"/>
      <c r="I60" s="12"/>
      <c r="J60" s="12"/>
      <c r="K60" s="30">
        <v>1.25</v>
      </c>
      <c r="L60" s="30">
        <v>1.8</v>
      </c>
      <c r="M60" s="32" t="s">
        <v>131</v>
      </c>
      <c r="N60" s="59">
        <f>((O60/100)-(Y60/100))/((O60/100)-(O60/100)*(Y60/100))*100</f>
        <v>96.166062000057735</v>
      </c>
      <c r="O60" s="31">
        <v>34.39</v>
      </c>
      <c r="P60" s="60">
        <f>4.071*(N57-L60)-7.6024*K57-6.718*L57-1.4297*M57</f>
        <v>45.596139778687601</v>
      </c>
      <c r="Q60" s="60">
        <f>8.6024*K57+5.0683*L57+1.0785*M57-3.071*(N57-L60)</f>
        <v>29.689150042040694</v>
      </c>
      <c r="R60" s="60">
        <f>2.65*L57-1.692*M57</f>
        <v>9.2563800131056464</v>
      </c>
      <c r="S60" s="60">
        <f>3.0432*M57</f>
        <v>10.432176245320349</v>
      </c>
      <c r="T60" s="59">
        <f>R57/(Q57+0.5*P57)</f>
        <v>0.56896196491363871</v>
      </c>
      <c r="U60" s="59">
        <f>P57+(0.658*Q57)</f>
        <v>0.72225954057691188</v>
      </c>
      <c r="V60" s="59">
        <f>3*L57+2.25*M57+O57+P57+Q57+R57</f>
        <v>28.57470131705487</v>
      </c>
      <c r="W60" s="59">
        <f>R60+S60+(Q60*0.2)+(2*M57)</f>
        <v>32.482443210393775</v>
      </c>
      <c r="X60" s="31">
        <v>1</v>
      </c>
      <c r="Y60" s="30">
        <v>1.97</v>
      </c>
      <c r="Z60" s="12"/>
      <c r="AA60" s="12"/>
    </row>
    <row r="61" spans="4:27" ht="20.25" thickTop="1" x14ac:dyDescent="0.4">
      <c r="D61" s="12"/>
      <c r="E61" s="12"/>
      <c r="F61" s="12"/>
      <c r="G61" s="12"/>
      <c r="H61" s="70"/>
      <c r="I61" s="70"/>
      <c r="J61" s="7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4:27" x14ac:dyDescent="0.4">
      <c r="D62" s="12"/>
      <c r="E62" s="12"/>
      <c r="F62" s="12"/>
      <c r="G62" s="12"/>
      <c r="H62" s="70"/>
      <c r="I62" s="70"/>
      <c r="J62" s="7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4:27" x14ac:dyDescent="0.4">
      <c r="D63" s="12"/>
      <c r="E63" s="12"/>
      <c r="F63" s="12"/>
      <c r="G63" s="12"/>
      <c r="H63" s="70"/>
      <c r="I63" s="70"/>
      <c r="J63" s="7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4:27" x14ac:dyDescent="0.4">
      <c r="D64" s="12"/>
      <c r="E64" s="12"/>
      <c r="F64" s="12"/>
      <c r="G64" s="12"/>
      <c r="H64" s="70"/>
      <c r="I64" s="70"/>
      <c r="J64" s="7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</sheetData>
  <mergeCells count="109">
    <mergeCell ref="E32:E33"/>
    <mergeCell ref="F32:F33"/>
    <mergeCell ref="X23:Y23"/>
    <mergeCell ref="F16:H16"/>
    <mergeCell ref="F17:G17"/>
    <mergeCell ref="F18:G18"/>
    <mergeCell ref="O23:O24"/>
    <mergeCell ref="P23:S23"/>
    <mergeCell ref="T23:T24"/>
    <mergeCell ref="U23:U24"/>
    <mergeCell ref="V23:V24"/>
    <mergeCell ref="W23:W24"/>
    <mergeCell ref="K23:K24"/>
    <mergeCell ref="L23:L24"/>
    <mergeCell ref="M23:M24"/>
    <mergeCell ref="N23:N24"/>
    <mergeCell ref="T21:U21"/>
    <mergeCell ref="T22:U22"/>
    <mergeCell ref="K18:Y18"/>
    <mergeCell ref="K20:Y20"/>
    <mergeCell ref="N31:O32"/>
    <mergeCell ref="K31:K32"/>
    <mergeCell ref="K15:Y15"/>
    <mergeCell ref="F19:G19"/>
    <mergeCell ref="F20:G20"/>
    <mergeCell ref="E10:F10"/>
    <mergeCell ref="E11:F11"/>
    <mergeCell ref="E12:F12"/>
    <mergeCell ref="E13:F13"/>
    <mergeCell ref="E14:F14"/>
    <mergeCell ref="M8:M9"/>
    <mergeCell ref="N8:N9"/>
    <mergeCell ref="O8:O9"/>
    <mergeCell ref="P8:P9"/>
    <mergeCell ref="Q8:Q9"/>
    <mergeCell ref="R8:R9"/>
    <mergeCell ref="S8:S9"/>
    <mergeCell ref="V8:V9"/>
    <mergeCell ref="W8:W9"/>
    <mergeCell ref="X8:X9"/>
    <mergeCell ref="Y8:Y9"/>
    <mergeCell ref="E6:F9"/>
    <mergeCell ref="G6:G9"/>
    <mergeCell ref="H6:J7"/>
    <mergeCell ref="T6:T9"/>
    <mergeCell ref="U6:U9"/>
    <mergeCell ref="H8:H9"/>
    <mergeCell ref="I8:I9"/>
    <mergeCell ref="J8:J9"/>
    <mergeCell ref="E4:Y5"/>
    <mergeCell ref="K6:S7"/>
    <mergeCell ref="K8:K9"/>
    <mergeCell ref="L8:L9"/>
    <mergeCell ref="V6:Y7"/>
    <mergeCell ref="S38:S40"/>
    <mergeCell ref="V38:V40"/>
    <mergeCell ref="W38:W40"/>
    <mergeCell ref="X38:X40"/>
    <mergeCell ref="Y38:Y40"/>
    <mergeCell ref="E36:Y36"/>
    <mergeCell ref="E37:F40"/>
    <mergeCell ref="G37:G40"/>
    <mergeCell ref="H37:J38"/>
    <mergeCell ref="K37:S37"/>
    <mergeCell ref="T37:T40"/>
    <mergeCell ref="U37:U40"/>
    <mergeCell ref="V37:Y37"/>
    <mergeCell ref="K38:K40"/>
    <mergeCell ref="L38:L40"/>
    <mergeCell ref="M38:M40"/>
    <mergeCell ref="N38:N40"/>
    <mergeCell ref="O38:O40"/>
    <mergeCell ref="P38:P40"/>
    <mergeCell ref="Q38:Q40"/>
    <mergeCell ref="R38:R40"/>
    <mergeCell ref="E43:F43"/>
    <mergeCell ref="E44:F44"/>
    <mergeCell ref="E45:F45"/>
    <mergeCell ref="E46:G46"/>
    <mergeCell ref="E47:G47"/>
    <mergeCell ref="H39:H40"/>
    <mergeCell ref="I39:I40"/>
    <mergeCell ref="J39:J40"/>
    <mergeCell ref="E41:F41"/>
    <mergeCell ref="E42:F42"/>
    <mergeCell ref="V58:V59"/>
    <mergeCell ref="W58:W59"/>
    <mergeCell ref="X58:Y58"/>
    <mergeCell ref="E3:Y3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F53:G53"/>
    <mergeCell ref="K53:Y53"/>
    <mergeCell ref="F54:G54"/>
    <mergeCell ref="F55:G55"/>
    <mergeCell ref="K55:Y55"/>
    <mergeCell ref="E48:G48"/>
    <mergeCell ref="E49:G49"/>
    <mergeCell ref="K50:Y50"/>
    <mergeCell ref="F51:H51"/>
    <mergeCell ref="F52:G5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B1:Y80"/>
  <sheetViews>
    <sheetView topLeftCell="A7" zoomScale="55" zoomScaleNormal="55" workbookViewId="0">
      <selection activeCell="I16" sqref="I16:J16"/>
    </sheetView>
  </sheetViews>
  <sheetFormatPr defaultRowHeight="19.5" x14ac:dyDescent="0.4"/>
  <cols>
    <col min="1" max="2" width="9.140625" style="69"/>
    <col min="3" max="3" width="11.42578125" style="69" bestFit="1" customWidth="1"/>
    <col min="4" max="4" width="5.28515625" style="69" customWidth="1"/>
    <col min="5" max="5" width="24.7109375" style="69" customWidth="1"/>
    <col min="6" max="6" width="19.85546875" style="69" bestFit="1" customWidth="1"/>
    <col min="7" max="7" width="17.140625" style="69" customWidth="1"/>
    <col min="8" max="8" width="16.7109375" style="69" bestFit="1" customWidth="1"/>
    <col min="9" max="9" width="17.28515625" style="69" bestFit="1" customWidth="1"/>
    <col min="10" max="10" width="17.28515625" style="69" customWidth="1"/>
    <col min="11" max="11" width="9.140625" style="69"/>
    <col min="12" max="12" width="10" style="69" bestFit="1" customWidth="1"/>
    <col min="13" max="13" width="12.42578125" style="69" customWidth="1"/>
    <col min="14" max="16" width="9.140625" style="69"/>
    <col min="17" max="18" width="16.7109375" style="69" bestFit="1" customWidth="1"/>
    <col min="19" max="16384" width="9.140625" style="69"/>
  </cols>
  <sheetData>
    <row r="1" spans="3:19" x14ac:dyDescent="0.4"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103"/>
      <c r="Q1" s="103"/>
      <c r="R1" s="103"/>
    </row>
    <row r="2" spans="3:19" x14ac:dyDescent="0.4"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103"/>
      <c r="Q2" s="103"/>
      <c r="R2" s="103"/>
    </row>
    <row r="3" spans="3:19" ht="20.25" thickBot="1" x14ac:dyDescent="0.45">
      <c r="C3" s="281"/>
      <c r="D3" s="281"/>
      <c r="E3" s="281"/>
      <c r="F3" s="281"/>
      <c r="G3" s="281"/>
      <c r="H3" s="281" t="s">
        <v>135</v>
      </c>
      <c r="I3" s="281"/>
      <c r="J3" s="281"/>
      <c r="K3" s="281"/>
      <c r="L3" s="281"/>
      <c r="M3" s="281"/>
      <c r="N3" s="281"/>
      <c r="O3" s="281"/>
      <c r="P3" s="103"/>
      <c r="Q3" s="103"/>
      <c r="R3" s="103"/>
    </row>
    <row r="4" spans="3:19" ht="12.75" customHeight="1" thickTop="1" x14ac:dyDescent="0.4">
      <c r="C4" s="281"/>
      <c r="D4" s="281"/>
      <c r="E4" s="745" t="s">
        <v>48</v>
      </c>
      <c r="F4" s="746"/>
      <c r="G4" s="746"/>
      <c r="H4" s="746"/>
      <c r="I4" s="746"/>
      <c r="J4" s="747"/>
      <c r="K4" s="340"/>
      <c r="L4" s="340"/>
      <c r="M4" s="340"/>
      <c r="N4" s="340"/>
      <c r="O4" s="340"/>
      <c r="P4" s="281"/>
      <c r="Q4" s="103"/>
      <c r="R4" s="103"/>
    </row>
    <row r="5" spans="3:19" ht="12.75" customHeight="1" x14ac:dyDescent="0.4">
      <c r="C5" s="281"/>
      <c r="D5" s="281"/>
      <c r="E5" s="784"/>
      <c r="F5" s="623"/>
      <c r="G5" s="623"/>
      <c r="H5" s="623"/>
      <c r="I5" s="623"/>
      <c r="J5" s="785"/>
      <c r="K5" s="340"/>
      <c r="L5" s="340"/>
      <c r="M5" s="340"/>
      <c r="N5" s="340"/>
      <c r="O5" s="340"/>
      <c r="P5" s="281"/>
      <c r="Q5" s="103"/>
      <c r="R5" s="103"/>
    </row>
    <row r="6" spans="3:19" ht="12.75" customHeight="1" x14ac:dyDescent="0.4">
      <c r="C6" s="281"/>
      <c r="D6" s="281"/>
      <c r="E6" s="784"/>
      <c r="F6" s="623"/>
      <c r="G6" s="623"/>
      <c r="H6" s="623"/>
      <c r="I6" s="623"/>
      <c r="J6" s="785"/>
      <c r="K6" s="340"/>
      <c r="L6" s="340"/>
      <c r="M6" s="340"/>
      <c r="N6" s="340"/>
      <c r="O6" s="340"/>
      <c r="P6" s="281"/>
      <c r="Q6" s="103"/>
      <c r="R6" s="103"/>
    </row>
    <row r="7" spans="3:19" ht="20.25" thickBot="1" x14ac:dyDescent="0.45">
      <c r="C7" s="281"/>
      <c r="D7" s="281"/>
      <c r="E7" s="748"/>
      <c r="F7" s="749"/>
      <c r="G7" s="749"/>
      <c r="H7" s="749"/>
      <c r="I7" s="749"/>
      <c r="J7" s="750"/>
      <c r="K7" s="341"/>
      <c r="L7" s="341"/>
      <c r="M7" s="341"/>
      <c r="N7" s="341"/>
      <c r="O7" s="341"/>
      <c r="P7" s="339"/>
      <c r="Q7" s="103"/>
      <c r="R7" s="103"/>
      <c r="S7" s="111"/>
    </row>
    <row r="8" spans="3:19" ht="24" customHeight="1" thickTop="1" thickBot="1" x14ac:dyDescent="0.45">
      <c r="C8" s="281"/>
      <c r="D8" s="281"/>
      <c r="E8" s="796" t="s">
        <v>44</v>
      </c>
      <c r="F8" s="797"/>
      <c r="G8" s="797"/>
      <c r="H8" s="798"/>
      <c r="I8" s="798"/>
      <c r="J8" s="799"/>
      <c r="K8" s="341"/>
      <c r="L8" s="341"/>
      <c r="M8" s="341"/>
      <c r="N8" s="341"/>
      <c r="O8" s="341"/>
      <c r="P8" s="339"/>
      <c r="Q8" s="103"/>
      <c r="R8" s="103"/>
      <c r="S8" s="111"/>
    </row>
    <row r="9" spans="3:19" ht="21" thickTop="1" thickBot="1" x14ac:dyDescent="0.45">
      <c r="C9" s="281"/>
      <c r="D9" s="281"/>
      <c r="E9" s="844" t="s">
        <v>42</v>
      </c>
      <c r="F9" s="845"/>
      <c r="G9" s="846"/>
      <c r="H9" s="824">
        <v>97</v>
      </c>
      <c r="I9" s="825"/>
      <c r="J9" s="826"/>
      <c r="K9" s="341"/>
      <c r="L9" s="341"/>
      <c r="M9" s="341"/>
      <c r="N9" s="341"/>
      <c r="O9" s="341"/>
      <c r="P9" s="339"/>
      <c r="Q9" s="103"/>
      <c r="R9" s="103"/>
      <c r="S9" s="111"/>
    </row>
    <row r="10" spans="3:19" ht="21" thickTop="1" thickBot="1" x14ac:dyDescent="0.45">
      <c r="C10" s="281"/>
      <c r="D10" s="281"/>
      <c r="E10" s="841" t="s">
        <v>45</v>
      </c>
      <c r="F10" s="842"/>
      <c r="G10" s="843"/>
      <c r="H10" s="827">
        <v>2.5</v>
      </c>
      <c r="I10" s="828"/>
      <c r="J10" s="829"/>
      <c r="K10" s="342"/>
      <c r="L10" s="343"/>
      <c r="M10" s="313"/>
      <c r="N10" s="313"/>
      <c r="O10" s="313"/>
      <c r="P10" s="281"/>
      <c r="Q10" s="103"/>
      <c r="R10" s="103"/>
    </row>
    <row r="11" spans="3:19" ht="21" thickTop="1" thickBot="1" x14ac:dyDescent="0.45">
      <c r="C11" s="281"/>
      <c r="D11" s="281"/>
      <c r="E11" s="847" t="s">
        <v>2</v>
      </c>
      <c r="F11" s="380" t="s">
        <v>11</v>
      </c>
      <c r="G11" s="381" t="s">
        <v>26</v>
      </c>
      <c r="H11" s="361" t="s">
        <v>27</v>
      </c>
      <c r="I11" s="822" t="s">
        <v>0</v>
      </c>
      <c r="J11" s="823"/>
      <c r="K11" s="313"/>
      <c r="L11" s="849" t="s">
        <v>12</v>
      </c>
      <c r="M11" s="849"/>
      <c r="N11" s="849"/>
      <c r="O11" s="849"/>
      <c r="P11" s="281"/>
      <c r="Q11" s="103"/>
      <c r="R11" s="103"/>
    </row>
    <row r="12" spans="3:19" ht="21" thickTop="1" thickBot="1" x14ac:dyDescent="0.45">
      <c r="C12" s="281"/>
      <c r="D12" s="281"/>
      <c r="E12" s="848"/>
      <c r="F12" s="355">
        <v>82.57</v>
      </c>
      <c r="G12" s="357">
        <v>14.61</v>
      </c>
      <c r="H12" s="359">
        <v>2.82</v>
      </c>
      <c r="I12" s="820">
        <f>SUM(F12:H12)</f>
        <v>99.999999999999986</v>
      </c>
      <c r="J12" s="821"/>
      <c r="K12" s="313"/>
      <c r="L12" s="344" t="s">
        <v>13</v>
      </c>
      <c r="M12" s="832">
        <v>1</v>
      </c>
      <c r="N12" s="832"/>
      <c r="O12" s="832"/>
      <c r="P12" s="281"/>
      <c r="Q12" s="103"/>
      <c r="R12" s="103"/>
    </row>
    <row r="13" spans="3:19" ht="21.75" thickTop="1" thickBot="1" x14ac:dyDescent="0.45">
      <c r="C13" s="281"/>
      <c r="D13" s="281"/>
      <c r="E13" s="345" t="s">
        <v>1</v>
      </c>
      <c r="F13" s="362">
        <v>3.24</v>
      </c>
      <c r="G13" s="363">
        <v>74.98</v>
      </c>
      <c r="H13" s="364">
        <v>9.16</v>
      </c>
      <c r="I13" s="803">
        <f>(F12*F13+G12*G13+H12*H13)/I12</f>
        <v>13.888158000000001</v>
      </c>
      <c r="J13" s="804"/>
      <c r="K13" s="313"/>
      <c r="L13" s="344" t="s">
        <v>14</v>
      </c>
      <c r="M13" s="832">
        <v>1</v>
      </c>
      <c r="N13" s="832"/>
      <c r="O13" s="832"/>
      <c r="P13" s="281"/>
      <c r="Q13" s="103"/>
      <c r="R13" s="103"/>
    </row>
    <row r="14" spans="3:19" ht="21.75" thickTop="1" thickBot="1" x14ac:dyDescent="0.45">
      <c r="C14" s="281"/>
      <c r="D14" s="281"/>
      <c r="E14" s="345" t="s">
        <v>3</v>
      </c>
      <c r="F14" s="362">
        <v>0.79</v>
      </c>
      <c r="G14" s="363">
        <v>8.8000000000000007</v>
      </c>
      <c r="H14" s="364">
        <v>2</v>
      </c>
      <c r="I14" s="803">
        <f>(F12*F14+G12*G14+H12*H14)/I12</f>
        <v>1.9943830000000002</v>
      </c>
      <c r="J14" s="804"/>
      <c r="K14" s="313"/>
      <c r="L14" s="344" t="s">
        <v>15</v>
      </c>
      <c r="M14" s="832">
        <v>1</v>
      </c>
      <c r="N14" s="832"/>
      <c r="O14" s="832"/>
      <c r="P14" s="281"/>
      <c r="Q14" s="103"/>
      <c r="R14" s="103"/>
    </row>
    <row r="15" spans="3:19" ht="21.75" thickTop="1" thickBot="1" x14ac:dyDescent="0.45">
      <c r="C15" s="281"/>
      <c r="D15" s="281"/>
      <c r="E15" s="345" t="s">
        <v>4</v>
      </c>
      <c r="F15" s="362">
        <v>0.38</v>
      </c>
      <c r="G15" s="363">
        <v>6.2</v>
      </c>
      <c r="H15" s="364">
        <v>83.04</v>
      </c>
      <c r="I15" s="803">
        <f>(F12*F15+G12*G15+H12*H15)/I12</f>
        <v>3.5613140000000003</v>
      </c>
      <c r="J15" s="804"/>
      <c r="K15" s="313"/>
      <c r="L15" s="344" t="s">
        <v>16</v>
      </c>
      <c r="M15" s="832">
        <v>100</v>
      </c>
      <c r="N15" s="832"/>
      <c r="O15" s="832"/>
      <c r="P15" s="281"/>
      <c r="Q15" s="103"/>
      <c r="R15" s="103"/>
    </row>
    <row r="16" spans="3:19" ht="21.75" thickTop="1" thickBot="1" x14ac:dyDescent="0.45">
      <c r="C16" s="281"/>
      <c r="D16" s="281"/>
      <c r="E16" s="345" t="s">
        <v>5</v>
      </c>
      <c r="F16" s="362">
        <v>51</v>
      </c>
      <c r="G16" s="363">
        <v>0.98</v>
      </c>
      <c r="H16" s="364">
        <v>0.06</v>
      </c>
      <c r="I16" s="803">
        <f>(F12*F16+G12*G16+H12*H16)/I12</f>
        <v>42.255570000000006</v>
      </c>
      <c r="J16" s="804"/>
      <c r="K16" s="313"/>
      <c r="L16" s="344" t="s">
        <v>17</v>
      </c>
      <c r="M16" s="832">
        <f>H10*(F14+F15)-F13</f>
        <v>-0.31500000000000039</v>
      </c>
      <c r="N16" s="832"/>
      <c r="O16" s="832"/>
      <c r="P16" s="281"/>
      <c r="Q16" s="103"/>
      <c r="R16" s="103"/>
    </row>
    <row r="17" spans="3:20" ht="21.75" thickTop="1" thickBot="1" x14ac:dyDescent="0.45">
      <c r="C17" s="281"/>
      <c r="D17" s="281"/>
      <c r="E17" s="345" t="s">
        <v>6</v>
      </c>
      <c r="F17" s="356">
        <v>1.24</v>
      </c>
      <c r="G17" s="358">
        <v>0.24</v>
      </c>
      <c r="H17" s="360">
        <v>0.41</v>
      </c>
      <c r="I17" s="803">
        <f>(F12*F17+G12*G17+H12*H17)/I12</f>
        <v>1.0704940000000001</v>
      </c>
      <c r="J17" s="804"/>
      <c r="K17" s="313"/>
      <c r="L17" s="344" t="s">
        <v>18</v>
      </c>
      <c r="M17" s="832">
        <f>H10*(G14+G15)-G13</f>
        <v>-37.480000000000004</v>
      </c>
      <c r="N17" s="832"/>
      <c r="O17" s="832"/>
      <c r="P17" s="281"/>
      <c r="Q17" s="103"/>
      <c r="R17" s="103"/>
    </row>
    <row r="18" spans="3:20" ht="21.75" thickTop="1" thickBot="1" x14ac:dyDescent="0.45">
      <c r="C18" s="281"/>
      <c r="D18" s="281"/>
      <c r="E18" s="345" t="s">
        <v>8</v>
      </c>
      <c r="F18" s="356">
        <v>0.5</v>
      </c>
      <c r="G18" s="358">
        <v>0.3</v>
      </c>
      <c r="H18" s="360">
        <v>0.2</v>
      </c>
      <c r="I18" s="803">
        <f>(F12*F18+G12*G18+H12*H18)/I12</f>
        <v>0.46232000000000006</v>
      </c>
      <c r="J18" s="804"/>
      <c r="K18" s="313"/>
      <c r="L18" s="344" t="s">
        <v>19</v>
      </c>
      <c r="M18" s="832">
        <f>H10*(H14+H15)-H13</f>
        <v>203.44000000000003</v>
      </c>
      <c r="N18" s="832"/>
      <c r="O18" s="832"/>
      <c r="P18" s="281"/>
      <c r="Q18" s="103"/>
      <c r="R18" s="103"/>
    </row>
    <row r="19" spans="3:20" ht="21.75" thickTop="1" thickBot="1" x14ac:dyDescent="0.45">
      <c r="C19" s="281"/>
      <c r="D19" s="281"/>
      <c r="E19" s="345" t="s">
        <v>7</v>
      </c>
      <c r="F19" s="356">
        <v>0.2</v>
      </c>
      <c r="G19" s="358">
        <v>0.2</v>
      </c>
      <c r="H19" s="360">
        <v>0.1</v>
      </c>
      <c r="I19" s="803">
        <f>(F12*F19+G12*G19+H12*H19)/I12</f>
        <v>0.19718000000000002</v>
      </c>
      <c r="J19" s="804"/>
      <c r="K19" s="313"/>
      <c r="L19" s="344" t="s">
        <v>20</v>
      </c>
      <c r="M19" s="832">
        <v>0</v>
      </c>
      <c r="N19" s="832"/>
      <c r="O19" s="832"/>
      <c r="P19" s="281"/>
      <c r="Q19" s="103"/>
      <c r="R19" s="103"/>
    </row>
    <row r="20" spans="3:20" ht="21.75" thickTop="1" thickBot="1" x14ac:dyDescent="0.45">
      <c r="C20" s="281"/>
      <c r="D20" s="281"/>
      <c r="E20" s="345" t="s">
        <v>9</v>
      </c>
      <c r="F20" s="356">
        <v>0.1</v>
      </c>
      <c r="G20" s="358">
        <v>0.2</v>
      </c>
      <c r="H20" s="360">
        <v>7.0000000000000007E-2</v>
      </c>
      <c r="I20" s="803">
        <f>(F12*F20+G12*G20+H12*H20)/I12</f>
        <v>0.11376400000000002</v>
      </c>
      <c r="J20" s="804"/>
      <c r="K20" s="313"/>
      <c r="L20" s="344" t="s">
        <v>21</v>
      </c>
      <c r="M20" s="832">
        <f>H9*(2.8*F13+1.18*F14+0.65*F15)-100*F16</f>
        <v>-4105.6336000000001</v>
      </c>
      <c r="N20" s="832"/>
      <c r="O20" s="832"/>
      <c r="P20" s="281"/>
      <c r="Q20" s="103"/>
      <c r="R20" s="103"/>
    </row>
    <row r="21" spans="3:20" ht="21.75" thickTop="1" thickBot="1" x14ac:dyDescent="0.45">
      <c r="C21" s="281"/>
      <c r="D21" s="281"/>
      <c r="E21" s="345" t="s">
        <v>41</v>
      </c>
      <c r="F21" s="356">
        <v>0.1</v>
      </c>
      <c r="G21" s="358">
        <v>0.2</v>
      </c>
      <c r="H21" s="360">
        <v>7.0000000000000007E-2</v>
      </c>
      <c r="I21" s="803">
        <f>(F12*F21+G12*G21+H12*H21)/I12</f>
        <v>0.11376400000000002</v>
      </c>
      <c r="J21" s="804"/>
      <c r="K21" s="313"/>
      <c r="L21" s="344" t="s">
        <v>22</v>
      </c>
      <c r="M21" s="832">
        <f>H9*(2.8*G13+1.18*G14+0.65*G15)-100*G16</f>
        <v>21664.725999999999</v>
      </c>
      <c r="N21" s="832"/>
      <c r="O21" s="832"/>
      <c r="P21" s="281"/>
      <c r="Q21" s="103"/>
      <c r="R21" s="103"/>
    </row>
    <row r="22" spans="3:20" ht="21.75" thickTop="1" thickBot="1" x14ac:dyDescent="0.45">
      <c r="C22" s="281"/>
      <c r="D22" s="281"/>
      <c r="E22" s="345" t="s">
        <v>40</v>
      </c>
      <c r="F22" s="356">
        <v>42.48</v>
      </c>
      <c r="G22" s="358">
        <v>8</v>
      </c>
      <c r="H22" s="360">
        <v>4.6500000000000004</v>
      </c>
      <c r="I22" s="803">
        <f>(F12*F22+G12*G22+H12*H22)/I12</f>
        <v>36.375665999999995</v>
      </c>
      <c r="J22" s="804"/>
      <c r="K22" s="313"/>
      <c r="L22" s="344" t="s">
        <v>23</v>
      </c>
      <c r="M22" s="832">
        <f>H9*(2.8*H13+1.18*H14+0.65*H15)-100*H16</f>
        <v>7946.4480000000012</v>
      </c>
      <c r="N22" s="832"/>
      <c r="O22" s="832"/>
      <c r="P22" s="281"/>
      <c r="Q22" s="103"/>
      <c r="R22" s="103"/>
    </row>
    <row r="23" spans="3:20" ht="21.75" thickTop="1" thickBot="1" x14ac:dyDescent="0.45">
      <c r="C23" s="281"/>
      <c r="D23" s="281"/>
      <c r="E23" s="365" t="s">
        <v>10</v>
      </c>
      <c r="F23" s="346">
        <f>SUM(F13:F22)</f>
        <v>100.03</v>
      </c>
      <c r="G23" s="346">
        <f>SUM(G13:G22)</f>
        <v>100.10000000000001</v>
      </c>
      <c r="H23" s="346">
        <f>SUM(H13:H22)</f>
        <v>99.759999999999991</v>
      </c>
      <c r="I23" s="801">
        <f>SUM(I13:I22)</f>
        <v>100.032613</v>
      </c>
      <c r="J23" s="802"/>
      <c r="K23" s="313"/>
      <c r="L23" s="344" t="s">
        <v>24</v>
      </c>
      <c r="M23" s="832">
        <v>0</v>
      </c>
      <c r="N23" s="832"/>
      <c r="O23" s="832"/>
      <c r="P23" s="281"/>
      <c r="Q23" s="103"/>
      <c r="R23" s="103"/>
    </row>
    <row r="24" spans="3:20" ht="21" thickTop="1" thickBot="1" x14ac:dyDescent="0.45">
      <c r="C24" s="281"/>
      <c r="D24" s="281"/>
      <c r="E24" s="382" t="s">
        <v>39</v>
      </c>
      <c r="F24" s="347">
        <f>100*F16/(2.8*F13+1.18*F14+0.65*F15)</f>
        <v>497.50273138754494</v>
      </c>
      <c r="G24" s="347">
        <f>100*G16/(2.8*G13+1.18*G14+0.65*G15)</f>
        <v>0.43680189696823829</v>
      </c>
      <c r="H24" s="347">
        <f>100*H16/(2.8*H13+1.18*H14+0.65*H15)</f>
        <v>7.3185011709601872E-2</v>
      </c>
      <c r="I24" s="836">
        <f>100*I16/(2.8*I13+1.18*I14+0.65*I15)</f>
        <v>97.016424295624432</v>
      </c>
      <c r="J24" s="837"/>
      <c r="K24" s="313"/>
      <c r="L24" s="344" t="s">
        <v>25</v>
      </c>
      <c r="M24" s="832">
        <f>(M12*M17*M22)+(M13*M18*M20)+(M14*M16*M21)-(M14*M17*M20)-(M12*M18*M21)-(M13*M16*M22)</f>
        <v>-5698755.2329620011</v>
      </c>
      <c r="N24" s="832"/>
      <c r="O24" s="832"/>
      <c r="P24" s="281"/>
      <c r="Q24" s="103"/>
      <c r="R24" s="103"/>
    </row>
    <row r="25" spans="3:20" ht="21.75" thickTop="1" thickBot="1" x14ac:dyDescent="0.45">
      <c r="C25" s="281"/>
      <c r="D25" s="281"/>
      <c r="E25" s="383" t="s">
        <v>37</v>
      </c>
      <c r="F25" s="347">
        <f>F13/(F14+F15)</f>
        <v>2.7692307692307696</v>
      </c>
      <c r="G25" s="347">
        <f>G13/(G14+G15)</f>
        <v>4.9986666666666668</v>
      </c>
      <c r="H25" s="347">
        <f>H13/(H14+H15)</f>
        <v>0.1077140169332079</v>
      </c>
      <c r="I25" s="836">
        <f>I13/(I14+I15)</f>
        <v>2.4998047949699203</v>
      </c>
      <c r="J25" s="837"/>
      <c r="K25" s="313"/>
      <c r="L25" s="388" t="s">
        <v>148</v>
      </c>
      <c r="M25" s="342"/>
      <c r="N25" s="313"/>
      <c r="O25" s="313"/>
      <c r="P25" s="281"/>
      <c r="Q25" s="103"/>
      <c r="R25" s="103"/>
    </row>
    <row r="26" spans="3:20" ht="20.25" thickTop="1" x14ac:dyDescent="0.4">
      <c r="C26" s="281"/>
      <c r="D26" s="281"/>
      <c r="E26" s="348" t="s">
        <v>38</v>
      </c>
      <c r="F26" s="347">
        <f>F14/F15</f>
        <v>2.0789473684210527</v>
      </c>
      <c r="G26" s="347">
        <f>G14/G15</f>
        <v>1.4193548387096775</v>
      </c>
      <c r="H26" s="347">
        <f>H14/H15</f>
        <v>2.4084778420038533E-2</v>
      </c>
      <c r="I26" s="834">
        <f>I14/I15</f>
        <v>0.56001324230326222</v>
      </c>
      <c r="J26" s="835"/>
      <c r="K26" s="313"/>
      <c r="L26" s="389">
        <f>J34/(1-0.01*I34)</f>
        <v>87.102999144795007</v>
      </c>
      <c r="M26" s="342"/>
      <c r="N26" s="313"/>
      <c r="O26" s="313"/>
      <c r="P26" s="281"/>
      <c r="Q26" s="103"/>
      <c r="R26" s="103"/>
    </row>
    <row r="27" spans="3:20" ht="21" x14ac:dyDescent="0.4">
      <c r="C27" s="281"/>
      <c r="D27" s="281"/>
      <c r="E27" s="651" t="s">
        <v>156</v>
      </c>
      <c r="F27" s="652"/>
      <c r="G27" s="652"/>
      <c r="H27" s="652"/>
      <c r="I27" s="652"/>
      <c r="J27" s="653"/>
      <c r="K27" s="313"/>
      <c r="L27" s="307">
        <f>J35/(1-0.01*I35)</f>
        <v>18.769046457954179</v>
      </c>
      <c r="M27" s="342"/>
      <c r="N27" s="313"/>
      <c r="O27" s="313"/>
      <c r="P27" s="103"/>
      <c r="Q27" s="103"/>
      <c r="R27" s="103"/>
      <c r="T27" s="112"/>
    </row>
    <row r="28" spans="3:20" ht="21" customHeight="1" thickBot="1" x14ac:dyDescent="0.45">
      <c r="C28" s="281"/>
      <c r="D28" s="281"/>
      <c r="E28" s="691" t="str">
        <f>F11</f>
        <v>LIMESTONE</v>
      </c>
      <c r="F28" s="692"/>
      <c r="G28" s="692"/>
      <c r="H28" s="693">
        <f>(M15*M17*M22-M15*M18*M21)/M24</f>
        <v>82.567236811017736</v>
      </c>
      <c r="I28" s="693"/>
      <c r="J28" s="694"/>
      <c r="K28" s="313"/>
      <c r="L28" s="390">
        <f>J36/(1-0.01*I36)</f>
        <v>8.5112042751286587E-2</v>
      </c>
      <c r="M28" s="342"/>
      <c r="N28" s="313"/>
      <c r="O28" s="313"/>
      <c r="P28" s="103"/>
      <c r="Q28" s="210"/>
      <c r="R28" s="103"/>
    </row>
    <row r="29" spans="3:20" ht="21.75" customHeight="1" thickTop="1" thickBot="1" x14ac:dyDescent="0.45">
      <c r="C29" s="281"/>
      <c r="D29" s="281"/>
      <c r="E29" s="695" t="str">
        <f>G11</f>
        <v>SHALE</v>
      </c>
      <c r="F29" s="696"/>
      <c r="G29" s="696"/>
      <c r="H29" s="701">
        <f>(M15*M18*M20-M15*M16*M22)/M24</f>
        <v>14.61278708106874</v>
      </c>
      <c r="I29" s="701"/>
      <c r="J29" s="702"/>
      <c r="K29" s="313"/>
      <c r="L29" s="352">
        <f>L26+L27+L28</f>
        <v>105.95715764550047</v>
      </c>
      <c r="M29" s="342"/>
      <c r="N29" s="313"/>
      <c r="O29" s="313"/>
      <c r="P29" s="103"/>
      <c r="Q29" s="103"/>
      <c r="R29" s="103"/>
    </row>
    <row r="30" spans="3:20" ht="21.75" customHeight="1" thickTop="1" x14ac:dyDescent="0.4">
      <c r="C30" s="281"/>
      <c r="D30" s="281"/>
      <c r="E30" s="697" t="str">
        <f>H11</f>
        <v>IRON ORE</v>
      </c>
      <c r="F30" s="698"/>
      <c r="G30" s="698"/>
      <c r="H30" s="703">
        <f>100-H29-H28</f>
        <v>2.8199761079135186</v>
      </c>
      <c r="I30" s="703"/>
      <c r="J30" s="704"/>
      <c r="K30" s="313"/>
      <c r="L30" s="342"/>
      <c r="M30" s="342"/>
      <c r="N30" s="313"/>
      <c r="O30" s="313"/>
      <c r="P30" s="103"/>
      <c r="Q30" s="103"/>
      <c r="R30" s="103"/>
    </row>
    <row r="31" spans="3:20" ht="20.25" thickBot="1" x14ac:dyDescent="0.45">
      <c r="C31" s="281"/>
      <c r="D31" s="281"/>
      <c r="E31" s="699" t="s">
        <v>10</v>
      </c>
      <c r="F31" s="700"/>
      <c r="G31" s="700"/>
      <c r="H31" s="705">
        <f>SUM(F28:H30)</f>
        <v>100</v>
      </c>
      <c r="I31" s="705"/>
      <c r="J31" s="706"/>
      <c r="K31" s="313"/>
      <c r="L31" s="342"/>
      <c r="M31" s="342"/>
      <c r="N31" s="313"/>
      <c r="O31" s="313"/>
      <c r="P31" s="103"/>
      <c r="Q31" s="103"/>
      <c r="R31" s="103"/>
    </row>
    <row r="32" spans="3:20" ht="21.75" thickTop="1" thickBot="1" x14ac:dyDescent="0.45">
      <c r="C32" s="281"/>
      <c r="D32" s="281"/>
      <c r="E32" s="707" t="s">
        <v>165</v>
      </c>
      <c r="F32" s="708"/>
      <c r="G32" s="708"/>
      <c r="H32" s="708"/>
      <c r="I32" s="708"/>
      <c r="J32" s="709"/>
      <c r="K32" s="313"/>
      <c r="L32" s="349"/>
      <c r="M32" s="342"/>
      <c r="N32" s="313"/>
      <c r="O32" s="313"/>
      <c r="P32" s="103"/>
      <c r="Q32" s="103"/>
      <c r="R32" s="103"/>
    </row>
    <row r="33" spans="2:25" ht="23.25" thickTop="1" thickBot="1" x14ac:dyDescent="0.45">
      <c r="C33" s="281"/>
      <c r="D33" s="281"/>
      <c r="E33" s="376" t="s">
        <v>83</v>
      </c>
      <c r="F33" s="817" t="s">
        <v>166</v>
      </c>
      <c r="G33" s="818"/>
      <c r="H33" s="819"/>
      <c r="I33" s="297" t="s">
        <v>157</v>
      </c>
      <c r="J33" s="350" t="s">
        <v>158</v>
      </c>
      <c r="K33" s="313"/>
      <c r="L33" s="349"/>
      <c r="M33" s="342"/>
      <c r="N33" s="313"/>
      <c r="O33" s="313"/>
      <c r="P33" s="103"/>
      <c r="Q33" s="103"/>
      <c r="R33" s="103"/>
    </row>
    <row r="34" spans="2:25" ht="21.75" thickTop="1" thickBot="1" x14ac:dyDescent="0.45">
      <c r="C34" s="281"/>
      <c r="D34" s="281"/>
      <c r="E34" s="369" t="str">
        <f>E28</f>
        <v>LIMESTONE</v>
      </c>
      <c r="F34" s="713">
        <f>(L26/L29)*100</f>
        <v>82.205866106954673</v>
      </c>
      <c r="G34" s="714"/>
      <c r="H34" s="715"/>
      <c r="I34" s="385">
        <v>5</v>
      </c>
      <c r="J34" s="351">
        <v>82.747849187555246</v>
      </c>
      <c r="K34" s="313"/>
      <c r="L34" s="349"/>
      <c r="M34" s="342"/>
      <c r="N34" s="313"/>
      <c r="O34" s="313"/>
      <c r="P34" s="103"/>
      <c r="Q34" s="103"/>
      <c r="R34" s="103"/>
    </row>
    <row r="35" spans="2:25" ht="21.75" thickTop="1" thickBot="1" x14ac:dyDescent="0.45">
      <c r="B35" s="103"/>
      <c r="C35" s="281"/>
      <c r="D35" s="281"/>
      <c r="E35" s="370" t="str">
        <f>E29</f>
        <v>SHALE</v>
      </c>
      <c r="F35" s="716">
        <f>(L27/L29)*100</f>
        <v>17.713807047136488</v>
      </c>
      <c r="G35" s="717"/>
      <c r="H35" s="718"/>
      <c r="I35" s="386">
        <v>8.5</v>
      </c>
      <c r="J35" s="300">
        <v>17.173677509028074</v>
      </c>
      <c r="K35" s="313"/>
      <c r="L35" s="349"/>
      <c r="M35" s="342"/>
      <c r="N35" s="313"/>
      <c r="O35" s="313"/>
      <c r="P35" s="103"/>
      <c r="Q35" s="103"/>
      <c r="R35" s="103"/>
    </row>
    <row r="36" spans="2:25" ht="21.75" thickTop="1" thickBot="1" x14ac:dyDescent="0.45">
      <c r="C36" s="281"/>
      <c r="D36" s="281"/>
      <c r="E36" s="371" t="str">
        <f>E30</f>
        <v>IRON ORE</v>
      </c>
      <c r="F36" s="719">
        <f>(L28/L29)*100</f>
        <v>8.0326845908838804E-2</v>
      </c>
      <c r="G36" s="720"/>
      <c r="H36" s="721"/>
      <c r="I36" s="387">
        <v>7.8</v>
      </c>
      <c r="J36" s="301">
        <v>7.8473303416686235E-2</v>
      </c>
      <c r="K36" s="313"/>
      <c r="L36" s="349"/>
      <c r="M36" s="342"/>
      <c r="N36" s="313"/>
      <c r="O36" s="313"/>
      <c r="P36" s="103"/>
      <c r="Q36" s="103"/>
      <c r="R36" s="103"/>
    </row>
    <row r="37" spans="2:25" ht="21" thickTop="1" thickBot="1" x14ac:dyDescent="0.45">
      <c r="C37" s="281"/>
      <c r="D37" s="281"/>
      <c r="E37" s="377" t="str">
        <f>E31</f>
        <v>TOTAL</v>
      </c>
      <c r="F37" s="722">
        <f>F34+F35+F36</f>
        <v>100</v>
      </c>
      <c r="G37" s="723"/>
      <c r="H37" s="724"/>
      <c r="I37" s="353">
        <f t="shared" ref="I37" si="0">I34+I35+I36</f>
        <v>21.3</v>
      </c>
      <c r="J37" s="354">
        <f>J34+J35+J36</f>
        <v>100.00000000000001</v>
      </c>
      <c r="K37" s="313"/>
      <c r="L37" s="349"/>
      <c r="M37" s="342"/>
      <c r="N37" s="313"/>
      <c r="O37" s="313"/>
      <c r="P37" s="103"/>
      <c r="Q37" s="103"/>
      <c r="R37" s="103"/>
    </row>
    <row r="38" spans="2:25" ht="20.25" thickTop="1" x14ac:dyDescent="0.4">
      <c r="C38" s="281"/>
      <c r="D38" s="281"/>
      <c r="E38" s="349"/>
      <c r="F38" s="342"/>
      <c r="G38" s="313"/>
      <c r="H38" s="313"/>
      <c r="I38" s="313"/>
      <c r="J38" s="313"/>
      <c r="K38" s="313"/>
      <c r="L38" s="349"/>
      <c r="M38" s="342"/>
      <c r="N38" s="313"/>
      <c r="O38" s="313"/>
      <c r="P38" s="103"/>
      <c r="Q38" s="103"/>
      <c r="R38" s="103"/>
    </row>
    <row r="39" spans="2:25" x14ac:dyDescent="0.4">
      <c r="C39" s="281"/>
      <c r="D39" s="281"/>
      <c r="E39" s="338"/>
      <c r="F39" s="337"/>
      <c r="G39" s="281"/>
      <c r="H39" s="281"/>
      <c r="I39" s="281"/>
      <c r="J39" s="281"/>
      <c r="K39" s="281"/>
      <c r="L39" s="338"/>
      <c r="M39" s="337"/>
      <c r="N39" s="281"/>
      <c r="O39" s="281"/>
      <c r="P39" s="103"/>
      <c r="Q39" s="103"/>
      <c r="R39" s="103"/>
    </row>
    <row r="40" spans="2:25" x14ac:dyDescent="0.4">
      <c r="C40" s="103"/>
      <c r="D40" s="103"/>
      <c r="E40" s="211"/>
      <c r="F40" s="209"/>
      <c r="G40" s="103"/>
      <c r="H40" s="103"/>
      <c r="I40" s="103"/>
      <c r="J40" s="103"/>
      <c r="K40" s="103"/>
      <c r="L40" s="211"/>
      <c r="M40" s="209"/>
      <c r="N40" s="103"/>
      <c r="O40" s="103"/>
      <c r="P40" s="103"/>
      <c r="Q40" s="103"/>
      <c r="R40" s="103"/>
    </row>
    <row r="42" spans="2:25" x14ac:dyDescent="0.4"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2:25" x14ac:dyDescent="0.4">
      <c r="C43" s="74"/>
      <c r="D43" s="74"/>
      <c r="E43" s="74"/>
      <c r="F43" s="74"/>
      <c r="G43" s="74"/>
      <c r="H43" s="12"/>
      <c r="I43" s="74"/>
      <c r="J43" s="74"/>
      <c r="K43" s="74"/>
      <c r="L43" s="74"/>
      <c r="M43" s="74"/>
      <c r="N43" s="74"/>
      <c r="O43" s="74"/>
      <c r="P43" s="74"/>
      <c r="Q43" s="74"/>
    </row>
    <row r="44" spans="2:25" x14ac:dyDescent="0.4">
      <c r="C44" s="74"/>
      <c r="D44" s="74"/>
      <c r="E44" s="800" t="s">
        <v>48</v>
      </c>
      <c r="F44" s="800"/>
      <c r="G44" s="800"/>
      <c r="H44" s="800"/>
      <c r="I44" s="800"/>
      <c r="J44" s="800"/>
      <c r="K44" s="78"/>
      <c r="L44" s="79"/>
      <c r="M44" s="79"/>
      <c r="N44" s="80"/>
      <c r="O44" s="12"/>
      <c r="P44" s="12"/>
      <c r="Q44" s="81"/>
      <c r="R44" s="82"/>
      <c r="S44" s="82"/>
      <c r="T44" s="82"/>
      <c r="U44" s="83"/>
      <c r="V44" s="84"/>
      <c r="W44" s="84"/>
      <c r="X44" s="84"/>
      <c r="Y44" s="85"/>
    </row>
    <row r="45" spans="2:25" x14ac:dyDescent="0.4">
      <c r="C45" s="74"/>
      <c r="D45" s="74"/>
      <c r="E45" s="800"/>
      <c r="F45" s="800"/>
      <c r="G45" s="800"/>
      <c r="H45" s="800"/>
      <c r="I45" s="800"/>
      <c r="J45" s="800"/>
      <c r="K45" s="86"/>
      <c r="L45" s="601" t="s">
        <v>137</v>
      </c>
      <c r="M45" s="602" t="s">
        <v>136</v>
      </c>
      <c r="N45" s="603"/>
      <c r="O45" s="12"/>
      <c r="P45" s="12"/>
      <c r="Q45" s="87"/>
      <c r="R45" s="88"/>
      <c r="S45" s="520" t="s">
        <v>139</v>
      </c>
      <c r="T45" s="520"/>
      <c r="U45" s="89"/>
      <c r="V45" s="90"/>
      <c r="W45" s="521" t="s">
        <v>140</v>
      </c>
      <c r="X45" s="521"/>
      <c r="Y45" s="91"/>
    </row>
    <row r="46" spans="2:25" x14ac:dyDescent="0.4">
      <c r="C46" s="74"/>
      <c r="D46" s="74"/>
      <c r="E46" s="800"/>
      <c r="F46" s="800"/>
      <c r="G46" s="800"/>
      <c r="H46" s="800"/>
      <c r="I46" s="800"/>
      <c r="J46" s="800"/>
      <c r="K46" s="86"/>
      <c r="L46" s="601"/>
      <c r="M46" s="602"/>
      <c r="N46" s="603"/>
      <c r="O46" s="12"/>
      <c r="P46" s="12"/>
      <c r="Q46" s="87"/>
      <c r="R46" s="88"/>
      <c r="S46" s="520"/>
      <c r="T46" s="520"/>
      <c r="U46" s="89"/>
      <c r="V46" s="90"/>
      <c r="W46" s="521"/>
      <c r="X46" s="521"/>
      <c r="Y46" s="91"/>
    </row>
    <row r="47" spans="2:25" ht="20.25" thickBot="1" x14ac:dyDescent="0.45">
      <c r="C47" s="74"/>
      <c r="D47" s="74"/>
      <c r="E47" s="109"/>
      <c r="F47" s="109"/>
      <c r="G47" s="109"/>
      <c r="H47" s="109"/>
      <c r="I47" s="109"/>
      <c r="J47" s="109"/>
      <c r="K47" s="92"/>
      <c r="L47" s="93"/>
      <c r="M47" s="93"/>
      <c r="N47" s="94"/>
      <c r="O47" s="12"/>
      <c r="P47" s="12"/>
      <c r="Q47" s="95"/>
      <c r="R47" s="96"/>
      <c r="S47" s="96"/>
      <c r="T47" s="96"/>
      <c r="U47" s="97"/>
      <c r="V47" s="98"/>
      <c r="W47" s="98"/>
      <c r="X47" s="98"/>
      <c r="Y47" s="99"/>
    </row>
    <row r="48" spans="2:25" ht="24" thickTop="1" thickBot="1" x14ac:dyDescent="0.5">
      <c r="C48" s="74"/>
      <c r="D48" s="74"/>
      <c r="E48" s="839" t="s">
        <v>44</v>
      </c>
      <c r="F48" s="839"/>
      <c r="G48" s="839"/>
      <c r="H48" s="839"/>
      <c r="I48" s="839"/>
      <c r="J48" s="839"/>
      <c r="K48" s="109"/>
      <c r="L48" s="109"/>
      <c r="M48" s="109"/>
      <c r="N48" s="109"/>
      <c r="O48" s="109"/>
      <c r="P48" s="110"/>
      <c r="Q48" s="74"/>
    </row>
    <row r="49" spans="3:17" ht="24" thickTop="1" thickBot="1" x14ac:dyDescent="0.45">
      <c r="C49" s="74"/>
      <c r="D49" s="74"/>
      <c r="E49" s="838" t="s">
        <v>42</v>
      </c>
      <c r="F49" s="838"/>
      <c r="G49" s="838"/>
      <c r="H49" s="840">
        <v>97</v>
      </c>
      <c r="I49" s="840"/>
      <c r="J49" s="840"/>
      <c r="K49" s="109"/>
      <c r="L49" s="109"/>
      <c r="M49" s="109"/>
      <c r="N49" s="109"/>
      <c r="O49" s="109"/>
      <c r="P49" s="110"/>
      <c r="Q49" s="74"/>
    </row>
    <row r="50" spans="3:17" ht="24" thickTop="1" thickBot="1" x14ac:dyDescent="0.45">
      <c r="C50" s="74"/>
      <c r="D50" s="74"/>
      <c r="E50" s="838" t="s">
        <v>45</v>
      </c>
      <c r="F50" s="838"/>
      <c r="G50" s="838"/>
      <c r="H50" s="794">
        <v>2.5</v>
      </c>
      <c r="I50" s="794"/>
      <c r="J50" s="794"/>
      <c r="K50" s="101"/>
      <c r="L50" s="102"/>
      <c r="M50" s="74"/>
      <c r="N50" s="74"/>
      <c r="O50" s="74"/>
      <c r="P50" s="74"/>
      <c r="Q50" s="74"/>
    </row>
    <row r="51" spans="3:17" ht="24" thickTop="1" thickBot="1" x14ac:dyDescent="0.45">
      <c r="C51" s="74"/>
      <c r="D51" s="74"/>
      <c r="E51" s="830" t="s">
        <v>2</v>
      </c>
      <c r="F51" s="117" t="s">
        <v>11</v>
      </c>
      <c r="G51" s="118" t="s">
        <v>26</v>
      </c>
      <c r="H51" s="119" t="s">
        <v>27</v>
      </c>
      <c r="I51" s="830" t="s">
        <v>0</v>
      </c>
      <c r="J51" s="830"/>
      <c r="K51" s="74"/>
      <c r="L51" s="833" t="s">
        <v>12</v>
      </c>
      <c r="M51" s="833"/>
      <c r="N51" s="833"/>
      <c r="O51" s="833"/>
      <c r="P51" s="74"/>
      <c r="Q51" s="74"/>
    </row>
    <row r="52" spans="3:17" ht="21" thickTop="1" thickBot="1" x14ac:dyDescent="0.45">
      <c r="C52" s="74"/>
      <c r="D52" s="74"/>
      <c r="E52" s="830"/>
      <c r="F52" s="181">
        <v>82.57</v>
      </c>
      <c r="G52" s="182">
        <v>14.61</v>
      </c>
      <c r="H52" s="183">
        <v>2.82</v>
      </c>
      <c r="I52" s="831">
        <f>SUM(F52:H52)</f>
        <v>99.999999999999986</v>
      </c>
      <c r="J52" s="831"/>
      <c r="K52" s="74"/>
      <c r="L52" s="123" t="s">
        <v>13</v>
      </c>
      <c r="M52" s="786">
        <v>1</v>
      </c>
      <c r="N52" s="786"/>
      <c r="O52" s="786"/>
      <c r="P52" s="74"/>
      <c r="Q52" s="74"/>
    </row>
    <row r="53" spans="3:17" ht="24" thickTop="1" thickBot="1" x14ac:dyDescent="0.45">
      <c r="C53" s="74"/>
      <c r="D53" s="74"/>
      <c r="E53" s="116" t="s">
        <v>1</v>
      </c>
      <c r="F53" s="184">
        <v>3.24</v>
      </c>
      <c r="G53" s="185">
        <v>74.98</v>
      </c>
      <c r="H53" s="186">
        <v>9.16</v>
      </c>
      <c r="I53" s="795">
        <f>(F52*F53+G52*G53+H52*H53)/I52</f>
        <v>13.888158000000001</v>
      </c>
      <c r="J53" s="795"/>
      <c r="K53" s="74"/>
      <c r="L53" s="123" t="s">
        <v>14</v>
      </c>
      <c r="M53" s="786">
        <v>1</v>
      </c>
      <c r="N53" s="786"/>
      <c r="O53" s="786"/>
      <c r="P53" s="74"/>
      <c r="Q53" s="74"/>
    </row>
    <row r="54" spans="3:17" ht="24" thickTop="1" thickBot="1" x14ac:dyDescent="0.45">
      <c r="C54" s="74"/>
      <c r="D54" s="74"/>
      <c r="E54" s="116" t="s">
        <v>3</v>
      </c>
      <c r="F54" s="184">
        <v>0.79</v>
      </c>
      <c r="G54" s="185">
        <v>8.8000000000000007</v>
      </c>
      <c r="H54" s="186">
        <v>2</v>
      </c>
      <c r="I54" s="795">
        <f>(F52*F54+G52*G54+H52*H54)/I52</f>
        <v>1.9943830000000002</v>
      </c>
      <c r="J54" s="795"/>
      <c r="K54" s="74"/>
      <c r="L54" s="123" t="s">
        <v>15</v>
      </c>
      <c r="M54" s="786">
        <v>1</v>
      </c>
      <c r="N54" s="786"/>
      <c r="O54" s="786"/>
      <c r="P54" s="74"/>
      <c r="Q54" s="74"/>
    </row>
    <row r="55" spans="3:17" ht="24" thickTop="1" thickBot="1" x14ac:dyDescent="0.45">
      <c r="C55" s="74"/>
      <c r="D55" s="74"/>
      <c r="E55" s="116" t="s">
        <v>4</v>
      </c>
      <c r="F55" s="184">
        <v>0.38</v>
      </c>
      <c r="G55" s="185">
        <v>6.2</v>
      </c>
      <c r="H55" s="186">
        <v>83.04</v>
      </c>
      <c r="I55" s="795">
        <f>(F52*F55+G52*G55+H52*H55)/I52</f>
        <v>3.5613140000000003</v>
      </c>
      <c r="J55" s="795"/>
      <c r="K55" s="74"/>
      <c r="L55" s="123" t="s">
        <v>16</v>
      </c>
      <c r="M55" s="786">
        <v>100</v>
      </c>
      <c r="N55" s="786"/>
      <c r="O55" s="786"/>
      <c r="P55" s="74"/>
      <c r="Q55" s="74"/>
    </row>
    <row r="56" spans="3:17" ht="24" thickTop="1" thickBot="1" x14ac:dyDescent="0.45">
      <c r="C56" s="74"/>
      <c r="D56" s="74"/>
      <c r="E56" s="116" t="s">
        <v>5</v>
      </c>
      <c r="F56" s="184">
        <v>51</v>
      </c>
      <c r="G56" s="185">
        <v>0.98</v>
      </c>
      <c r="H56" s="186">
        <v>0.06</v>
      </c>
      <c r="I56" s="795">
        <f>(F52*F56+G52*G56+H52*H56)/I52</f>
        <v>42.255570000000006</v>
      </c>
      <c r="J56" s="795"/>
      <c r="K56" s="74"/>
      <c r="L56" s="123" t="s">
        <v>17</v>
      </c>
      <c r="M56" s="788">
        <f>H50*(F54+F55)-F53</f>
        <v>-0.31500000000000039</v>
      </c>
      <c r="N56" s="788"/>
      <c r="O56" s="788"/>
      <c r="P56" s="74"/>
      <c r="Q56" s="74"/>
    </row>
    <row r="57" spans="3:17" ht="24" thickTop="1" thickBot="1" x14ac:dyDescent="0.45">
      <c r="C57" s="74"/>
      <c r="D57" s="74"/>
      <c r="E57" s="116" t="s">
        <v>6</v>
      </c>
      <c r="F57" s="184">
        <v>1.24</v>
      </c>
      <c r="G57" s="185">
        <v>0.24</v>
      </c>
      <c r="H57" s="186">
        <v>0.41</v>
      </c>
      <c r="I57" s="795">
        <f>(F52*F57+G52*G57+H52*H57)/I52</f>
        <v>1.0704940000000001</v>
      </c>
      <c r="J57" s="795"/>
      <c r="K57" s="74"/>
      <c r="L57" s="123" t="s">
        <v>18</v>
      </c>
      <c r="M57" s="788">
        <f>H50*(G54+G55)-G53</f>
        <v>-37.480000000000004</v>
      </c>
      <c r="N57" s="788"/>
      <c r="O57" s="788"/>
      <c r="P57" s="74"/>
      <c r="Q57" s="74"/>
    </row>
    <row r="58" spans="3:17" ht="24" thickTop="1" thickBot="1" x14ac:dyDescent="0.45">
      <c r="C58" s="74"/>
      <c r="D58" s="74"/>
      <c r="E58" s="116" t="s">
        <v>8</v>
      </c>
      <c r="F58" s="184">
        <v>0.5</v>
      </c>
      <c r="G58" s="185">
        <v>0.3</v>
      </c>
      <c r="H58" s="186">
        <v>0.2</v>
      </c>
      <c r="I58" s="795">
        <f>(F52*F58+G52*G58+H52*H58)/I52</f>
        <v>0.46232000000000006</v>
      </c>
      <c r="J58" s="795"/>
      <c r="K58" s="74"/>
      <c r="L58" s="123" t="s">
        <v>19</v>
      </c>
      <c r="M58" s="788">
        <f>H50*(H54+H55)-H53</f>
        <v>203.44000000000003</v>
      </c>
      <c r="N58" s="788"/>
      <c r="O58" s="788"/>
      <c r="P58" s="74"/>
      <c r="Q58" s="74"/>
    </row>
    <row r="59" spans="3:17" ht="24" thickTop="1" thickBot="1" x14ac:dyDescent="0.45">
      <c r="C59" s="74"/>
      <c r="D59" s="74"/>
      <c r="E59" s="116" t="s">
        <v>7</v>
      </c>
      <c r="F59" s="184">
        <v>0.2</v>
      </c>
      <c r="G59" s="185">
        <v>0.2</v>
      </c>
      <c r="H59" s="186">
        <v>0.1</v>
      </c>
      <c r="I59" s="795">
        <f>(F52*F59+G52*G59+H52*H59)/I52</f>
        <v>0.19718000000000002</v>
      </c>
      <c r="J59" s="795"/>
      <c r="K59" s="74"/>
      <c r="L59" s="123" t="s">
        <v>20</v>
      </c>
      <c r="M59" s="786">
        <v>0</v>
      </c>
      <c r="N59" s="786"/>
      <c r="O59" s="786"/>
      <c r="P59" s="74"/>
      <c r="Q59" s="74"/>
    </row>
    <row r="60" spans="3:17" ht="24" thickTop="1" thickBot="1" x14ac:dyDescent="0.45">
      <c r="C60" s="74"/>
      <c r="D60" s="74"/>
      <c r="E60" s="116" t="s">
        <v>9</v>
      </c>
      <c r="F60" s="184">
        <v>0.1</v>
      </c>
      <c r="G60" s="185">
        <v>0.2</v>
      </c>
      <c r="H60" s="186">
        <v>7.0000000000000007E-2</v>
      </c>
      <c r="I60" s="795">
        <f>(F52*F60+G52*G60+H52*H60)/I52</f>
        <v>0.11376400000000002</v>
      </c>
      <c r="J60" s="795"/>
      <c r="K60" s="74"/>
      <c r="L60" s="123" t="s">
        <v>21</v>
      </c>
      <c r="M60" s="788">
        <f>H49*(2.8*F53+1.18*F54+0.65*F55)-100*F56</f>
        <v>-4105.6336000000001</v>
      </c>
      <c r="N60" s="788"/>
      <c r="O60" s="788"/>
      <c r="P60" s="74"/>
      <c r="Q60" s="74"/>
    </row>
    <row r="61" spans="3:17" ht="24" thickTop="1" thickBot="1" x14ac:dyDescent="0.45">
      <c r="C61" s="74"/>
      <c r="D61" s="74"/>
      <c r="E61" s="116" t="s">
        <v>41</v>
      </c>
      <c r="F61" s="184">
        <v>0.1</v>
      </c>
      <c r="G61" s="185">
        <v>0.2</v>
      </c>
      <c r="H61" s="186">
        <v>7.0000000000000007E-2</v>
      </c>
      <c r="I61" s="795">
        <f>(F52*F61+G52*G61+H52*H61)/I52</f>
        <v>0.11376400000000002</v>
      </c>
      <c r="J61" s="795"/>
      <c r="K61" s="74"/>
      <c r="L61" s="123" t="s">
        <v>22</v>
      </c>
      <c r="M61" s="788">
        <f>H49*(2.8*G53+1.18*G54+0.65*G55)-100*G56</f>
        <v>21664.725999999999</v>
      </c>
      <c r="N61" s="788"/>
      <c r="O61" s="788"/>
      <c r="P61" s="74"/>
      <c r="Q61" s="74"/>
    </row>
    <row r="62" spans="3:17" ht="24" thickTop="1" thickBot="1" x14ac:dyDescent="0.45">
      <c r="C62" s="74"/>
      <c r="D62" s="74"/>
      <c r="E62" s="116" t="s">
        <v>40</v>
      </c>
      <c r="F62" s="184">
        <v>42.48</v>
      </c>
      <c r="G62" s="185">
        <v>8</v>
      </c>
      <c r="H62" s="186">
        <v>4.6500000000000004</v>
      </c>
      <c r="I62" s="795">
        <f>(F52*F62+G52*G62+H52*H62)/I52</f>
        <v>36.375665999999995</v>
      </c>
      <c r="J62" s="795"/>
      <c r="K62" s="74"/>
      <c r="L62" s="123" t="s">
        <v>23</v>
      </c>
      <c r="M62" s="788">
        <f>H49*(2.8*H53+1.18*H54+0.65*H55)-100*H56</f>
        <v>7946.4480000000012</v>
      </c>
      <c r="N62" s="788"/>
      <c r="O62" s="788"/>
      <c r="P62" s="74"/>
      <c r="Q62" s="74"/>
    </row>
    <row r="63" spans="3:17" ht="24" thickTop="1" thickBot="1" x14ac:dyDescent="0.5">
      <c r="C63" s="74"/>
      <c r="D63" s="74"/>
      <c r="E63" s="120" t="s">
        <v>10</v>
      </c>
      <c r="F63" s="176">
        <f>SUM(F53:F62)</f>
        <v>100.03</v>
      </c>
      <c r="G63" s="176">
        <f>SUM(G53:G62)</f>
        <v>100.10000000000001</v>
      </c>
      <c r="H63" s="176">
        <f>SUM(H53:H62)</f>
        <v>99.759999999999991</v>
      </c>
      <c r="I63" s="793">
        <f>SUM(I53:I62)</f>
        <v>100.032613</v>
      </c>
      <c r="J63" s="793"/>
      <c r="K63" s="74"/>
      <c r="L63" s="123" t="s">
        <v>24</v>
      </c>
      <c r="M63" s="786">
        <v>0</v>
      </c>
      <c r="N63" s="786"/>
      <c r="O63" s="786"/>
      <c r="P63" s="74"/>
      <c r="Q63" s="74"/>
    </row>
    <row r="64" spans="3:17" ht="24" thickTop="1" thickBot="1" x14ac:dyDescent="0.45">
      <c r="C64" s="74"/>
      <c r="D64" s="74"/>
      <c r="E64" s="121" t="s">
        <v>39</v>
      </c>
      <c r="F64" s="178">
        <f>100*F56/(2.8*F53+1.18*F54+0.65*F55)</f>
        <v>497.50273138754494</v>
      </c>
      <c r="G64" s="178">
        <f>100*G56/(2.8*G53+1.18*G54+0.65*G55)</f>
        <v>0.43680189696823829</v>
      </c>
      <c r="H64" s="178">
        <f>100*H56/(2.8*H53+1.18*H54+0.65*H55)</f>
        <v>7.3185011709601872E-2</v>
      </c>
      <c r="I64" s="787">
        <f>100*I56/(2.8*I53+1.18*I54+0.65*I55)</f>
        <v>97.016424295624432</v>
      </c>
      <c r="J64" s="787"/>
      <c r="K64" s="74"/>
      <c r="L64" s="123" t="s">
        <v>25</v>
      </c>
      <c r="M64" s="788">
        <f>(M52*M57*M62)+(M53*M58*M60)+(M54*M56*M61)-(M54*M57*M60)-(M52*M58*M61)-(M53*M56*M62)</f>
        <v>-5698755.2329620011</v>
      </c>
      <c r="N64" s="788"/>
      <c r="O64" s="788"/>
      <c r="P64" s="74"/>
      <c r="Q64" s="74"/>
    </row>
    <row r="65" spans="3:17" ht="24" thickTop="1" thickBot="1" x14ac:dyDescent="0.45">
      <c r="C65" s="74"/>
      <c r="D65" s="74"/>
      <c r="E65" s="121" t="s">
        <v>37</v>
      </c>
      <c r="F65" s="178">
        <f>F53/(F54+F55)</f>
        <v>2.7692307692307696</v>
      </c>
      <c r="G65" s="178">
        <f>G53/(G54+G55)</f>
        <v>4.9986666666666668</v>
      </c>
      <c r="H65" s="178">
        <f>H53/(H54+H55)</f>
        <v>0.1077140169332079</v>
      </c>
      <c r="I65" s="787">
        <f>I53/(I54+I55)</f>
        <v>2.4998047949699203</v>
      </c>
      <c r="J65" s="787"/>
      <c r="K65" s="74"/>
      <c r="L65" s="113"/>
      <c r="M65" s="113"/>
      <c r="N65" s="74"/>
      <c r="O65" s="74"/>
      <c r="P65" s="74"/>
      <c r="Q65" s="74"/>
    </row>
    <row r="66" spans="3:17" ht="24" thickTop="1" thickBot="1" x14ac:dyDescent="0.45">
      <c r="C66" s="74"/>
      <c r="D66" s="74"/>
      <c r="E66" s="122" t="s">
        <v>38</v>
      </c>
      <c r="F66" s="177">
        <f>F54/F55</f>
        <v>2.0789473684210527</v>
      </c>
      <c r="G66" s="177">
        <f>G54/G55</f>
        <v>1.4193548387096775</v>
      </c>
      <c r="H66" s="177">
        <f>H54/H55</f>
        <v>2.4084778420038533E-2</v>
      </c>
      <c r="I66" s="812">
        <f>I54/I55</f>
        <v>0.56001324230326222</v>
      </c>
      <c r="J66" s="812"/>
      <c r="K66" s="74"/>
      <c r="L66" s="113"/>
      <c r="M66" s="113"/>
      <c r="N66" s="74"/>
      <c r="O66" s="74"/>
      <c r="P66" s="74"/>
      <c r="Q66" s="74"/>
    </row>
    <row r="67" spans="3:17" ht="24" thickTop="1" thickBot="1" x14ac:dyDescent="0.5">
      <c r="C67" s="74"/>
      <c r="D67" s="74"/>
      <c r="E67" s="789" t="s">
        <v>150</v>
      </c>
      <c r="F67" s="789"/>
      <c r="G67" s="789"/>
      <c r="H67" s="789"/>
      <c r="I67" s="789"/>
      <c r="J67" s="789"/>
      <c r="K67" s="74"/>
      <c r="L67" s="113"/>
      <c r="M67" s="113"/>
      <c r="N67" s="74"/>
      <c r="O67" s="74"/>
      <c r="P67" s="74"/>
      <c r="Q67" s="74"/>
    </row>
    <row r="68" spans="3:17" ht="24" thickTop="1" thickBot="1" x14ac:dyDescent="0.45">
      <c r="C68" s="74"/>
      <c r="D68" s="74"/>
      <c r="E68" s="813" t="str">
        <f>F51</f>
        <v>LIMESTONE</v>
      </c>
      <c r="F68" s="813"/>
      <c r="G68" s="813"/>
      <c r="H68" s="814">
        <f>(M55*M57*M62-M55*M58*M61)/M64</f>
        <v>82.567236811017736</v>
      </c>
      <c r="I68" s="814"/>
      <c r="J68" s="814"/>
      <c r="K68" s="74"/>
      <c r="L68" s="113"/>
      <c r="M68" s="113"/>
      <c r="N68" s="74"/>
      <c r="O68" s="74"/>
      <c r="P68" s="74"/>
      <c r="Q68" s="114"/>
    </row>
    <row r="69" spans="3:17" ht="24" thickTop="1" thickBot="1" x14ac:dyDescent="0.45">
      <c r="C69" s="74"/>
      <c r="D69" s="74"/>
      <c r="E69" s="815" t="str">
        <f>G51</f>
        <v>SHALE</v>
      </c>
      <c r="F69" s="815"/>
      <c r="G69" s="815"/>
      <c r="H69" s="816">
        <f>(M55*M58*M60-M55*M56*M62)/M64</f>
        <v>14.61278708106874</v>
      </c>
      <c r="I69" s="816"/>
      <c r="J69" s="816"/>
      <c r="K69" s="74"/>
      <c r="L69" s="113"/>
      <c r="M69" s="113"/>
      <c r="N69" s="74"/>
      <c r="O69" s="74"/>
      <c r="P69" s="74"/>
      <c r="Q69" s="74"/>
    </row>
    <row r="70" spans="3:17" ht="24" thickTop="1" thickBot="1" x14ac:dyDescent="0.45">
      <c r="C70" s="74"/>
      <c r="D70" s="74"/>
      <c r="E70" s="807" t="str">
        <f>H51</f>
        <v>IRON ORE</v>
      </c>
      <c r="F70" s="807"/>
      <c r="G70" s="807"/>
      <c r="H70" s="808">
        <f>100-H69-H68</f>
        <v>2.8199761079135186</v>
      </c>
      <c r="I70" s="808"/>
      <c r="J70" s="808"/>
      <c r="K70" s="74"/>
      <c r="L70" s="113"/>
      <c r="M70" s="113"/>
      <c r="N70" s="74"/>
      <c r="O70" s="74"/>
      <c r="P70" s="74"/>
      <c r="Q70" s="74"/>
    </row>
    <row r="71" spans="3:17" ht="24" thickTop="1" thickBot="1" x14ac:dyDescent="0.45">
      <c r="C71" s="74"/>
      <c r="D71" s="74"/>
      <c r="E71" s="809" t="s">
        <v>10</v>
      </c>
      <c r="F71" s="809"/>
      <c r="G71" s="809"/>
      <c r="H71" s="810">
        <f>SUM(F68:H70)</f>
        <v>100</v>
      </c>
      <c r="I71" s="810"/>
      <c r="J71" s="810"/>
      <c r="K71" s="74"/>
      <c r="L71" s="113"/>
      <c r="M71" s="113"/>
      <c r="N71" s="74"/>
      <c r="O71" s="74"/>
      <c r="P71" s="74"/>
      <c r="Q71" s="74"/>
    </row>
    <row r="72" spans="3:17" ht="24" thickTop="1" thickBot="1" x14ac:dyDescent="0.45">
      <c r="C72" s="74"/>
      <c r="D72" s="74"/>
      <c r="E72" s="811" t="s">
        <v>147</v>
      </c>
      <c r="F72" s="811"/>
      <c r="G72" s="811"/>
      <c r="H72" s="811"/>
      <c r="I72" s="811"/>
      <c r="J72" s="811"/>
      <c r="K72" s="74"/>
      <c r="L72" s="115"/>
      <c r="M72" s="113"/>
      <c r="N72" s="74"/>
      <c r="O72" s="74"/>
      <c r="P72" s="74"/>
      <c r="Q72" s="74"/>
    </row>
    <row r="73" spans="3:17" ht="24" thickTop="1" thickBot="1" x14ac:dyDescent="0.5">
      <c r="C73" s="74"/>
      <c r="D73" s="74"/>
      <c r="E73" s="134" t="s">
        <v>83</v>
      </c>
      <c r="F73" s="789" t="s">
        <v>149</v>
      </c>
      <c r="G73" s="789"/>
      <c r="H73" s="135" t="s">
        <v>148</v>
      </c>
      <c r="I73" s="158" t="s">
        <v>146</v>
      </c>
      <c r="J73" s="159" t="s">
        <v>145</v>
      </c>
      <c r="K73" s="74"/>
      <c r="L73" s="115"/>
      <c r="M73" s="113"/>
      <c r="N73" s="74"/>
      <c r="O73" s="74"/>
      <c r="P73" s="74"/>
      <c r="Q73" s="74"/>
    </row>
    <row r="74" spans="3:17" ht="24" thickTop="1" thickBot="1" x14ac:dyDescent="0.45">
      <c r="C74" s="74"/>
      <c r="D74" s="74"/>
      <c r="E74" s="136" t="str">
        <f>E68</f>
        <v>LIMESTONE</v>
      </c>
      <c r="F74" s="790">
        <f>(H74/H77)*100</f>
        <v>82.205866106954673</v>
      </c>
      <c r="G74" s="790"/>
      <c r="H74" s="179">
        <f>J74/(1-0.01*I74)</f>
        <v>87.102999144795007</v>
      </c>
      <c r="I74" s="187">
        <v>5</v>
      </c>
      <c r="J74" s="188">
        <v>82.747849187555246</v>
      </c>
      <c r="K74" s="74"/>
      <c r="L74" s="115"/>
      <c r="M74" s="113"/>
      <c r="N74" s="74"/>
      <c r="O74" s="74"/>
      <c r="P74" s="74"/>
      <c r="Q74" s="74"/>
    </row>
    <row r="75" spans="3:17" ht="24" thickTop="1" thickBot="1" x14ac:dyDescent="0.45">
      <c r="C75" s="74"/>
      <c r="D75" s="74"/>
      <c r="E75" s="137" t="str">
        <f>E69</f>
        <v>SHALE</v>
      </c>
      <c r="F75" s="791">
        <f>(H75/H77)*100</f>
        <v>17.713807047136488</v>
      </c>
      <c r="G75" s="791"/>
      <c r="H75" s="179">
        <f>J75/(1-0.01*I75)</f>
        <v>18.769046457954179</v>
      </c>
      <c r="I75" s="187">
        <v>8.5</v>
      </c>
      <c r="J75" s="188">
        <v>17.173677509028074</v>
      </c>
      <c r="K75" s="74"/>
      <c r="L75" s="115"/>
      <c r="M75" s="113"/>
      <c r="N75" s="74"/>
      <c r="O75" s="74"/>
      <c r="P75" s="74"/>
      <c r="Q75" s="74"/>
    </row>
    <row r="76" spans="3:17" ht="24" thickTop="1" thickBot="1" x14ac:dyDescent="0.45">
      <c r="C76" s="74"/>
      <c r="D76" s="74"/>
      <c r="E76" s="138" t="str">
        <f>E70</f>
        <v>IRON ORE</v>
      </c>
      <c r="F76" s="792">
        <f>(H76/H77)*100</f>
        <v>8.0326845908838804E-2</v>
      </c>
      <c r="G76" s="792"/>
      <c r="H76" s="179">
        <f>J76/(1-0.01*I76)</f>
        <v>8.5112042751286587E-2</v>
      </c>
      <c r="I76" s="187">
        <v>7.8</v>
      </c>
      <c r="J76" s="188">
        <v>7.8473303416686235E-2</v>
      </c>
      <c r="K76" s="74"/>
      <c r="L76" s="115"/>
      <c r="M76" s="113"/>
      <c r="N76" s="74"/>
      <c r="O76" s="74"/>
      <c r="P76" s="74"/>
      <c r="Q76" s="74"/>
    </row>
    <row r="77" spans="3:17" ht="24" thickTop="1" thickBot="1" x14ac:dyDescent="0.45">
      <c r="C77" s="74"/>
      <c r="D77" s="74"/>
      <c r="E77" s="136" t="str">
        <f>E71</f>
        <v>TOTAL</v>
      </c>
      <c r="F77" s="805">
        <f>F74+F75+F76</f>
        <v>100</v>
      </c>
      <c r="G77" s="806"/>
      <c r="H77" s="180">
        <f>H74+H75+H76</f>
        <v>105.95715764550047</v>
      </c>
      <c r="I77" s="180">
        <f t="shared" ref="I77" si="1">I74+I75+I76</f>
        <v>21.3</v>
      </c>
      <c r="J77" s="180">
        <f>J74+J75+J76</f>
        <v>100.00000000000001</v>
      </c>
      <c r="K77" s="74"/>
      <c r="L77" s="115"/>
      <c r="M77" s="113"/>
      <c r="N77" s="74"/>
      <c r="O77" s="74"/>
      <c r="P77" s="74"/>
      <c r="Q77" s="74"/>
    </row>
    <row r="78" spans="3:17" ht="20.25" thickTop="1" x14ac:dyDescent="0.4">
      <c r="C78" s="74"/>
      <c r="D78" s="74"/>
      <c r="E78" s="115"/>
      <c r="F78" s="113"/>
      <c r="G78" s="74"/>
      <c r="H78" s="74"/>
      <c r="I78" s="74"/>
      <c r="J78" s="74"/>
      <c r="K78" s="74"/>
      <c r="L78" s="115"/>
      <c r="M78" s="113"/>
      <c r="N78" s="74"/>
      <c r="O78" s="74"/>
      <c r="P78" s="74"/>
      <c r="Q78" s="74"/>
    </row>
    <row r="79" spans="3:17" x14ac:dyDescent="0.4">
      <c r="C79" s="74"/>
      <c r="D79" s="74"/>
      <c r="E79" s="115"/>
      <c r="F79" s="113"/>
      <c r="G79" s="74"/>
      <c r="H79" s="74"/>
      <c r="I79" s="74"/>
      <c r="J79" s="74"/>
      <c r="K79" s="74"/>
      <c r="L79" s="115"/>
      <c r="M79" s="113"/>
      <c r="N79" s="74"/>
      <c r="O79" s="74"/>
      <c r="P79" s="74"/>
      <c r="Q79" s="74"/>
    </row>
    <row r="80" spans="3:17" x14ac:dyDescent="0.4">
      <c r="C80" s="74"/>
      <c r="D80" s="74"/>
      <c r="E80" s="115"/>
      <c r="F80" s="113"/>
      <c r="G80" s="74"/>
      <c r="H80" s="74"/>
      <c r="I80" s="74"/>
      <c r="J80" s="74"/>
      <c r="K80" s="74"/>
      <c r="L80" s="115"/>
      <c r="M80" s="113"/>
      <c r="N80" s="74"/>
      <c r="O80" s="74"/>
      <c r="P80" s="74"/>
      <c r="Q80" s="74"/>
    </row>
  </sheetData>
  <mergeCells count="108">
    <mergeCell ref="S45:T46"/>
    <mergeCell ref="W45:X46"/>
    <mergeCell ref="M16:O16"/>
    <mergeCell ref="M19:O19"/>
    <mergeCell ref="M20:O20"/>
    <mergeCell ref="M21:O21"/>
    <mergeCell ref="E10:G10"/>
    <mergeCell ref="E9:G9"/>
    <mergeCell ref="E11:E12"/>
    <mergeCell ref="L11:O11"/>
    <mergeCell ref="M12:O12"/>
    <mergeCell ref="M13:O13"/>
    <mergeCell ref="M14:O14"/>
    <mergeCell ref="M15:O15"/>
    <mergeCell ref="M17:O17"/>
    <mergeCell ref="M18:O18"/>
    <mergeCell ref="I20:J20"/>
    <mergeCell ref="I19:J19"/>
    <mergeCell ref="M23:O23"/>
    <mergeCell ref="M22:O22"/>
    <mergeCell ref="E30:G30"/>
    <mergeCell ref="E29:G29"/>
    <mergeCell ref="E28:G28"/>
    <mergeCell ref="H30:J30"/>
    <mergeCell ref="M24:O24"/>
    <mergeCell ref="E31:G31"/>
    <mergeCell ref="L51:O51"/>
    <mergeCell ref="M52:O52"/>
    <mergeCell ref="M53:O53"/>
    <mergeCell ref="M54:O54"/>
    <mergeCell ref="M55:O55"/>
    <mergeCell ref="M56:O56"/>
    <mergeCell ref="M57:O57"/>
    <mergeCell ref="E27:J27"/>
    <mergeCell ref="I26:J26"/>
    <mergeCell ref="I25:J25"/>
    <mergeCell ref="I24:J24"/>
    <mergeCell ref="H31:J31"/>
    <mergeCell ref="E50:G50"/>
    <mergeCell ref="L45:L46"/>
    <mergeCell ref="M45:N46"/>
    <mergeCell ref="E48:J48"/>
    <mergeCell ref="E49:G49"/>
    <mergeCell ref="H49:J49"/>
    <mergeCell ref="M60:O60"/>
    <mergeCell ref="I59:J59"/>
    <mergeCell ref="M59:O59"/>
    <mergeCell ref="E51:E52"/>
    <mergeCell ref="I51:J51"/>
    <mergeCell ref="I52:J52"/>
    <mergeCell ref="I53:J53"/>
    <mergeCell ref="I54:J54"/>
    <mergeCell ref="I55:J55"/>
    <mergeCell ref="I56:J56"/>
    <mergeCell ref="I57:J57"/>
    <mergeCell ref="I58:J58"/>
    <mergeCell ref="I60:J60"/>
    <mergeCell ref="M58:O58"/>
    <mergeCell ref="F34:H34"/>
    <mergeCell ref="F35:H35"/>
    <mergeCell ref="F36:H36"/>
    <mergeCell ref="F37:H37"/>
    <mergeCell ref="I13:J13"/>
    <mergeCell ref="I12:J12"/>
    <mergeCell ref="I11:J11"/>
    <mergeCell ref="H9:J9"/>
    <mergeCell ref="H10:J10"/>
    <mergeCell ref="I18:J18"/>
    <mergeCell ref="I17:J17"/>
    <mergeCell ref="I16:J16"/>
    <mergeCell ref="I15:J15"/>
    <mergeCell ref="I14:J14"/>
    <mergeCell ref="F77:G77"/>
    <mergeCell ref="E70:G70"/>
    <mergeCell ref="H70:J70"/>
    <mergeCell ref="E71:G71"/>
    <mergeCell ref="H71:J71"/>
    <mergeCell ref="E72:J72"/>
    <mergeCell ref="I66:J66"/>
    <mergeCell ref="E67:J67"/>
    <mergeCell ref="E68:G68"/>
    <mergeCell ref="H68:J68"/>
    <mergeCell ref="E69:G69"/>
    <mergeCell ref="H69:J69"/>
    <mergeCell ref="E4:J7"/>
    <mergeCell ref="M63:O63"/>
    <mergeCell ref="I64:J64"/>
    <mergeCell ref="M64:O64"/>
    <mergeCell ref="I65:J65"/>
    <mergeCell ref="F73:G73"/>
    <mergeCell ref="F74:G74"/>
    <mergeCell ref="F75:G75"/>
    <mergeCell ref="F76:G76"/>
    <mergeCell ref="I63:J63"/>
    <mergeCell ref="H50:J50"/>
    <mergeCell ref="H29:J29"/>
    <mergeCell ref="E32:J32"/>
    <mergeCell ref="I61:J61"/>
    <mergeCell ref="M61:O61"/>
    <mergeCell ref="I62:J62"/>
    <mergeCell ref="M62:O62"/>
    <mergeCell ref="E8:J8"/>
    <mergeCell ref="E44:J46"/>
    <mergeCell ref="I23:J23"/>
    <mergeCell ref="I22:J22"/>
    <mergeCell ref="I21:J21"/>
    <mergeCell ref="H28:J28"/>
    <mergeCell ref="F33:H33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D2:AC65"/>
  <sheetViews>
    <sheetView zoomScale="55" zoomScaleNormal="55" workbookViewId="0">
      <selection activeCell="S29" sqref="S29"/>
    </sheetView>
  </sheetViews>
  <sheetFormatPr defaultRowHeight="19.5" x14ac:dyDescent="0.4"/>
  <cols>
    <col min="1" max="4" width="9.140625" style="69"/>
    <col min="5" max="5" width="12.140625" style="69" bestFit="1" customWidth="1"/>
    <col min="6" max="6" width="17.85546875" style="69" customWidth="1"/>
    <col min="7" max="7" width="12.7109375" style="69" bestFit="1" customWidth="1"/>
    <col min="8" max="8" width="20.140625" style="69" customWidth="1"/>
    <col min="9" max="9" width="10" style="69" bestFit="1" customWidth="1"/>
    <col min="10" max="10" width="9.140625" style="69" bestFit="1" customWidth="1"/>
    <col min="11" max="11" width="13.7109375" style="69" bestFit="1" customWidth="1"/>
    <col min="12" max="12" width="15" style="69" bestFit="1" customWidth="1"/>
    <col min="13" max="13" width="11.28515625" style="69" bestFit="1" customWidth="1"/>
    <col min="14" max="14" width="18.28515625" style="69" customWidth="1"/>
    <col min="15" max="15" width="9.85546875" style="69" bestFit="1" customWidth="1"/>
    <col min="16" max="16" width="11.7109375" style="69" bestFit="1" customWidth="1"/>
    <col min="17" max="17" width="13.28515625" style="69" bestFit="1" customWidth="1"/>
    <col min="18" max="19" width="8.42578125" style="69" bestFit="1" customWidth="1"/>
    <col min="20" max="20" width="9.5703125" style="69" bestFit="1" customWidth="1"/>
    <col min="21" max="21" width="14.140625" style="69" customWidth="1"/>
    <col min="22" max="22" width="18.85546875" style="69" bestFit="1" customWidth="1"/>
    <col min="23" max="23" width="19" style="69" bestFit="1" customWidth="1"/>
    <col min="24" max="24" width="20.7109375" style="69" customWidth="1"/>
    <col min="25" max="25" width="10.42578125" style="69" bestFit="1" customWidth="1"/>
    <col min="26" max="26" width="8" style="69" bestFit="1" customWidth="1"/>
    <col min="27" max="16384" width="9.140625" style="69"/>
  </cols>
  <sheetData>
    <row r="2" spans="4:28" x14ac:dyDescent="0.4">
      <c r="D2" s="207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207"/>
      <c r="AB2" s="207"/>
    </row>
    <row r="3" spans="4:28" ht="20.25" thickBot="1" x14ac:dyDescent="0.45">
      <c r="D3" s="253"/>
      <c r="E3" s="393"/>
      <c r="F3" s="393"/>
      <c r="G3" s="393"/>
      <c r="H3" s="393"/>
      <c r="I3" s="393"/>
      <c r="J3" s="393"/>
      <c r="K3" s="393"/>
      <c r="L3" s="393"/>
      <c r="M3" s="393"/>
      <c r="N3" s="393" t="s">
        <v>135</v>
      </c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253"/>
      <c r="AB3" s="253"/>
    </row>
    <row r="4" spans="4:28" ht="25.5" customHeight="1" thickTop="1" x14ac:dyDescent="0.4">
      <c r="D4" s="253"/>
      <c r="E4" s="745" t="s">
        <v>108</v>
      </c>
      <c r="F4" s="746"/>
      <c r="G4" s="746"/>
      <c r="H4" s="746"/>
      <c r="I4" s="746"/>
      <c r="J4" s="746"/>
      <c r="K4" s="746"/>
      <c r="L4" s="746"/>
      <c r="M4" s="746"/>
      <c r="N4" s="746"/>
      <c r="O4" s="746"/>
      <c r="P4" s="746"/>
      <c r="Q4" s="746"/>
      <c r="R4" s="746"/>
      <c r="S4" s="746"/>
      <c r="T4" s="746"/>
      <c r="U4" s="746"/>
      <c r="V4" s="746"/>
      <c r="W4" s="746"/>
      <c r="X4" s="746"/>
      <c r="Y4" s="746"/>
      <c r="Z4" s="747"/>
      <c r="AA4" s="253"/>
      <c r="AB4" s="253"/>
    </row>
    <row r="5" spans="4:28" ht="20.25" thickBot="1" x14ac:dyDescent="0.45">
      <c r="D5" s="253"/>
      <c r="E5" s="850"/>
      <c r="F5" s="851"/>
      <c r="G5" s="851"/>
      <c r="H5" s="851"/>
      <c r="I5" s="851"/>
      <c r="J5" s="851"/>
      <c r="K5" s="851"/>
      <c r="L5" s="851"/>
      <c r="M5" s="851"/>
      <c r="N5" s="851"/>
      <c r="O5" s="851"/>
      <c r="P5" s="851"/>
      <c r="Q5" s="851"/>
      <c r="R5" s="851"/>
      <c r="S5" s="851"/>
      <c r="T5" s="851"/>
      <c r="U5" s="851"/>
      <c r="V5" s="851"/>
      <c r="W5" s="851"/>
      <c r="X5" s="851"/>
      <c r="Y5" s="851"/>
      <c r="Z5" s="852"/>
      <c r="AA5" s="253"/>
      <c r="AB5" s="253"/>
    </row>
    <row r="6" spans="4:28" ht="24" customHeight="1" thickTop="1" x14ac:dyDescent="0.4">
      <c r="D6" s="253"/>
      <c r="E6" s="876" t="s">
        <v>126</v>
      </c>
      <c r="F6" s="870"/>
      <c r="G6" s="873" t="s">
        <v>10</v>
      </c>
      <c r="H6" s="873" t="s">
        <v>110</v>
      </c>
      <c r="I6" s="873"/>
      <c r="J6" s="873"/>
      <c r="K6" s="873"/>
      <c r="L6" s="853" t="s">
        <v>155</v>
      </c>
      <c r="M6" s="854"/>
      <c r="N6" s="854"/>
      <c r="O6" s="854"/>
      <c r="P6" s="854"/>
      <c r="Q6" s="854"/>
      <c r="R6" s="854"/>
      <c r="S6" s="854"/>
      <c r="T6" s="855"/>
      <c r="U6" s="870" t="s">
        <v>40</v>
      </c>
      <c r="V6" s="870" t="s">
        <v>10</v>
      </c>
      <c r="W6" s="861" t="s">
        <v>109</v>
      </c>
      <c r="X6" s="862"/>
      <c r="Y6" s="862"/>
      <c r="Z6" s="863"/>
      <c r="AA6" s="253"/>
      <c r="AB6" s="253"/>
    </row>
    <row r="7" spans="4:28" ht="19.5" customHeight="1" x14ac:dyDescent="0.4">
      <c r="D7" s="253"/>
      <c r="E7" s="877"/>
      <c r="F7" s="875"/>
      <c r="G7" s="874"/>
      <c r="H7" s="874"/>
      <c r="I7" s="874"/>
      <c r="J7" s="874"/>
      <c r="K7" s="874"/>
      <c r="L7" s="856"/>
      <c r="M7" s="857"/>
      <c r="N7" s="857"/>
      <c r="O7" s="857"/>
      <c r="P7" s="857"/>
      <c r="Q7" s="857"/>
      <c r="R7" s="857"/>
      <c r="S7" s="857"/>
      <c r="T7" s="858"/>
      <c r="U7" s="875"/>
      <c r="V7" s="875"/>
      <c r="W7" s="864"/>
      <c r="X7" s="865"/>
      <c r="Y7" s="865"/>
      <c r="Z7" s="866"/>
      <c r="AA7" s="253"/>
      <c r="AB7" s="253"/>
    </row>
    <row r="8" spans="4:28" ht="19.5" customHeight="1" x14ac:dyDescent="0.4">
      <c r="D8" s="253"/>
      <c r="E8" s="877"/>
      <c r="F8" s="875"/>
      <c r="G8" s="874"/>
      <c r="H8" s="739" t="s">
        <v>112</v>
      </c>
      <c r="I8" s="741" t="s">
        <v>113</v>
      </c>
      <c r="J8" s="878" t="s">
        <v>114</v>
      </c>
      <c r="K8" s="880" t="s">
        <v>143</v>
      </c>
      <c r="L8" s="859" t="s">
        <v>1</v>
      </c>
      <c r="M8" s="859" t="s">
        <v>3</v>
      </c>
      <c r="N8" s="859" t="s">
        <v>4</v>
      </c>
      <c r="O8" s="859" t="s">
        <v>5</v>
      </c>
      <c r="P8" s="859" t="s">
        <v>6</v>
      </c>
      <c r="Q8" s="859" t="s">
        <v>8</v>
      </c>
      <c r="R8" s="859" t="s">
        <v>7</v>
      </c>
      <c r="S8" s="859" t="s">
        <v>9</v>
      </c>
      <c r="T8" s="859" t="s">
        <v>41</v>
      </c>
      <c r="U8" s="875"/>
      <c r="V8" s="875"/>
      <c r="W8" s="867" t="s">
        <v>39</v>
      </c>
      <c r="X8" s="869" t="s">
        <v>53</v>
      </c>
      <c r="Y8" s="867" t="s">
        <v>37</v>
      </c>
      <c r="Z8" s="871" t="s">
        <v>38</v>
      </c>
      <c r="AA8" s="253"/>
      <c r="AB8" s="253"/>
    </row>
    <row r="9" spans="4:28" ht="20.25" customHeight="1" thickBot="1" x14ac:dyDescent="0.45">
      <c r="D9" s="253"/>
      <c r="E9" s="877"/>
      <c r="F9" s="875"/>
      <c r="G9" s="874"/>
      <c r="H9" s="740"/>
      <c r="I9" s="742"/>
      <c r="J9" s="879"/>
      <c r="K9" s="881"/>
      <c r="L9" s="860"/>
      <c r="M9" s="860"/>
      <c r="N9" s="860"/>
      <c r="O9" s="860"/>
      <c r="P9" s="860"/>
      <c r="Q9" s="860"/>
      <c r="R9" s="860"/>
      <c r="S9" s="860"/>
      <c r="T9" s="860"/>
      <c r="U9" s="875"/>
      <c r="V9" s="875"/>
      <c r="W9" s="868"/>
      <c r="X9" s="870"/>
      <c r="Y9" s="868"/>
      <c r="Z9" s="872"/>
      <c r="AA9" s="253"/>
      <c r="AB9" s="253"/>
    </row>
    <row r="10" spans="4:28" ht="21" thickTop="1" thickBot="1" x14ac:dyDescent="0.45">
      <c r="D10" s="253"/>
      <c r="E10" s="882" t="s">
        <v>115</v>
      </c>
      <c r="F10" s="883"/>
      <c r="G10" s="394">
        <f>H10+I10+J10+K10</f>
        <v>100</v>
      </c>
      <c r="H10" s="321">
        <v>80</v>
      </c>
      <c r="I10" s="323">
        <v>15</v>
      </c>
      <c r="J10" s="395">
        <v>4</v>
      </c>
      <c r="K10" s="396">
        <v>1</v>
      </c>
      <c r="L10" s="329">
        <v>13.97</v>
      </c>
      <c r="M10" s="329">
        <v>3.4</v>
      </c>
      <c r="N10" s="329">
        <v>2.16</v>
      </c>
      <c r="O10" s="329">
        <v>42.81</v>
      </c>
      <c r="P10" s="327">
        <v>1.65</v>
      </c>
      <c r="Q10" s="327">
        <v>0.26</v>
      </c>
      <c r="R10" s="327">
        <v>0.49</v>
      </c>
      <c r="S10" s="327">
        <v>0.2</v>
      </c>
      <c r="T10" s="327">
        <v>0.01</v>
      </c>
      <c r="U10" s="397">
        <f>0.786*O10+1.1*P10+0.2</f>
        <v>35.663660000000007</v>
      </c>
      <c r="V10" s="398">
        <f>SUM(L10:U10)</f>
        <v>100.61366000000001</v>
      </c>
      <c r="W10" s="416">
        <f>O10*100/(2.8*L10+1.2*M10+0.65*N10)</f>
        <v>95.986547085201792</v>
      </c>
      <c r="X10" s="398">
        <f xml:space="preserve"> O10/(L10+M10+N10)</f>
        <v>2.1920122887864824</v>
      </c>
      <c r="Y10" s="416">
        <f xml:space="preserve"> L10/(M10+N10)</f>
        <v>2.5125899280575537</v>
      </c>
      <c r="Z10" s="418">
        <f>M10/N10</f>
        <v>1.574074074074074</v>
      </c>
      <c r="AA10" s="253"/>
      <c r="AB10" s="253"/>
    </row>
    <row r="11" spans="4:28" ht="21" thickTop="1" thickBot="1" x14ac:dyDescent="0.45">
      <c r="D11" s="253"/>
      <c r="E11" s="882" t="s">
        <v>127</v>
      </c>
      <c r="F11" s="883"/>
      <c r="G11" s="394">
        <f t="shared" ref="G11:G13" si="0">H11+I11+J11+K11</f>
        <v>100</v>
      </c>
      <c r="H11" s="321">
        <f>100-I11-J11-K11</f>
        <v>80</v>
      </c>
      <c r="I11" s="323">
        <f>I10+M17-M10</f>
        <v>14.999999999999998</v>
      </c>
      <c r="J11" s="395">
        <f>J10+L17-L10</f>
        <v>3.9999999999999982</v>
      </c>
      <c r="K11" s="396">
        <f>K10+N17-N10</f>
        <v>1</v>
      </c>
      <c r="L11" s="329">
        <v>13.97</v>
      </c>
      <c r="M11" s="329">
        <v>3.4</v>
      </c>
      <c r="N11" s="329">
        <v>2.16</v>
      </c>
      <c r="O11" s="329">
        <v>42.81</v>
      </c>
      <c r="P11" s="327">
        <v>1.65</v>
      </c>
      <c r="Q11" s="327">
        <v>0.26</v>
      </c>
      <c r="R11" s="327">
        <v>0.49</v>
      </c>
      <c r="S11" s="327">
        <v>0.2</v>
      </c>
      <c r="T11" s="327">
        <v>0.01</v>
      </c>
      <c r="U11" s="397">
        <f>0.786*O11+1.1*P11+0.2</f>
        <v>35.663660000000007</v>
      </c>
      <c r="V11" s="398">
        <f>SUM(L11:U11)</f>
        <v>100.61366000000001</v>
      </c>
      <c r="W11" s="416">
        <f t="shared" ref="W11:W13" si="1">O11*100/(2.8*L11+1.2*M11+0.65*N11)</f>
        <v>95.986547085201792</v>
      </c>
      <c r="X11" s="398">
        <f t="shared" ref="X11:X13" si="2" xml:space="preserve"> O11/(L11+M11+N11)</f>
        <v>2.1920122887864824</v>
      </c>
      <c r="Y11" s="416">
        <f t="shared" ref="Y11:Y13" si="3" xml:space="preserve"> L11/(M11+N11)</f>
        <v>2.5125899280575537</v>
      </c>
      <c r="Z11" s="418">
        <f t="shared" ref="Z11:Z13" si="4">M11/N11</f>
        <v>1.574074074074074</v>
      </c>
      <c r="AA11" s="253"/>
      <c r="AB11" s="253"/>
    </row>
    <row r="12" spans="4:28" ht="21" thickTop="1" thickBot="1" x14ac:dyDescent="0.45">
      <c r="D12" s="253"/>
      <c r="E12" s="882" t="s">
        <v>127</v>
      </c>
      <c r="F12" s="883"/>
      <c r="G12" s="394">
        <f t="shared" si="0"/>
        <v>100</v>
      </c>
      <c r="H12" s="321">
        <f>100-I12-J12-K12</f>
        <v>80</v>
      </c>
      <c r="I12" s="323">
        <f>I11+M17-M11</f>
        <v>14.999999999999998</v>
      </c>
      <c r="J12" s="395">
        <f>J11+L17-L11</f>
        <v>3.9999999999999982</v>
      </c>
      <c r="K12" s="396">
        <f>K11+N17-N11</f>
        <v>1</v>
      </c>
      <c r="L12" s="329">
        <v>13.97</v>
      </c>
      <c r="M12" s="329">
        <v>3.4</v>
      </c>
      <c r="N12" s="329">
        <v>2.16</v>
      </c>
      <c r="O12" s="329">
        <v>42.81</v>
      </c>
      <c r="P12" s="327">
        <v>1.65</v>
      </c>
      <c r="Q12" s="327">
        <v>0.26</v>
      </c>
      <c r="R12" s="327">
        <v>0.49</v>
      </c>
      <c r="S12" s="327">
        <v>0.2</v>
      </c>
      <c r="T12" s="327">
        <v>0.01</v>
      </c>
      <c r="U12" s="397">
        <f>0.786*O12+1.1*P12+0.2</f>
        <v>35.663660000000007</v>
      </c>
      <c r="V12" s="398">
        <f>SUM(L12:U12)</f>
        <v>100.61366000000001</v>
      </c>
      <c r="W12" s="416">
        <f t="shared" si="1"/>
        <v>95.986547085201792</v>
      </c>
      <c r="X12" s="398">
        <f t="shared" si="2"/>
        <v>2.1920122887864824</v>
      </c>
      <c r="Y12" s="416">
        <f t="shared" si="3"/>
        <v>2.5125899280575537</v>
      </c>
      <c r="Z12" s="418">
        <f t="shared" si="4"/>
        <v>1.574074074074074</v>
      </c>
      <c r="AA12" s="253"/>
      <c r="AB12" s="253"/>
    </row>
    <row r="13" spans="4:28" ht="21" thickTop="1" thickBot="1" x14ac:dyDescent="0.45">
      <c r="D13" s="253"/>
      <c r="E13" s="882" t="s">
        <v>127</v>
      </c>
      <c r="F13" s="883"/>
      <c r="G13" s="394">
        <f t="shared" si="0"/>
        <v>100</v>
      </c>
      <c r="H13" s="321">
        <f>100-I13-J13-K13</f>
        <v>80</v>
      </c>
      <c r="I13" s="323">
        <f>I12+M17-M12</f>
        <v>14.999999999999998</v>
      </c>
      <c r="J13" s="395">
        <f>J12+L17-L12</f>
        <v>3.9999999999999982</v>
      </c>
      <c r="K13" s="396">
        <f>K12+N17-N12</f>
        <v>1</v>
      </c>
      <c r="L13" s="330">
        <v>13.97</v>
      </c>
      <c r="M13" s="330">
        <v>3.4</v>
      </c>
      <c r="N13" s="330">
        <v>2.16</v>
      </c>
      <c r="O13" s="330">
        <v>42.81</v>
      </c>
      <c r="P13" s="328">
        <v>1.65</v>
      </c>
      <c r="Q13" s="328">
        <v>0.26</v>
      </c>
      <c r="R13" s="328">
        <v>0.49</v>
      </c>
      <c r="S13" s="328">
        <v>0.2</v>
      </c>
      <c r="T13" s="328">
        <v>0.01</v>
      </c>
      <c r="U13" s="399">
        <f>0.786*O13+1.1*P13+0.2</f>
        <v>35.663660000000007</v>
      </c>
      <c r="V13" s="400">
        <f>SUM(L13:U13)</f>
        <v>100.61366000000001</v>
      </c>
      <c r="W13" s="417">
        <f t="shared" si="1"/>
        <v>95.986547085201792</v>
      </c>
      <c r="X13" s="400">
        <f t="shared" si="2"/>
        <v>2.1920122887864824</v>
      </c>
      <c r="Y13" s="417">
        <f t="shared" si="3"/>
        <v>2.5125899280575537</v>
      </c>
      <c r="Z13" s="419">
        <f t="shared" si="4"/>
        <v>1.574074074074074</v>
      </c>
      <c r="AA13" s="253"/>
      <c r="AB13" s="253"/>
    </row>
    <row r="14" spans="4:28" ht="21" thickTop="1" thickBot="1" x14ac:dyDescent="0.45">
      <c r="D14" s="253"/>
      <c r="E14" s="884" t="s">
        <v>127</v>
      </c>
      <c r="F14" s="885"/>
      <c r="G14" s="401">
        <f>H14+I14+J14+K14</f>
        <v>100</v>
      </c>
      <c r="H14" s="322">
        <f>100-I14-J14-K14</f>
        <v>80</v>
      </c>
      <c r="I14" s="324">
        <f>I13+M17-M13</f>
        <v>14.999999999999998</v>
      </c>
      <c r="J14" s="402">
        <f>J13+L17-L13</f>
        <v>3.9999999999999982</v>
      </c>
      <c r="K14" s="403">
        <f>K13+N17-N13</f>
        <v>1</v>
      </c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53"/>
      <c r="AB14" s="253"/>
    </row>
    <row r="15" spans="4:28" ht="21.75" thickTop="1" thickBot="1" x14ac:dyDescent="0.45">
      <c r="D15" s="253"/>
      <c r="E15" s="404"/>
      <c r="F15" s="404"/>
      <c r="G15" s="404"/>
      <c r="H15" s="393"/>
      <c r="I15" s="393"/>
      <c r="J15" s="393"/>
      <c r="K15" s="393"/>
      <c r="L15" s="548" t="s">
        <v>120</v>
      </c>
      <c r="M15" s="549"/>
      <c r="N15" s="549"/>
      <c r="O15" s="549"/>
      <c r="P15" s="549"/>
      <c r="Q15" s="549"/>
      <c r="R15" s="549"/>
      <c r="S15" s="549"/>
      <c r="T15" s="549"/>
      <c r="U15" s="549"/>
      <c r="V15" s="549"/>
      <c r="W15" s="549"/>
      <c r="X15" s="549"/>
      <c r="Y15" s="549"/>
      <c r="Z15" s="550"/>
      <c r="AA15" s="253"/>
      <c r="AB15" s="253"/>
    </row>
    <row r="16" spans="4:28" ht="21" thickBot="1" x14ac:dyDescent="0.45">
      <c r="D16" s="253"/>
      <c r="E16" s="393"/>
      <c r="F16" s="393"/>
      <c r="G16" s="886" t="s">
        <v>121</v>
      </c>
      <c r="H16" s="887"/>
      <c r="I16" s="887"/>
      <c r="J16" s="888"/>
      <c r="K16" s="393"/>
      <c r="L16" s="269" t="s">
        <v>1</v>
      </c>
      <c r="M16" s="270" t="s">
        <v>3</v>
      </c>
      <c r="N16" s="270" t="s">
        <v>4</v>
      </c>
      <c r="O16" s="270" t="s">
        <v>5</v>
      </c>
      <c r="P16" s="270" t="s">
        <v>6</v>
      </c>
      <c r="Q16" s="270" t="s">
        <v>8</v>
      </c>
      <c r="R16" s="270" t="s">
        <v>7</v>
      </c>
      <c r="S16" s="270" t="s">
        <v>9</v>
      </c>
      <c r="T16" s="270" t="s">
        <v>41</v>
      </c>
      <c r="U16" s="271" t="s">
        <v>40</v>
      </c>
      <c r="V16" s="271" t="s">
        <v>10</v>
      </c>
      <c r="W16" s="267" t="s">
        <v>39</v>
      </c>
      <c r="X16" s="415" t="s">
        <v>53</v>
      </c>
      <c r="Y16" s="267" t="s">
        <v>37</v>
      </c>
      <c r="Z16" s="414" t="s">
        <v>38</v>
      </c>
      <c r="AA16" s="253"/>
      <c r="AB16" s="253"/>
    </row>
    <row r="17" spans="4:29" ht="21" thickTop="1" thickBot="1" x14ac:dyDescent="0.45">
      <c r="D17" s="253"/>
      <c r="E17" s="393"/>
      <c r="F17" s="393"/>
      <c r="G17" s="889" t="s">
        <v>39</v>
      </c>
      <c r="H17" s="890"/>
      <c r="I17" s="895">
        <f>W17</f>
        <v>95.986547085201792</v>
      </c>
      <c r="J17" s="906"/>
      <c r="K17" s="393"/>
      <c r="L17" s="422">
        <v>13.97</v>
      </c>
      <c r="M17" s="423">
        <v>3.4</v>
      </c>
      <c r="N17" s="423">
        <v>2.16</v>
      </c>
      <c r="O17" s="423">
        <v>42.81</v>
      </c>
      <c r="P17" s="424">
        <v>1.65</v>
      </c>
      <c r="Q17" s="424">
        <v>0.26</v>
      </c>
      <c r="R17" s="424">
        <v>0.49</v>
      </c>
      <c r="S17" s="424">
        <v>0.2</v>
      </c>
      <c r="T17" s="424">
        <v>0.01</v>
      </c>
      <c r="U17" s="425">
        <f>0.786*O17+1.1*P17+0.2</f>
        <v>35.663660000000007</v>
      </c>
      <c r="V17" s="405">
        <f>SUM(L17:U17)</f>
        <v>100.61366000000001</v>
      </c>
      <c r="W17" s="426">
        <f>O17*100/(2.8*L17+1.2*M17+0.65*N17)</f>
        <v>95.986547085201792</v>
      </c>
      <c r="X17" s="405">
        <f>O17/(L17+M17+N17)</f>
        <v>2.1920122887864824</v>
      </c>
      <c r="Y17" s="426">
        <f>L17/(M17+N17)</f>
        <v>2.5125899280575537</v>
      </c>
      <c r="Z17" s="427">
        <f>M17/N17</f>
        <v>1.574074074074074</v>
      </c>
      <c r="AA17" s="253"/>
      <c r="AB17" s="253"/>
    </row>
    <row r="18" spans="4:29" ht="21.75" thickTop="1" thickBot="1" x14ac:dyDescent="0.45">
      <c r="D18" s="253"/>
      <c r="E18" s="393"/>
      <c r="F18" s="393"/>
      <c r="G18" s="889" t="s">
        <v>37</v>
      </c>
      <c r="H18" s="890"/>
      <c r="I18" s="895">
        <f>Y17</f>
        <v>2.5125899280575537</v>
      </c>
      <c r="J18" s="906"/>
      <c r="K18" s="393"/>
      <c r="L18" s="571" t="s">
        <v>124</v>
      </c>
      <c r="M18" s="572"/>
      <c r="N18" s="572"/>
      <c r="O18" s="572"/>
      <c r="P18" s="572"/>
      <c r="Q18" s="572"/>
      <c r="R18" s="572"/>
      <c r="S18" s="572"/>
      <c r="T18" s="572"/>
      <c r="U18" s="572"/>
      <c r="V18" s="573"/>
      <c r="W18" s="573"/>
      <c r="X18" s="573"/>
      <c r="Y18" s="573"/>
      <c r="Z18" s="574"/>
      <c r="AA18" s="253"/>
      <c r="AB18" s="253"/>
    </row>
    <row r="19" spans="4:29" ht="21" thickTop="1" thickBot="1" x14ac:dyDescent="0.45">
      <c r="D19" s="253"/>
      <c r="E19" s="393"/>
      <c r="F19" s="393"/>
      <c r="G19" s="889" t="s">
        <v>38</v>
      </c>
      <c r="H19" s="890"/>
      <c r="I19" s="907">
        <f>Z17</f>
        <v>1.574074074074074</v>
      </c>
      <c r="J19" s="908"/>
      <c r="K19" s="393"/>
      <c r="L19" s="428">
        <v>51.910012874140349</v>
      </c>
      <c r="M19" s="429">
        <v>24.189980517995103</v>
      </c>
      <c r="N19" s="429">
        <v>6.7227097100043149</v>
      </c>
      <c r="O19" s="429">
        <v>8.1274517505998443</v>
      </c>
      <c r="P19" s="429">
        <v>1.1075203400231253</v>
      </c>
      <c r="Q19" s="429">
        <v>0.2</v>
      </c>
      <c r="R19" s="429">
        <v>0.9</v>
      </c>
      <c r="S19" s="430">
        <v>4.2</v>
      </c>
      <c r="T19" s="429">
        <v>0.01</v>
      </c>
      <c r="U19" s="431">
        <v>1.5</v>
      </c>
      <c r="V19" s="405">
        <f>SUM(L19:U19)</f>
        <v>98.867675192762746</v>
      </c>
      <c r="W19" s="405">
        <f t="shared" ref="W19" si="5">O19*100/(2.8*L19+1.2*M19+0.65*N19)</f>
        <v>4.5469336530875761</v>
      </c>
      <c r="X19" s="405">
        <f t="shared" ref="X19" si="6">O19/(L19+M19+N19)</f>
        <v>9.8130723173533663E-2</v>
      </c>
      <c r="Y19" s="405">
        <f t="shared" ref="Y19" si="7">L19/(M19+N19)</f>
        <v>1.6792460472146948</v>
      </c>
      <c r="Z19" s="406">
        <f t="shared" ref="Z19" si="8">M19/N19</f>
        <v>3.5982485577202734</v>
      </c>
      <c r="AA19" s="253"/>
      <c r="AB19" s="253"/>
    </row>
    <row r="20" spans="4:29" ht="21.75" thickTop="1" thickBot="1" x14ac:dyDescent="0.45">
      <c r="D20" s="253"/>
      <c r="E20" s="393"/>
      <c r="F20" s="393"/>
      <c r="G20" s="585" t="s">
        <v>47</v>
      </c>
      <c r="H20" s="586"/>
      <c r="I20" s="902">
        <v>2.1000000000000001E-2</v>
      </c>
      <c r="J20" s="903"/>
      <c r="K20" s="393"/>
      <c r="L20" s="575" t="s">
        <v>123</v>
      </c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7"/>
      <c r="AA20" s="391"/>
      <c r="AB20" s="253"/>
    </row>
    <row r="21" spans="4:29" ht="21" thickTop="1" thickBot="1" x14ac:dyDescent="0.45">
      <c r="D21" s="253"/>
      <c r="E21" s="393"/>
      <c r="F21" s="393"/>
      <c r="G21" s="587" t="s">
        <v>122</v>
      </c>
      <c r="H21" s="588"/>
      <c r="I21" s="904" t="s">
        <v>132</v>
      </c>
      <c r="J21" s="905"/>
      <c r="K21" s="393"/>
      <c r="L21" s="432" t="s">
        <v>1</v>
      </c>
      <c r="M21" s="433" t="s">
        <v>3</v>
      </c>
      <c r="N21" s="433" t="s">
        <v>4</v>
      </c>
      <c r="O21" s="433" t="s">
        <v>5</v>
      </c>
      <c r="P21" s="433" t="s">
        <v>6</v>
      </c>
      <c r="Q21" s="433" t="s">
        <v>8</v>
      </c>
      <c r="R21" s="433" t="s">
        <v>7</v>
      </c>
      <c r="S21" s="433" t="s">
        <v>9</v>
      </c>
      <c r="T21" s="433" t="s">
        <v>41</v>
      </c>
      <c r="U21" s="901" t="s">
        <v>10</v>
      </c>
      <c r="V21" s="901"/>
      <c r="W21" s="331" t="s">
        <v>39</v>
      </c>
      <c r="X21" s="434" t="s">
        <v>53</v>
      </c>
      <c r="Y21" s="331" t="s">
        <v>37</v>
      </c>
      <c r="Z21" s="411" t="s">
        <v>38</v>
      </c>
      <c r="AA21" s="253"/>
      <c r="AB21" s="253"/>
    </row>
    <row r="22" spans="4:29" ht="21" thickTop="1" thickBot="1" x14ac:dyDescent="0.45">
      <c r="D22" s="253"/>
      <c r="E22" s="393"/>
      <c r="F22" s="393"/>
      <c r="G22" s="393"/>
      <c r="H22" s="393"/>
      <c r="I22" s="393"/>
      <c r="J22" s="393"/>
      <c r="K22" s="393"/>
      <c r="L22" s="420">
        <f>(1/(1-U17/100))*L17*(1-I20)+L19*I20</f>
        <v>22.348127123662564</v>
      </c>
      <c r="M22" s="329">
        <f>(1/(1-U17/100))*M17*(1-I20)+M19*I20</f>
        <v>5.6817374291913598</v>
      </c>
      <c r="N22" s="329">
        <f>(1/(1-U17/100))*N17*(1-I20)+N19*I20</f>
        <v>3.4280284717798204</v>
      </c>
      <c r="O22" s="329">
        <f>(1/(1-U17/100))*O17*(1-I20)+O19*I20</f>
        <v>65.314248533291831</v>
      </c>
      <c r="P22" s="327">
        <f>(1/(1-U17/100))*P17*(1-I20)+P19*I20</f>
        <v>2.534047319263196</v>
      </c>
      <c r="Q22" s="327">
        <f>(1/(1-U17/100))*Q17*(1-I20)+Q19*I20</f>
        <v>0.3998395405769119</v>
      </c>
      <c r="R22" s="327">
        <f t="shared" ref="R22" si="9">(1/(1-AA17/100))*R17*(1-O24)+R19*O24</f>
        <v>0.49</v>
      </c>
      <c r="S22" s="327">
        <f>(1/(1-U17/100))*S17*(1-I20)+S19*I20</f>
        <v>0.39253810813608614</v>
      </c>
      <c r="T22" s="327">
        <f>(1/(1-U17/100))*T17*(1-I20)+T19*I20</f>
        <v>1.5426905406804305E-2</v>
      </c>
      <c r="U22" s="894">
        <f>SUM(L22:T22)</f>
        <v>100.60399343130855</v>
      </c>
      <c r="V22" s="895"/>
      <c r="W22" s="416">
        <f>O22*100/(2.8*L22+1.2*M22+0.65*N22)</f>
        <v>91.194194989144691</v>
      </c>
      <c r="X22" s="398">
        <f>O22/(L22+M22+N22)</f>
        <v>2.0762435831969475</v>
      </c>
      <c r="Y22" s="416">
        <f>L22/(M22+N22)</f>
        <v>2.4532054244423627</v>
      </c>
      <c r="Z22" s="418">
        <f>M22/N22</f>
        <v>1.657435892369185</v>
      </c>
      <c r="AA22" s="253"/>
      <c r="AB22" s="253"/>
    </row>
    <row r="23" spans="4:29" ht="21" thickTop="1" x14ac:dyDescent="0.4">
      <c r="D23" s="253"/>
      <c r="E23" s="393"/>
      <c r="F23" s="393"/>
      <c r="G23" s="393"/>
      <c r="H23" s="393"/>
      <c r="I23" s="393"/>
      <c r="J23" s="393"/>
      <c r="K23" s="393"/>
      <c r="L23" s="896" t="s">
        <v>154</v>
      </c>
      <c r="M23" s="898" t="s">
        <v>54</v>
      </c>
      <c r="N23" s="898" t="s">
        <v>163</v>
      </c>
      <c r="O23" s="898" t="s">
        <v>56</v>
      </c>
      <c r="P23" s="898" t="s">
        <v>57</v>
      </c>
      <c r="Q23" s="900" t="s">
        <v>58</v>
      </c>
      <c r="R23" s="900"/>
      <c r="S23" s="900"/>
      <c r="T23" s="900"/>
      <c r="U23" s="891" t="s">
        <v>164</v>
      </c>
      <c r="V23" s="891" t="s">
        <v>59</v>
      </c>
      <c r="W23" s="891" t="s">
        <v>128</v>
      </c>
      <c r="X23" s="891" t="s">
        <v>60</v>
      </c>
      <c r="Y23" s="892" t="s">
        <v>61</v>
      </c>
      <c r="Z23" s="893"/>
      <c r="AA23" s="253"/>
      <c r="AB23" s="253"/>
    </row>
    <row r="24" spans="4:29" ht="20.25" thickBot="1" x14ac:dyDescent="0.45">
      <c r="D24" s="253"/>
      <c r="E24" s="393"/>
      <c r="F24" s="393"/>
      <c r="G24" s="393"/>
      <c r="H24" s="393"/>
      <c r="I24" s="393"/>
      <c r="J24" s="393"/>
      <c r="K24" s="393"/>
      <c r="L24" s="897"/>
      <c r="M24" s="899"/>
      <c r="N24" s="899"/>
      <c r="O24" s="899"/>
      <c r="P24" s="899"/>
      <c r="Q24" s="407" t="s">
        <v>62</v>
      </c>
      <c r="R24" s="407" t="s">
        <v>63</v>
      </c>
      <c r="S24" s="407" t="s">
        <v>64</v>
      </c>
      <c r="T24" s="407" t="s">
        <v>65</v>
      </c>
      <c r="U24" s="891"/>
      <c r="V24" s="891"/>
      <c r="W24" s="891"/>
      <c r="X24" s="891"/>
      <c r="Y24" s="407" t="s">
        <v>66</v>
      </c>
      <c r="Z24" s="408" t="s">
        <v>40</v>
      </c>
      <c r="AA24" s="253"/>
      <c r="AB24" s="253"/>
    </row>
    <row r="25" spans="4:29" ht="21" thickTop="1" thickBot="1" x14ac:dyDescent="0.45">
      <c r="D25" s="253"/>
      <c r="E25" s="393"/>
      <c r="F25" s="393"/>
      <c r="G25" s="393"/>
      <c r="H25" s="393"/>
      <c r="I25" s="393"/>
      <c r="J25" s="393"/>
      <c r="K25" s="393"/>
      <c r="L25" s="435">
        <v>1.25</v>
      </c>
      <c r="M25" s="328">
        <v>1.8</v>
      </c>
      <c r="N25" s="436" t="s">
        <v>130</v>
      </c>
      <c r="O25" s="328">
        <f>((P25/100)-(Z25/100))/((P25/100)-(P25/100)*(Z25/100))*100</f>
        <v>96.166062000057735</v>
      </c>
      <c r="P25" s="328">
        <v>34.39</v>
      </c>
      <c r="Q25" s="399">
        <f>4.071*(O22-M25)-7.6024*L22-6.718*M22-1.4297*N22</f>
        <v>45.596139778687601</v>
      </c>
      <c r="R25" s="400">
        <f>8.6024*L22+5.0683*M22+1.0785*N22-3.071*(O22-M25)</f>
        <v>29.689150042040694</v>
      </c>
      <c r="S25" s="400">
        <f>2.65*M22-1.692*N22</f>
        <v>9.2563800131056464</v>
      </c>
      <c r="T25" s="400">
        <f>3.0432*N22</f>
        <v>10.432176245320349</v>
      </c>
      <c r="U25" s="400">
        <f>S22/(R22+0.5*Q22)</f>
        <v>0.56896196491363871</v>
      </c>
      <c r="V25" s="400">
        <f>Q22+(0.658*R22)</f>
        <v>0.72225954057691188</v>
      </c>
      <c r="W25" s="400">
        <f>3*M22+2.25*N22+P22+Q22+R22+S22</f>
        <v>28.57470131705487</v>
      </c>
      <c r="X25" s="409">
        <f>S25+T25+(R25*0.2)+(2*N22)</f>
        <v>32.482443210393775</v>
      </c>
      <c r="Y25" s="437">
        <v>1</v>
      </c>
      <c r="Z25" s="438">
        <v>1.97</v>
      </c>
      <c r="AA25" s="253"/>
      <c r="AB25" s="253"/>
    </row>
    <row r="26" spans="4:29" ht="20.25" thickTop="1" x14ac:dyDescent="0.4">
      <c r="D26" s="253"/>
      <c r="E26" s="393"/>
      <c r="F26" s="393"/>
      <c r="G26" s="393"/>
      <c r="H26" s="410"/>
      <c r="I26" s="410"/>
      <c r="J26" s="410"/>
      <c r="K26" s="410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253"/>
      <c r="AB26" s="253"/>
    </row>
    <row r="27" spans="4:29" x14ac:dyDescent="0.4">
      <c r="D27" s="253"/>
      <c r="E27" s="393"/>
      <c r="F27" s="393"/>
      <c r="G27" s="393"/>
      <c r="H27" s="410"/>
      <c r="I27" s="410"/>
      <c r="J27" s="410"/>
      <c r="K27" s="410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253"/>
      <c r="AB27" s="253"/>
    </row>
    <row r="28" spans="4:29" x14ac:dyDescent="0.4">
      <c r="D28" s="253"/>
      <c r="E28" s="393"/>
      <c r="F28" s="393"/>
      <c r="G28" s="393"/>
      <c r="H28" s="410"/>
      <c r="I28" s="410"/>
      <c r="J28" s="410"/>
      <c r="K28" s="410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253"/>
      <c r="AB28" s="253"/>
    </row>
    <row r="29" spans="4:29" x14ac:dyDescent="0.4">
      <c r="D29" s="207"/>
      <c r="E29" s="207"/>
      <c r="F29" s="207"/>
      <c r="G29" s="207"/>
      <c r="H29" s="208"/>
      <c r="I29" s="208"/>
      <c r="J29" s="208"/>
      <c r="K29" s="208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</row>
    <row r="30" spans="4:29" x14ac:dyDescent="0.4">
      <c r="D30" s="207"/>
      <c r="E30" s="207"/>
      <c r="F30" s="207"/>
      <c r="G30" s="207"/>
      <c r="H30" s="208"/>
      <c r="I30" s="208"/>
      <c r="J30" s="208"/>
      <c r="K30" s="208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</row>
    <row r="31" spans="4:29" x14ac:dyDescent="0.4">
      <c r="D31" s="104"/>
      <c r="E31" s="104"/>
      <c r="F31" s="104"/>
      <c r="G31" s="104"/>
      <c r="H31" s="105"/>
      <c r="I31" s="105"/>
      <c r="J31" s="105"/>
      <c r="K31" s="105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3"/>
    </row>
    <row r="32" spans="4:29" x14ac:dyDescent="0.4">
      <c r="D32" s="12"/>
      <c r="E32" s="12"/>
      <c r="F32" s="12"/>
      <c r="G32" s="12"/>
      <c r="H32" s="70"/>
      <c r="I32" s="70"/>
      <c r="J32" s="70"/>
      <c r="K32" s="7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4:28" x14ac:dyDescent="0.4">
      <c r="D33" s="12"/>
      <c r="E33" s="12"/>
      <c r="F33" s="12"/>
      <c r="G33" s="12"/>
      <c r="H33" s="70"/>
      <c r="I33" s="70"/>
      <c r="J33" s="70"/>
      <c r="K33" s="7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4:28" x14ac:dyDescent="0.4">
      <c r="D34" s="12"/>
      <c r="E34" s="601" t="s">
        <v>137</v>
      </c>
      <c r="F34" s="602" t="s">
        <v>136</v>
      </c>
      <c r="G34" s="602"/>
      <c r="H34" s="12"/>
      <c r="I34" s="88"/>
      <c r="J34" s="88"/>
      <c r="K34" s="521" t="s">
        <v>144</v>
      </c>
      <c r="L34" s="90"/>
      <c r="M34" s="90"/>
      <c r="N34" s="521" t="s">
        <v>140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4:28" x14ac:dyDescent="0.4">
      <c r="D35" s="12"/>
      <c r="E35" s="601"/>
      <c r="F35" s="602"/>
      <c r="G35" s="602"/>
      <c r="H35" s="12"/>
      <c r="I35" s="88"/>
      <c r="J35" s="88"/>
      <c r="K35" s="521"/>
      <c r="L35" s="90"/>
      <c r="M35" s="90"/>
      <c r="N35" s="52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4:28" ht="20.25" thickBot="1" x14ac:dyDescent="0.45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4:28" ht="25.5" thickBot="1" x14ac:dyDescent="0.55000000000000004">
      <c r="D37" s="12"/>
      <c r="E37" s="909" t="s">
        <v>108</v>
      </c>
      <c r="F37" s="909"/>
      <c r="G37" s="909"/>
      <c r="H37" s="909"/>
      <c r="I37" s="909"/>
      <c r="J37" s="909"/>
      <c r="K37" s="909"/>
      <c r="L37" s="909"/>
      <c r="M37" s="909"/>
      <c r="N37" s="909"/>
      <c r="O37" s="909"/>
      <c r="P37" s="909"/>
      <c r="Q37" s="909"/>
      <c r="R37" s="909"/>
      <c r="S37" s="909"/>
      <c r="T37" s="909"/>
      <c r="U37" s="909"/>
      <c r="V37" s="909"/>
      <c r="W37" s="909"/>
      <c r="X37" s="909"/>
      <c r="Y37" s="909"/>
      <c r="Z37" s="909"/>
      <c r="AA37" s="12"/>
      <c r="AB37" s="12"/>
    </row>
    <row r="38" spans="4:28" ht="20.25" customHeight="1" thickBot="1" x14ac:dyDescent="0.45">
      <c r="D38" s="12"/>
      <c r="E38" s="594" t="s">
        <v>126</v>
      </c>
      <c r="F38" s="594"/>
      <c r="G38" s="595" t="s">
        <v>10</v>
      </c>
      <c r="H38" s="595" t="s">
        <v>110</v>
      </c>
      <c r="I38" s="595"/>
      <c r="J38" s="595"/>
      <c r="K38" s="595"/>
      <c r="L38" s="595" t="s">
        <v>111</v>
      </c>
      <c r="M38" s="595"/>
      <c r="N38" s="595"/>
      <c r="O38" s="595"/>
      <c r="P38" s="595"/>
      <c r="Q38" s="595"/>
      <c r="R38" s="595"/>
      <c r="S38" s="595"/>
      <c r="T38" s="595"/>
      <c r="U38" s="594" t="s">
        <v>40</v>
      </c>
      <c r="V38" s="594" t="s">
        <v>10</v>
      </c>
      <c r="W38" s="595" t="s">
        <v>109</v>
      </c>
      <c r="X38" s="595"/>
      <c r="Y38" s="595"/>
      <c r="Z38" s="595"/>
      <c r="AA38" s="12"/>
      <c r="AB38" s="12"/>
    </row>
    <row r="39" spans="4:28" ht="13.5" customHeight="1" thickBot="1" x14ac:dyDescent="0.45">
      <c r="D39" s="12"/>
      <c r="E39" s="594"/>
      <c r="F39" s="594"/>
      <c r="G39" s="595"/>
      <c r="H39" s="595"/>
      <c r="I39" s="595"/>
      <c r="J39" s="595"/>
      <c r="K39" s="595"/>
      <c r="L39" s="595" t="s">
        <v>1</v>
      </c>
      <c r="M39" s="595" t="s">
        <v>3</v>
      </c>
      <c r="N39" s="595" t="s">
        <v>4</v>
      </c>
      <c r="O39" s="595" t="s">
        <v>5</v>
      </c>
      <c r="P39" s="595" t="s">
        <v>6</v>
      </c>
      <c r="Q39" s="595" t="s">
        <v>8</v>
      </c>
      <c r="R39" s="595" t="s">
        <v>7</v>
      </c>
      <c r="S39" s="595" t="s">
        <v>9</v>
      </c>
      <c r="T39" s="595" t="s">
        <v>41</v>
      </c>
      <c r="U39" s="594"/>
      <c r="V39" s="594"/>
      <c r="W39" s="594" t="s">
        <v>39</v>
      </c>
      <c r="X39" s="594" t="s">
        <v>53</v>
      </c>
      <c r="Y39" s="594" t="s">
        <v>37</v>
      </c>
      <c r="Z39" s="594" t="s">
        <v>38</v>
      </c>
      <c r="AA39" s="12"/>
      <c r="AB39" s="12"/>
    </row>
    <row r="40" spans="4:28" ht="13.5" customHeight="1" thickBot="1" x14ac:dyDescent="0.45">
      <c r="D40" s="12"/>
      <c r="E40" s="594"/>
      <c r="F40" s="594"/>
      <c r="G40" s="595"/>
      <c r="H40" s="597" t="s">
        <v>112</v>
      </c>
      <c r="I40" s="598" t="s">
        <v>113</v>
      </c>
      <c r="J40" s="910" t="s">
        <v>114</v>
      </c>
      <c r="K40" s="599" t="s">
        <v>143</v>
      </c>
      <c r="L40" s="595"/>
      <c r="M40" s="595"/>
      <c r="N40" s="595"/>
      <c r="O40" s="595"/>
      <c r="P40" s="595"/>
      <c r="Q40" s="595"/>
      <c r="R40" s="595"/>
      <c r="S40" s="595"/>
      <c r="T40" s="595"/>
      <c r="U40" s="594"/>
      <c r="V40" s="594"/>
      <c r="W40" s="594"/>
      <c r="X40" s="594"/>
      <c r="Y40" s="594"/>
      <c r="Z40" s="594"/>
      <c r="AA40" s="12"/>
      <c r="AB40" s="12"/>
    </row>
    <row r="41" spans="4:28" ht="13.5" customHeight="1" thickBot="1" x14ac:dyDescent="0.45">
      <c r="D41" s="12"/>
      <c r="E41" s="594"/>
      <c r="F41" s="594"/>
      <c r="G41" s="595"/>
      <c r="H41" s="597"/>
      <c r="I41" s="598"/>
      <c r="J41" s="910"/>
      <c r="K41" s="599"/>
      <c r="L41" s="595"/>
      <c r="M41" s="595"/>
      <c r="N41" s="595"/>
      <c r="O41" s="595"/>
      <c r="P41" s="595"/>
      <c r="Q41" s="595"/>
      <c r="R41" s="600"/>
      <c r="S41" s="595"/>
      <c r="T41" s="595"/>
      <c r="U41" s="594"/>
      <c r="V41" s="594"/>
      <c r="W41" s="594"/>
      <c r="X41" s="594"/>
      <c r="Y41" s="594"/>
      <c r="Z41" s="594"/>
      <c r="AA41" s="12"/>
      <c r="AB41" s="12"/>
    </row>
    <row r="42" spans="4:28" ht="20.25" customHeight="1" thickBot="1" x14ac:dyDescent="0.45">
      <c r="D42" s="12"/>
      <c r="E42" s="596" t="s">
        <v>115</v>
      </c>
      <c r="F42" s="596"/>
      <c r="G42" s="63">
        <f>H42+I42+J42+K42</f>
        <v>100</v>
      </c>
      <c r="H42" s="24">
        <v>80</v>
      </c>
      <c r="I42" s="25">
        <v>15</v>
      </c>
      <c r="J42" s="40">
        <v>4</v>
      </c>
      <c r="K42" s="26">
        <v>1</v>
      </c>
      <c r="L42" s="27">
        <v>13.97</v>
      </c>
      <c r="M42" s="27">
        <v>3.4</v>
      </c>
      <c r="N42" s="27">
        <v>2.16</v>
      </c>
      <c r="O42" s="27">
        <v>42.81</v>
      </c>
      <c r="P42" s="27">
        <v>1.65</v>
      </c>
      <c r="Q42" s="27">
        <v>0.26</v>
      </c>
      <c r="R42" s="27">
        <v>0.49</v>
      </c>
      <c r="S42" s="27">
        <v>0.2</v>
      </c>
      <c r="T42" s="27">
        <v>0.01</v>
      </c>
      <c r="U42" s="55">
        <f>0.786*O42+1.1*P42+0.2</f>
        <v>35.663660000000007</v>
      </c>
      <c r="V42" s="55">
        <f>SUM(L42:U42)</f>
        <v>100.61366000000001</v>
      </c>
      <c r="W42" s="55">
        <f>O42*100/(2.8*L42+1.2*M42+0.65*N42)</f>
        <v>95.986547085201792</v>
      </c>
      <c r="X42" s="55">
        <f xml:space="preserve"> O42/(L42+M42+N42)</f>
        <v>2.1920122887864824</v>
      </c>
      <c r="Y42" s="55">
        <f xml:space="preserve"> L42/(M42+N42)</f>
        <v>2.5125899280575537</v>
      </c>
      <c r="Z42" s="55">
        <f>M42/N42</f>
        <v>1.574074074074074</v>
      </c>
      <c r="AA42" s="12"/>
      <c r="AB42" s="12"/>
    </row>
    <row r="43" spans="4:28" ht="20.25" customHeight="1" thickBot="1" x14ac:dyDescent="0.45">
      <c r="D43" s="12"/>
      <c r="E43" s="596" t="s">
        <v>127</v>
      </c>
      <c r="F43" s="596"/>
      <c r="G43" s="63">
        <f t="shared" ref="G43:G45" si="10">H43+I43+J43+K43</f>
        <v>100</v>
      </c>
      <c r="H43" s="52">
        <f>100-I43-J43-K43</f>
        <v>80</v>
      </c>
      <c r="I43" s="53">
        <f>I42+M53-M42</f>
        <v>14.999999999999998</v>
      </c>
      <c r="J43" s="62">
        <f>J42+L53-L42</f>
        <v>3.9999999999999982</v>
      </c>
      <c r="K43" s="54">
        <f>K42+N53-N42</f>
        <v>1</v>
      </c>
      <c r="L43" s="27">
        <v>13.97</v>
      </c>
      <c r="M43" s="27">
        <v>3.4</v>
      </c>
      <c r="N43" s="27">
        <v>2.16</v>
      </c>
      <c r="O43" s="27">
        <v>42.81</v>
      </c>
      <c r="P43" s="27">
        <v>1.65</v>
      </c>
      <c r="Q43" s="27">
        <v>0.26</v>
      </c>
      <c r="R43" s="27">
        <v>0.49</v>
      </c>
      <c r="S43" s="27">
        <v>0.2</v>
      </c>
      <c r="T43" s="27">
        <v>0.01</v>
      </c>
      <c r="U43" s="55">
        <f>0.786*O43+1.1*P43+0.2</f>
        <v>35.663660000000007</v>
      </c>
      <c r="V43" s="55">
        <f>SUM(L43:U43)</f>
        <v>100.61366000000001</v>
      </c>
      <c r="W43" s="55">
        <f t="shared" ref="W43:W45" si="11">O43*100/(2.8*L43+1.2*M43+0.65*N43)</f>
        <v>95.986547085201792</v>
      </c>
      <c r="X43" s="55">
        <f t="shared" ref="X43:X45" si="12" xml:space="preserve"> O43/(L43+M43+N43)</f>
        <v>2.1920122887864824</v>
      </c>
      <c r="Y43" s="55">
        <f t="shared" ref="Y43:Y45" si="13" xml:space="preserve"> L43/(M43+N43)</f>
        <v>2.5125899280575537</v>
      </c>
      <c r="Z43" s="55">
        <f t="shared" ref="Z43:Z45" si="14">M43/N43</f>
        <v>1.574074074074074</v>
      </c>
      <c r="AA43" s="12"/>
      <c r="AB43" s="12"/>
    </row>
    <row r="44" spans="4:28" ht="20.25" customHeight="1" thickBot="1" x14ac:dyDescent="0.45">
      <c r="D44" s="12"/>
      <c r="E44" s="596" t="s">
        <v>127</v>
      </c>
      <c r="F44" s="596"/>
      <c r="G44" s="63">
        <f t="shared" si="10"/>
        <v>100</v>
      </c>
      <c r="H44" s="52">
        <f>100-I44-J44-K44</f>
        <v>80</v>
      </c>
      <c r="I44" s="53">
        <f>I43+M53-M43</f>
        <v>14.999999999999998</v>
      </c>
      <c r="J44" s="62">
        <f>J43+L53-L43</f>
        <v>3.9999999999999982</v>
      </c>
      <c r="K44" s="54">
        <f>K43+N53-N43</f>
        <v>1</v>
      </c>
      <c r="L44" s="27">
        <v>13.97</v>
      </c>
      <c r="M44" s="27">
        <v>3.4</v>
      </c>
      <c r="N44" s="27">
        <v>2.16</v>
      </c>
      <c r="O44" s="27">
        <v>42.81</v>
      </c>
      <c r="P44" s="27">
        <v>1.65</v>
      </c>
      <c r="Q44" s="27">
        <v>0.26</v>
      </c>
      <c r="R44" s="27">
        <v>0.49</v>
      </c>
      <c r="S44" s="27">
        <v>0.2</v>
      </c>
      <c r="T44" s="27">
        <v>0.01</v>
      </c>
      <c r="U44" s="55">
        <f>0.786*O44+1.1*P44+0.2</f>
        <v>35.663660000000007</v>
      </c>
      <c r="V44" s="55">
        <f>SUM(L44:U44)</f>
        <v>100.61366000000001</v>
      </c>
      <c r="W44" s="55">
        <f t="shared" si="11"/>
        <v>95.986547085201792</v>
      </c>
      <c r="X44" s="55">
        <f t="shared" si="12"/>
        <v>2.1920122887864824</v>
      </c>
      <c r="Y44" s="55">
        <f t="shared" si="13"/>
        <v>2.5125899280575537</v>
      </c>
      <c r="Z44" s="55">
        <f t="shared" si="14"/>
        <v>1.574074074074074</v>
      </c>
      <c r="AA44" s="12"/>
      <c r="AB44" s="12"/>
    </row>
    <row r="45" spans="4:28" ht="20.25" customHeight="1" thickBot="1" x14ac:dyDescent="0.45">
      <c r="D45" s="12"/>
      <c r="E45" s="596" t="s">
        <v>127</v>
      </c>
      <c r="F45" s="596"/>
      <c r="G45" s="63">
        <f t="shared" si="10"/>
        <v>100</v>
      </c>
      <c r="H45" s="52">
        <f>100-I45-J45-K45</f>
        <v>80</v>
      </c>
      <c r="I45" s="53">
        <f>I44+M53-M44</f>
        <v>14.999999999999998</v>
      </c>
      <c r="J45" s="62">
        <f>J44+L53-L44</f>
        <v>3.9999999999999982</v>
      </c>
      <c r="K45" s="54">
        <f>K44+N53-N44</f>
        <v>1</v>
      </c>
      <c r="L45" s="27">
        <v>13.97</v>
      </c>
      <c r="M45" s="27">
        <v>3.4</v>
      </c>
      <c r="N45" s="27">
        <v>2.16</v>
      </c>
      <c r="O45" s="27">
        <v>42.81</v>
      </c>
      <c r="P45" s="27">
        <v>1.65</v>
      </c>
      <c r="Q45" s="27">
        <v>0.26</v>
      </c>
      <c r="R45" s="27">
        <v>0.49</v>
      </c>
      <c r="S45" s="27">
        <v>0.2</v>
      </c>
      <c r="T45" s="27">
        <v>0.01</v>
      </c>
      <c r="U45" s="55">
        <f>0.786*O45+1.1*P45+0.2</f>
        <v>35.663660000000007</v>
      </c>
      <c r="V45" s="55">
        <f>SUM(L45:U45)</f>
        <v>100.61366000000001</v>
      </c>
      <c r="W45" s="55">
        <f t="shared" si="11"/>
        <v>95.986547085201792</v>
      </c>
      <c r="X45" s="55">
        <f t="shared" si="12"/>
        <v>2.1920122887864824</v>
      </c>
      <c r="Y45" s="55">
        <f t="shared" si="13"/>
        <v>2.5125899280575537</v>
      </c>
      <c r="Z45" s="55">
        <f t="shared" si="14"/>
        <v>1.574074074074074</v>
      </c>
      <c r="AA45" s="12"/>
      <c r="AB45" s="12"/>
    </row>
    <row r="46" spans="4:28" ht="20.25" customHeight="1" thickBot="1" x14ac:dyDescent="0.45">
      <c r="D46" s="12"/>
      <c r="E46" s="596" t="s">
        <v>127</v>
      </c>
      <c r="F46" s="596"/>
      <c r="G46" s="63">
        <f>H46+I46+J46+K46</f>
        <v>100</v>
      </c>
      <c r="H46" s="52">
        <f>100-I46-J46-K46</f>
        <v>80</v>
      </c>
      <c r="I46" s="53">
        <f>I45+M53-M45</f>
        <v>14.999999999999998</v>
      </c>
      <c r="J46" s="62">
        <f>J45+L53-L45</f>
        <v>3.9999999999999982</v>
      </c>
      <c r="K46" s="54">
        <f>K45+N53-N45</f>
        <v>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4:28" ht="23.25" thickBot="1" x14ac:dyDescent="0.45">
      <c r="D47" s="12"/>
      <c r="E47" s="731" t="s">
        <v>116</v>
      </c>
      <c r="F47" s="731"/>
      <c r="G47" s="731"/>
      <c r="H47" s="56">
        <f t="shared" ref="H47:Z47" si="15">AVERAGE(H42:H45)</f>
        <v>80</v>
      </c>
      <c r="I47" s="56">
        <f t="shared" si="15"/>
        <v>15</v>
      </c>
      <c r="J47" s="56">
        <f t="shared" si="15"/>
        <v>3.9999999999999987</v>
      </c>
      <c r="K47" s="56">
        <f t="shared" si="15"/>
        <v>1</v>
      </c>
      <c r="L47" s="57">
        <f t="shared" si="15"/>
        <v>13.97</v>
      </c>
      <c r="M47" s="57">
        <f t="shared" si="15"/>
        <v>3.4</v>
      </c>
      <c r="N47" s="57">
        <f t="shared" si="15"/>
        <v>2.16</v>
      </c>
      <c r="O47" s="57">
        <f t="shared" si="15"/>
        <v>42.81</v>
      </c>
      <c r="P47" s="57">
        <f t="shared" si="15"/>
        <v>1.65</v>
      </c>
      <c r="Q47" s="57">
        <f t="shared" si="15"/>
        <v>0.26</v>
      </c>
      <c r="R47" s="57">
        <f t="shared" si="15"/>
        <v>0.49</v>
      </c>
      <c r="S47" s="57">
        <f t="shared" si="15"/>
        <v>0.2</v>
      </c>
      <c r="T47" s="57">
        <f t="shared" si="15"/>
        <v>0.01</v>
      </c>
      <c r="U47" s="57">
        <f t="shared" si="15"/>
        <v>35.663660000000007</v>
      </c>
      <c r="V47" s="57">
        <f t="shared" si="15"/>
        <v>100.61366000000001</v>
      </c>
      <c r="W47" s="57">
        <f t="shared" si="15"/>
        <v>95.986547085201792</v>
      </c>
      <c r="X47" s="57">
        <f t="shared" si="15"/>
        <v>2.1920122887864824</v>
      </c>
      <c r="Y47" s="57">
        <f t="shared" si="15"/>
        <v>2.5125899280575537</v>
      </c>
      <c r="Z47" s="57">
        <f t="shared" si="15"/>
        <v>1.574074074074074</v>
      </c>
      <c r="AA47" s="12"/>
      <c r="AB47" s="12"/>
    </row>
    <row r="48" spans="4:28" ht="23.25" thickBot="1" x14ac:dyDescent="0.45">
      <c r="D48" s="12"/>
      <c r="E48" s="731" t="s">
        <v>117</v>
      </c>
      <c r="F48" s="731"/>
      <c r="G48" s="731"/>
      <c r="H48" s="34"/>
      <c r="I48" s="35"/>
      <c r="J48" s="35"/>
      <c r="K48" s="35"/>
      <c r="L48" s="36"/>
      <c r="M48" s="36"/>
      <c r="N48" s="36"/>
      <c r="O48" s="36"/>
      <c r="P48" s="36"/>
      <c r="Q48" s="36"/>
      <c r="R48" s="36"/>
      <c r="S48" s="36"/>
      <c r="T48" s="37"/>
      <c r="U48" s="57">
        <f t="shared" ref="U48" si="16">STDEV(U42:U45)</f>
        <v>0</v>
      </c>
      <c r="V48" s="33"/>
      <c r="W48" s="57">
        <f t="shared" ref="W48:Z48" si="17">STDEV(W42:W45)</f>
        <v>0</v>
      </c>
      <c r="X48" s="57">
        <f t="shared" si="17"/>
        <v>0</v>
      </c>
      <c r="Y48" s="57">
        <f t="shared" si="17"/>
        <v>0</v>
      </c>
      <c r="Z48" s="57">
        <f t="shared" si="17"/>
        <v>0</v>
      </c>
      <c r="AA48" s="12"/>
      <c r="AB48" s="12"/>
    </row>
    <row r="49" spans="4:28" ht="23.25" thickBot="1" x14ac:dyDescent="0.45">
      <c r="D49" s="12"/>
      <c r="E49" s="731" t="s">
        <v>118</v>
      </c>
      <c r="F49" s="731"/>
      <c r="G49" s="731"/>
      <c r="H49" s="56">
        <f t="shared" ref="H49:Z49" si="18">MIN(H42:H45)</f>
        <v>80</v>
      </c>
      <c r="I49" s="56">
        <f t="shared" si="18"/>
        <v>14.999999999999998</v>
      </c>
      <c r="J49" s="56">
        <f t="shared" si="18"/>
        <v>3.9999999999999982</v>
      </c>
      <c r="K49" s="56">
        <f t="shared" si="18"/>
        <v>1</v>
      </c>
      <c r="L49" s="57">
        <f t="shared" si="18"/>
        <v>13.97</v>
      </c>
      <c r="M49" s="57">
        <f t="shared" si="18"/>
        <v>3.4</v>
      </c>
      <c r="N49" s="57">
        <f t="shared" si="18"/>
        <v>2.16</v>
      </c>
      <c r="O49" s="57">
        <f t="shared" si="18"/>
        <v>42.81</v>
      </c>
      <c r="P49" s="57">
        <f t="shared" si="18"/>
        <v>1.65</v>
      </c>
      <c r="Q49" s="57">
        <f t="shared" si="18"/>
        <v>0.26</v>
      </c>
      <c r="R49" s="57">
        <f t="shared" si="18"/>
        <v>0.49</v>
      </c>
      <c r="S49" s="57">
        <f t="shared" si="18"/>
        <v>0.2</v>
      </c>
      <c r="T49" s="57">
        <f t="shared" si="18"/>
        <v>0.01</v>
      </c>
      <c r="U49" s="57">
        <f t="shared" si="18"/>
        <v>35.663660000000007</v>
      </c>
      <c r="V49" s="57">
        <f t="shared" si="18"/>
        <v>100.61366000000001</v>
      </c>
      <c r="W49" s="57">
        <f t="shared" si="18"/>
        <v>95.986547085201792</v>
      </c>
      <c r="X49" s="57">
        <f t="shared" si="18"/>
        <v>2.1920122887864824</v>
      </c>
      <c r="Y49" s="57">
        <f t="shared" si="18"/>
        <v>2.5125899280575537</v>
      </c>
      <c r="Z49" s="57">
        <f t="shared" si="18"/>
        <v>1.574074074074074</v>
      </c>
      <c r="AA49" s="12"/>
      <c r="AB49" s="12"/>
    </row>
    <row r="50" spans="4:28" ht="23.25" thickBot="1" x14ac:dyDescent="0.45">
      <c r="D50" s="12"/>
      <c r="E50" s="731" t="s">
        <v>119</v>
      </c>
      <c r="F50" s="731"/>
      <c r="G50" s="731"/>
      <c r="H50" s="56">
        <f t="shared" ref="H50:Z50" si="19">MAX(H42:H45)</f>
        <v>80</v>
      </c>
      <c r="I50" s="56">
        <f t="shared" si="19"/>
        <v>15</v>
      </c>
      <c r="J50" s="56">
        <f t="shared" si="19"/>
        <v>4</v>
      </c>
      <c r="K50" s="56">
        <f t="shared" si="19"/>
        <v>1</v>
      </c>
      <c r="L50" s="58">
        <f t="shared" si="19"/>
        <v>13.97</v>
      </c>
      <c r="M50" s="58">
        <f t="shared" si="19"/>
        <v>3.4</v>
      </c>
      <c r="N50" s="58">
        <f t="shared" si="19"/>
        <v>2.16</v>
      </c>
      <c r="O50" s="58">
        <f t="shared" si="19"/>
        <v>42.81</v>
      </c>
      <c r="P50" s="58">
        <f t="shared" si="19"/>
        <v>1.65</v>
      </c>
      <c r="Q50" s="58">
        <f t="shared" si="19"/>
        <v>0.26</v>
      </c>
      <c r="R50" s="58">
        <f t="shared" si="19"/>
        <v>0.49</v>
      </c>
      <c r="S50" s="58">
        <f t="shared" si="19"/>
        <v>0.2</v>
      </c>
      <c r="T50" s="58">
        <f t="shared" si="19"/>
        <v>0.01</v>
      </c>
      <c r="U50" s="58">
        <f t="shared" si="19"/>
        <v>35.663660000000007</v>
      </c>
      <c r="V50" s="58">
        <f t="shared" si="19"/>
        <v>100.61366000000001</v>
      </c>
      <c r="W50" s="58">
        <f t="shared" si="19"/>
        <v>95.986547085201792</v>
      </c>
      <c r="X50" s="58">
        <f t="shared" si="19"/>
        <v>2.1920122887864824</v>
      </c>
      <c r="Y50" s="58">
        <f t="shared" si="19"/>
        <v>2.5125899280575537</v>
      </c>
      <c r="Z50" s="58">
        <f t="shared" si="19"/>
        <v>1.574074074074074</v>
      </c>
      <c r="AA50" s="12"/>
      <c r="AB50" s="12"/>
    </row>
    <row r="51" spans="4:28" ht="24" thickTop="1" thickBot="1" x14ac:dyDescent="0.5">
      <c r="D51" s="12"/>
      <c r="E51" s="12"/>
      <c r="F51" s="12"/>
      <c r="G51" s="12"/>
      <c r="H51" s="12"/>
      <c r="I51" s="12"/>
      <c r="J51" s="12"/>
      <c r="K51" s="12"/>
      <c r="L51" s="732" t="s">
        <v>120</v>
      </c>
      <c r="M51" s="732"/>
      <c r="N51" s="732"/>
      <c r="O51" s="732"/>
      <c r="P51" s="732"/>
      <c r="Q51" s="732"/>
      <c r="R51" s="732"/>
      <c r="S51" s="732"/>
      <c r="T51" s="732"/>
      <c r="U51" s="732"/>
      <c r="V51" s="732"/>
      <c r="W51" s="732"/>
      <c r="X51" s="732"/>
      <c r="Y51" s="732"/>
      <c r="Z51" s="732"/>
      <c r="AA51" s="12"/>
      <c r="AB51" s="12"/>
    </row>
    <row r="52" spans="4:28" ht="24" thickTop="1" thickBot="1" x14ac:dyDescent="0.45">
      <c r="D52" s="12"/>
      <c r="E52" s="12"/>
      <c r="F52" s="12"/>
      <c r="G52" s="914" t="s">
        <v>121</v>
      </c>
      <c r="H52" s="914"/>
      <c r="I52" s="914"/>
      <c r="J52" s="914"/>
      <c r="K52" s="12"/>
      <c r="L52" s="64" t="s">
        <v>1</v>
      </c>
      <c r="M52" s="64" t="s">
        <v>3</v>
      </c>
      <c r="N52" s="64" t="s">
        <v>4</v>
      </c>
      <c r="O52" s="64" t="s">
        <v>5</v>
      </c>
      <c r="P52" s="64" t="s">
        <v>6</v>
      </c>
      <c r="Q52" s="64" t="s">
        <v>8</v>
      </c>
      <c r="R52" s="64" t="s">
        <v>7</v>
      </c>
      <c r="S52" s="64" t="s">
        <v>9</v>
      </c>
      <c r="T52" s="64" t="s">
        <v>41</v>
      </c>
      <c r="U52" s="65" t="s">
        <v>40</v>
      </c>
      <c r="V52" s="65" t="s">
        <v>10</v>
      </c>
      <c r="W52" s="65" t="s">
        <v>39</v>
      </c>
      <c r="X52" s="65" t="s">
        <v>53</v>
      </c>
      <c r="Y52" s="65" t="s">
        <v>37</v>
      </c>
      <c r="Z52" s="65" t="s">
        <v>38</v>
      </c>
      <c r="AA52" s="12"/>
      <c r="AB52" s="12"/>
    </row>
    <row r="53" spans="4:28" ht="21" thickTop="1" thickBot="1" x14ac:dyDescent="0.45">
      <c r="D53" s="12"/>
      <c r="E53" s="12"/>
      <c r="F53" s="12"/>
      <c r="G53" s="911" t="s">
        <v>39</v>
      </c>
      <c r="H53" s="911"/>
      <c r="I53" s="912">
        <f>W53</f>
        <v>95.986547085201792</v>
      </c>
      <c r="J53" s="913"/>
      <c r="K53" s="12"/>
      <c r="L53" s="28">
        <v>13.97</v>
      </c>
      <c r="M53" s="28">
        <v>3.4</v>
      </c>
      <c r="N53" s="28">
        <v>2.16</v>
      </c>
      <c r="O53" s="28">
        <v>42.81</v>
      </c>
      <c r="P53" s="28">
        <v>1.65</v>
      </c>
      <c r="Q53" s="28">
        <v>0.26</v>
      </c>
      <c r="R53" s="28">
        <v>0.49</v>
      </c>
      <c r="S53" s="28">
        <v>0.2</v>
      </c>
      <c r="T53" s="28">
        <v>0.01</v>
      </c>
      <c r="U53" s="59">
        <f>0.786*O53+1.1*P53+0.2</f>
        <v>35.663660000000007</v>
      </c>
      <c r="V53" s="59">
        <f>SUM(L53:U53)</f>
        <v>100.61366000000001</v>
      </c>
      <c r="W53" s="60">
        <f>O53*100/(2.8*L53+1.2*M53+0.65*N53)</f>
        <v>95.986547085201792</v>
      </c>
      <c r="X53" s="59">
        <f>O53/(L53+M53+N53)</f>
        <v>2.1920122887864824</v>
      </c>
      <c r="Y53" s="60">
        <f>L53/(M53+N53)</f>
        <v>2.5125899280575537</v>
      </c>
      <c r="Z53" s="60">
        <f>M53/N53</f>
        <v>1.574074074074074</v>
      </c>
      <c r="AA53" s="12"/>
      <c r="AB53" s="12"/>
    </row>
    <row r="54" spans="4:28" ht="24" thickTop="1" thickBot="1" x14ac:dyDescent="0.45">
      <c r="D54" s="12"/>
      <c r="E54" s="12"/>
      <c r="F54" s="12"/>
      <c r="G54" s="911" t="s">
        <v>37</v>
      </c>
      <c r="H54" s="911"/>
      <c r="I54" s="912">
        <f>Y53</f>
        <v>2.5125899280575537</v>
      </c>
      <c r="J54" s="913"/>
      <c r="K54" s="12"/>
      <c r="L54" s="615" t="s">
        <v>124</v>
      </c>
      <c r="M54" s="615"/>
      <c r="N54" s="615"/>
      <c r="O54" s="615"/>
      <c r="P54" s="615"/>
      <c r="Q54" s="615"/>
      <c r="R54" s="615"/>
      <c r="S54" s="615"/>
      <c r="T54" s="615"/>
      <c r="U54" s="615"/>
      <c r="V54" s="615"/>
      <c r="W54" s="615"/>
      <c r="X54" s="615"/>
      <c r="Y54" s="615"/>
      <c r="Z54" s="615"/>
      <c r="AA54" s="12"/>
      <c r="AB54" s="12"/>
    </row>
    <row r="55" spans="4:28" ht="21" thickTop="1" thickBot="1" x14ac:dyDescent="0.45">
      <c r="D55" s="12"/>
      <c r="E55" s="12"/>
      <c r="F55" s="12"/>
      <c r="G55" s="911" t="s">
        <v>38</v>
      </c>
      <c r="H55" s="911"/>
      <c r="I55" s="912">
        <f>Z53</f>
        <v>1.574074074074074</v>
      </c>
      <c r="J55" s="913"/>
      <c r="K55" s="12"/>
      <c r="L55" s="29">
        <v>51.910012874140349</v>
      </c>
      <c r="M55" s="29">
        <v>24.189980517995103</v>
      </c>
      <c r="N55" s="29">
        <v>6.7227097100043149</v>
      </c>
      <c r="O55" s="29">
        <v>8.1274517505998443</v>
      </c>
      <c r="P55" s="29">
        <v>1.1075203400231253</v>
      </c>
      <c r="Q55" s="29">
        <v>0.2</v>
      </c>
      <c r="R55" s="29">
        <v>0.9</v>
      </c>
      <c r="S55" s="29">
        <v>4.2</v>
      </c>
      <c r="T55" s="29">
        <v>0.01</v>
      </c>
      <c r="U55" s="29">
        <v>1.5</v>
      </c>
      <c r="V55" s="61">
        <f>SUM(L55:U55)</f>
        <v>98.867675192762746</v>
      </c>
      <c r="W55" s="61">
        <f t="shared" ref="W55" si="20">O55*100/(2.8*L55+1.2*M55+0.65*N55)</f>
        <v>4.5469336530875761</v>
      </c>
      <c r="X55" s="61">
        <f t="shared" ref="X55" si="21">O55/(L55+M55+N55)</f>
        <v>9.8130723173533663E-2</v>
      </c>
      <c r="Y55" s="61">
        <f t="shared" ref="Y55" si="22">L55/(M55+N55)</f>
        <v>1.6792460472146948</v>
      </c>
      <c r="Z55" s="61">
        <f t="shared" ref="Z55" si="23">M55/N55</f>
        <v>3.5982485577202734</v>
      </c>
      <c r="AA55" s="12"/>
      <c r="AB55" s="12"/>
    </row>
    <row r="56" spans="4:28" ht="24" thickTop="1" thickBot="1" x14ac:dyDescent="0.45">
      <c r="D56" s="12"/>
      <c r="E56" s="12"/>
      <c r="F56" s="12"/>
      <c r="G56" s="918" t="s">
        <v>47</v>
      </c>
      <c r="H56" s="919"/>
      <c r="I56" s="920">
        <v>2.1000000000000001E-2</v>
      </c>
      <c r="J56" s="921"/>
      <c r="K56" s="12"/>
      <c r="L56" s="613" t="s">
        <v>123</v>
      </c>
      <c r="M56" s="613"/>
      <c r="N56" s="613"/>
      <c r="O56" s="613"/>
      <c r="P56" s="613"/>
      <c r="Q56" s="613"/>
      <c r="R56" s="613"/>
      <c r="S56" s="613"/>
      <c r="T56" s="613"/>
      <c r="U56" s="613"/>
      <c r="V56" s="613"/>
      <c r="W56" s="613"/>
      <c r="X56" s="613"/>
      <c r="Y56" s="613"/>
      <c r="Z56" s="613"/>
      <c r="AA56" s="70"/>
      <c r="AB56" s="12"/>
    </row>
    <row r="57" spans="4:28" ht="24" thickTop="1" thickBot="1" x14ac:dyDescent="0.45">
      <c r="D57" s="12"/>
      <c r="E57" s="12"/>
      <c r="F57" s="12"/>
      <c r="G57" s="915" t="s">
        <v>122</v>
      </c>
      <c r="H57" s="915"/>
      <c r="I57" s="916" t="s">
        <v>132</v>
      </c>
      <c r="J57" s="917"/>
      <c r="K57" s="12"/>
      <c r="L57" s="64" t="s">
        <v>1</v>
      </c>
      <c r="M57" s="64" t="s">
        <v>3</v>
      </c>
      <c r="N57" s="64" t="s">
        <v>4</v>
      </c>
      <c r="O57" s="64" t="s">
        <v>5</v>
      </c>
      <c r="P57" s="64" t="s">
        <v>6</v>
      </c>
      <c r="Q57" s="64" t="s">
        <v>8</v>
      </c>
      <c r="R57" s="64" t="s">
        <v>7</v>
      </c>
      <c r="S57" s="64" t="s">
        <v>9</v>
      </c>
      <c r="T57" s="64" t="s">
        <v>41</v>
      </c>
      <c r="U57" s="606" t="s">
        <v>10</v>
      </c>
      <c r="V57" s="606"/>
      <c r="W57" s="65" t="s">
        <v>39</v>
      </c>
      <c r="X57" s="65" t="s">
        <v>53</v>
      </c>
      <c r="Y57" s="65" t="s">
        <v>37</v>
      </c>
      <c r="Z57" s="65" t="s">
        <v>38</v>
      </c>
      <c r="AA57" s="12"/>
      <c r="AB57" s="12"/>
    </row>
    <row r="58" spans="4:28" ht="21" thickTop="1" thickBot="1" x14ac:dyDescent="0.45">
      <c r="D58" s="12"/>
      <c r="E58" s="12"/>
      <c r="F58" s="12"/>
      <c r="G58" s="12"/>
      <c r="H58" s="12"/>
      <c r="I58" s="12"/>
      <c r="J58" s="12"/>
      <c r="K58" s="12"/>
      <c r="L58" s="59">
        <f>(1/(1-U53/100))*L53*(1-I56)+L55*I56</f>
        <v>22.348127123662564</v>
      </c>
      <c r="M58" s="59">
        <f>(1/(1-U53/100))*M53*(1-I56)+M55*I56</f>
        <v>5.6817374291913598</v>
      </c>
      <c r="N58" s="59">
        <f>(1/(1-U53/100))*N53*(1-I56)+N55*I56</f>
        <v>3.4280284717798204</v>
      </c>
      <c r="O58" s="59">
        <f>(1/(1-U53/100))*O53*(1-I56)+O55*I56</f>
        <v>65.314248533291831</v>
      </c>
      <c r="P58" s="59">
        <f>(1/(1-U53/100))*P53*(1-I56)+P55*I56</f>
        <v>2.534047319263196</v>
      </c>
      <c r="Q58" s="59">
        <f>(1/(1-U53/100))*Q53*(1-I56)+Q55*I56</f>
        <v>0.3998395405769119</v>
      </c>
      <c r="R58" s="59">
        <f t="shared" ref="R58" si="24">(1/(1-AA53/100))*R53*(1-O60)+R55*O60</f>
        <v>0.49</v>
      </c>
      <c r="S58" s="59">
        <f>(1/(1-U53/100))*S53*(1-I56)+S55*I56</f>
        <v>0.39253810813608614</v>
      </c>
      <c r="T58" s="59">
        <f>(1/(1-U53/100))*T53*(1-I56)+T55*I56</f>
        <v>1.5426905406804305E-2</v>
      </c>
      <c r="U58" s="607">
        <f>SUM(L58:T58)</f>
        <v>100.60399343130855</v>
      </c>
      <c r="V58" s="607"/>
      <c r="W58" s="60">
        <f>O58*100/(2.8*L58+1.2*M58+0.65*N58)</f>
        <v>91.194194989144691</v>
      </c>
      <c r="X58" s="59">
        <f>O58/(L58+M58+N58)</f>
        <v>2.0762435831969475</v>
      </c>
      <c r="Y58" s="60">
        <f>L58/(M58+N58)</f>
        <v>2.4532054244423627</v>
      </c>
      <c r="Z58" s="60">
        <f>M58/N58</f>
        <v>1.657435892369185</v>
      </c>
      <c r="AA58" s="12"/>
      <c r="AB58" s="12"/>
    </row>
    <row r="59" spans="4:28" ht="21" customHeight="1" thickTop="1" thickBot="1" x14ac:dyDescent="0.5">
      <c r="D59" s="12"/>
      <c r="E59" s="12"/>
      <c r="F59" s="12"/>
      <c r="G59" s="12"/>
      <c r="H59" s="12"/>
      <c r="I59" s="12"/>
      <c r="J59" s="12"/>
      <c r="K59" s="12"/>
      <c r="L59" s="610" t="s">
        <v>125</v>
      </c>
      <c r="M59" s="610" t="s">
        <v>54</v>
      </c>
      <c r="N59" s="610" t="s">
        <v>55</v>
      </c>
      <c r="O59" s="610" t="s">
        <v>56</v>
      </c>
      <c r="P59" s="610" t="s">
        <v>57</v>
      </c>
      <c r="Q59" s="611" t="s">
        <v>58</v>
      </c>
      <c r="R59" s="611"/>
      <c r="S59" s="611"/>
      <c r="T59" s="611"/>
      <c r="U59" s="612" t="s">
        <v>134</v>
      </c>
      <c r="V59" s="612" t="s">
        <v>59</v>
      </c>
      <c r="W59" s="612" t="s">
        <v>128</v>
      </c>
      <c r="X59" s="612" t="s">
        <v>60</v>
      </c>
      <c r="Y59" s="611" t="s">
        <v>61</v>
      </c>
      <c r="Z59" s="611"/>
      <c r="AA59" s="12"/>
      <c r="AB59" s="12"/>
    </row>
    <row r="60" spans="4:28" ht="24" thickTop="1" thickBot="1" x14ac:dyDescent="0.45">
      <c r="D60" s="12"/>
      <c r="E60" s="12"/>
      <c r="F60" s="12"/>
      <c r="G60" s="12"/>
      <c r="H60" s="12"/>
      <c r="I60" s="12"/>
      <c r="J60" s="12"/>
      <c r="K60" s="12"/>
      <c r="L60" s="610"/>
      <c r="M60" s="610"/>
      <c r="N60" s="610"/>
      <c r="O60" s="610"/>
      <c r="P60" s="610"/>
      <c r="Q60" s="66" t="s">
        <v>62</v>
      </c>
      <c r="R60" s="66" t="s">
        <v>63</v>
      </c>
      <c r="S60" s="66" t="s">
        <v>64</v>
      </c>
      <c r="T60" s="66" t="s">
        <v>65</v>
      </c>
      <c r="U60" s="612"/>
      <c r="V60" s="612"/>
      <c r="W60" s="612"/>
      <c r="X60" s="612"/>
      <c r="Y60" s="66" t="s">
        <v>66</v>
      </c>
      <c r="Z60" s="66" t="s">
        <v>40</v>
      </c>
      <c r="AA60" s="12"/>
      <c r="AB60" s="12"/>
    </row>
    <row r="61" spans="4:28" ht="21" thickTop="1" thickBot="1" x14ac:dyDescent="0.45">
      <c r="D61" s="12"/>
      <c r="E61" s="12"/>
      <c r="F61" s="12"/>
      <c r="G61" s="12"/>
      <c r="H61" s="12"/>
      <c r="I61" s="12"/>
      <c r="J61" s="12"/>
      <c r="K61" s="12"/>
      <c r="L61" s="31">
        <v>1.25</v>
      </c>
      <c r="M61" s="31">
        <v>1.8</v>
      </c>
      <c r="N61" s="32" t="s">
        <v>130</v>
      </c>
      <c r="O61" s="59">
        <f>((P61/100)-(Z61/100))/((P61/100)-(P61/100)*(Z61/100))*100</f>
        <v>96.166062000057735</v>
      </c>
      <c r="P61" s="31">
        <v>34.39</v>
      </c>
      <c r="Q61" s="60">
        <f>4.071*(O58-M61)-7.6024*L58-6.718*M58-1.4297*N58</f>
        <v>45.596139778687601</v>
      </c>
      <c r="R61" s="60">
        <f>8.6024*L58+5.0683*M58+1.0785*N58-3.071*(O58-M61)</f>
        <v>29.689150042040694</v>
      </c>
      <c r="S61" s="60">
        <f>2.65*M58-1.692*N58</f>
        <v>9.2563800131056464</v>
      </c>
      <c r="T61" s="60">
        <f>3.0432*N58</f>
        <v>10.432176245320349</v>
      </c>
      <c r="U61" s="59">
        <f>S58/(R58+0.5*Q58)</f>
        <v>0.56896196491363871</v>
      </c>
      <c r="V61" s="59">
        <f>Q58+(0.658*R58)</f>
        <v>0.72225954057691188</v>
      </c>
      <c r="W61" s="59">
        <f>3*M58+2.25*N58+P58+Q58+R58+S58</f>
        <v>28.57470131705487</v>
      </c>
      <c r="X61" s="59">
        <f>S61+T61+(R61*0.2)+(2*N58)</f>
        <v>32.482443210393775</v>
      </c>
      <c r="Y61" s="31">
        <v>1</v>
      </c>
      <c r="Z61" s="30">
        <v>1.97</v>
      </c>
      <c r="AA61" s="12"/>
      <c r="AB61" s="12"/>
    </row>
    <row r="62" spans="4:28" ht="20.25" thickTop="1" x14ac:dyDescent="0.4">
      <c r="D62" s="12"/>
      <c r="E62" s="12"/>
      <c r="F62" s="12"/>
      <c r="G62" s="12"/>
      <c r="H62" s="70"/>
      <c r="I62" s="70"/>
      <c r="J62" s="70"/>
      <c r="K62" s="70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4:28" x14ac:dyDescent="0.4">
      <c r="D63" s="12"/>
      <c r="E63" s="12"/>
      <c r="F63" s="12"/>
      <c r="G63" s="12"/>
      <c r="H63" s="70"/>
      <c r="I63" s="70"/>
      <c r="J63" s="70"/>
      <c r="K63" s="7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4:28" x14ac:dyDescent="0.4">
      <c r="D64" s="12"/>
      <c r="E64" s="12"/>
      <c r="F64" s="12"/>
      <c r="G64" s="12"/>
      <c r="H64" s="70"/>
      <c r="I64" s="70"/>
      <c r="J64" s="70"/>
      <c r="K64" s="70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4:28" x14ac:dyDescent="0.4">
      <c r="D65" s="12"/>
      <c r="E65" s="12"/>
      <c r="F65" s="12"/>
      <c r="G65" s="12"/>
      <c r="H65" s="70"/>
      <c r="I65" s="70"/>
      <c r="J65" s="70"/>
      <c r="K65" s="70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</sheetData>
  <mergeCells count="122">
    <mergeCell ref="K34:K35"/>
    <mergeCell ref="N34:N35"/>
    <mergeCell ref="W59:W60"/>
    <mergeCell ref="X59:X60"/>
    <mergeCell ref="Y59:Z59"/>
    <mergeCell ref="E34:E35"/>
    <mergeCell ref="F34:G35"/>
    <mergeCell ref="G57:H57"/>
    <mergeCell ref="I57:J57"/>
    <mergeCell ref="U57:V57"/>
    <mergeCell ref="U58:V58"/>
    <mergeCell ref="L59:L60"/>
    <mergeCell ref="M59:M60"/>
    <mergeCell ref="N59:N60"/>
    <mergeCell ref="O59:O60"/>
    <mergeCell ref="P59:P60"/>
    <mergeCell ref="Q59:T59"/>
    <mergeCell ref="U59:U60"/>
    <mergeCell ref="V59:V60"/>
    <mergeCell ref="G55:H55"/>
    <mergeCell ref="I55:J55"/>
    <mergeCell ref="G56:H56"/>
    <mergeCell ref="I56:J56"/>
    <mergeCell ref="L56:Z56"/>
    <mergeCell ref="G53:H53"/>
    <mergeCell ref="I53:J53"/>
    <mergeCell ref="E42:F42"/>
    <mergeCell ref="T39:T41"/>
    <mergeCell ref="W39:W41"/>
    <mergeCell ref="X39:X41"/>
    <mergeCell ref="Y39:Y41"/>
    <mergeCell ref="G54:H54"/>
    <mergeCell ref="I54:J54"/>
    <mergeCell ref="L54:Z54"/>
    <mergeCell ref="E48:G48"/>
    <mergeCell ref="E49:G49"/>
    <mergeCell ref="E50:G50"/>
    <mergeCell ref="L51:Z51"/>
    <mergeCell ref="G52:J52"/>
    <mergeCell ref="E43:F43"/>
    <mergeCell ref="E44:F44"/>
    <mergeCell ref="E45:F45"/>
    <mergeCell ref="E46:F46"/>
    <mergeCell ref="E47:G47"/>
    <mergeCell ref="Z39:Z41"/>
    <mergeCell ref="E37:Z37"/>
    <mergeCell ref="E38:F41"/>
    <mergeCell ref="G38:G41"/>
    <mergeCell ref="H38:K39"/>
    <mergeCell ref="L38:T38"/>
    <mergeCell ref="U38:U41"/>
    <mergeCell ref="V38:V41"/>
    <mergeCell ref="W38:Z38"/>
    <mergeCell ref="L39:L41"/>
    <mergeCell ref="M39:M41"/>
    <mergeCell ref="N39:N41"/>
    <mergeCell ref="O39:O41"/>
    <mergeCell ref="P39:P41"/>
    <mergeCell ref="Q39:Q41"/>
    <mergeCell ref="R39:R41"/>
    <mergeCell ref="S39:S41"/>
    <mergeCell ref="H40:H41"/>
    <mergeCell ref="I40:I41"/>
    <mergeCell ref="J40:J41"/>
    <mergeCell ref="K40:K41"/>
    <mergeCell ref="I20:J20"/>
    <mergeCell ref="I21:J21"/>
    <mergeCell ref="G20:H20"/>
    <mergeCell ref="G19:H19"/>
    <mergeCell ref="I17:J17"/>
    <mergeCell ref="I18:J18"/>
    <mergeCell ref="I19:J19"/>
    <mergeCell ref="G21:H21"/>
    <mergeCell ref="G18:H18"/>
    <mergeCell ref="W23:W24"/>
    <mergeCell ref="X23:X24"/>
    <mergeCell ref="Y23:Z23"/>
    <mergeCell ref="L20:Z20"/>
    <mergeCell ref="U22:V22"/>
    <mergeCell ref="L23:L24"/>
    <mergeCell ref="M23:M24"/>
    <mergeCell ref="N23:N24"/>
    <mergeCell ref="O23:O24"/>
    <mergeCell ref="P23:P24"/>
    <mergeCell ref="Q23:T23"/>
    <mergeCell ref="U23:U24"/>
    <mergeCell ref="V23:V24"/>
    <mergeCell ref="U21:V21"/>
    <mergeCell ref="K8:K9"/>
    <mergeCell ref="L18:Z18"/>
    <mergeCell ref="E10:F10"/>
    <mergeCell ref="E11:F11"/>
    <mergeCell ref="E12:F12"/>
    <mergeCell ref="E13:F13"/>
    <mergeCell ref="L15:Z15"/>
    <mergeCell ref="E14:F14"/>
    <mergeCell ref="G16:J16"/>
    <mergeCell ref="G17:H17"/>
    <mergeCell ref="E4:Z5"/>
    <mergeCell ref="L6:T7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W6:Z7"/>
    <mergeCell ref="W8:W9"/>
    <mergeCell ref="X8:X9"/>
    <mergeCell ref="Y8:Y9"/>
    <mergeCell ref="Z8:Z9"/>
    <mergeCell ref="G6:G9"/>
    <mergeCell ref="H6:K7"/>
    <mergeCell ref="U6:U9"/>
    <mergeCell ref="V6:V9"/>
    <mergeCell ref="E6:F9"/>
    <mergeCell ref="H8:H9"/>
    <mergeCell ref="I8:I9"/>
    <mergeCell ref="J8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B2:Z89"/>
  <sheetViews>
    <sheetView topLeftCell="A22" zoomScale="70" zoomScaleNormal="70" workbookViewId="0">
      <selection activeCell="L40" sqref="L40"/>
    </sheetView>
  </sheetViews>
  <sheetFormatPr defaultRowHeight="12.75" x14ac:dyDescent="0.2"/>
  <cols>
    <col min="3" max="3" width="9.7109375" bestFit="1" customWidth="1"/>
    <col min="4" max="4" width="22" customWidth="1"/>
    <col min="5" max="5" width="21" customWidth="1"/>
    <col min="6" max="6" width="16.5703125" customWidth="1"/>
    <col min="7" max="7" width="15.42578125" customWidth="1"/>
    <col min="8" max="8" width="18" customWidth="1"/>
    <col min="9" max="9" width="19.7109375" bestFit="1" customWidth="1"/>
    <col min="10" max="10" width="19.7109375" customWidth="1"/>
    <col min="13" max="13" width="20.28515625" bestFit="1" customWidth="1"/>
    <col min="14" max="14" width="11.140625" bestFit="1" customWidth="1"/>
    <col min="15" max="15" width="4.7109375" customWidth="1"/>
    <col min="16" max="16" width="9.7109375" customWidth="1"/>
    <col min="17" max="17" width="22.140625" customWidth="1"/>
  </cols>
  <sheetData>
    <row r="2" spans="2:19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9" ht="30.75" x14ac:dyDescent="0.25">
      <c r="C3" s="441"/>
      <c r="D3" s="441"/>
      <c r="E3" s="441"/>
      <c r="F3" s="441"/>
      <c r="G3" s="441"/>
      <c r="H3" s="441"/>
      <c r="I3" s="441"/>
      <c r="J3" s="441"/>
      <c r="K3" s="441"/>
      <c r="L3" s="442"/>
      <c r="M3" s="442"/>
      <c r="N3" s="441"/>
      <c r="O3" s="441"/>
      <c r="P3" s="441"/>
      <c r="Q3" s="441"/>
    </row>
    <row r="4" spans="2:19" ht="30.75" x14ac:dyDescent="0.25">
      <c r="C4" s="441"/>
      <c r="D4" s="927" t="s">
        <v>108</v>
      </c>
      <c r="E4" s="928"/>
      <c r="F4" s="928"/>
      <c r="G4" s="928"/>
      <c r="H4" s="928"/>
      <c r="I4" s="928"/>
      <c r="J4" s="929"/>
      <c r="K4" s="442"/>
      <c r="L4" s="442"/>
      <c r="M4" s="442"/>
      <c r="N4" s="441"/>
      <c r="O4" s="441"/>
      <c r="P4" s="441"/>
      <c r="Q4" s="441"/>
    </row>
    <row r="5" spans="2:19" ht="30.75" x14ac:dyDescent="0.25">
      <c r="C5" s="441"/>
      <c r="D5" s="927"/>
      <c r="E5" s="928"/>
      <c r="F5" s="928"/>
      <c r="G5" s="928"/>
      <c r="H5" s="928"/>
      <c r="I5" s="928"/>
      <c r="J5" s="929"/>
      <c r="K5" s="442"/>
      <c r="L5" s="442"/>
      <c r="M5" s="442"/>
      <c r="N5" s="441"/>
      <c r="O5" s="441"/>
      <c r="P5" s="441"/>
      <c r="Q5" s="441"/>
    </row>
    <row r="6" spans="2:19" ht="31.5" customHeight="1" x14ac:dyDescent="0.25">
      <c r="C6" s="441"/>
      <c r="D6" s="927"/>
      <c r="E6" s="928"/>
      <c r="F6" s="928"/>
      <c r="G6" s="928"/>
      <c r="H6" s="928"/>
      <c r="I6" s="928"/>
      <c r="J6" s="929"/>
      <c r="K6" s="441"/>
      <c r="L6" s="441"/>
      <c r="M6" s="441"/>
      <c r="N6" s="441"/>
      <c r="O6" s="441"/>
      <c r="P6" s="441"/>
      <c r="Q6" s="441"/>
    </row>
    <row r="7" spans="2:19" ht="12.75" customHeight="1" thickBot="1" x14ac:dyDescent="0.3">
      <c r="C7" s="441"/>
      <c r="D7" s="930"/>
      <c r="E7" s="931"/>
      <c r="F7" s="931"/>
      <c r="G7" s="931"/>
      <c r="H7" s="931"/>
      <c r="I7" s="931"/>
      <c r="J7" s="932"/>
      <c r="K7" s="441"/>
      <c r="L7" s="441"/>
      <c r="M7" s="441"/>
      <c r="N7" s="441"/>
      <c r="O7" s="441"/>
      <c r="P7" s="441"/>
      <c r="Q7" s="441"/>
    </row>
    <row r="8" spans="2:19" ht="21.75" thickTop="1" thickBot="1" x14ac:dyDescent="0.3">
      <c r="C8" s="441"/>
      <c r="D8" s="1017" t="s">
        <v>44</v>
      </c>
      <c r="E8" s="1018"/>
      <c r="F8" s="1018"/>
      <c r="G8" s="1018"/>
      <c r="H8" s="1018"/>
      <c r="I8" s="1018"/>
      <c r="J8" s="1019"/>
      <c r="K8" s="441"/>
      <c r="L8" s="441"/>
      <c r="M8" s="441"/>
      <c r="N8" s="441"/>
      <c r="O8" s="441"/>
      <c r="P8" s="441"/>
      <c r="Q8" s="441"/>
    </row>
    <row r="9" spans="2:19" ht="20.25" thickTop="1" thickBot="1" x14ac:dyDescent="0.35">
      <c r="C9" s="441"/>
      <c r="D9" s="1009" t="s">
        <v>42</v>
      </c>
      <c r="E9" s="1010"/>
      <c r="F9" s="1010"/>
      <c r="G9" s="1011"/>
      <c r="H9" s="1014">
        <v>100</v>
      </c>
      <c r="I9" s="1015"/>
      <c r="J9" s="1016"/>
      <c r="K9" s="441"/>
      <c r="L9" s="441"/>
      <c r="M9" s="441"/>
      <c r="N9" s="441"/>
      <c r="O9" s="441"/>
      <c r="P9" s="441"/>
      <c r="Q9" s="441"/>
    </row>
    <row r="10" spans="2:19" ht="20.25" thickTop="1" thickBot="1" x14ac:dyDescent="0.35">
      <c r="C10" s="441"/>
      <c r="D10" s="1009" t="s">
        <v>45</v>
      </c>
      <c r="E10" s="1010"/>
      <c r="F10" s="1010"/>
      <c r="G10" s="1011"/>
      <c r="H10" s="967">
        <v>2.5</v>
      </c>
      <c r="I10" s="968"/>
      <c r="J10" s="969"/>
      <c r="K10" s="441"/>
      <c r="L10" s="441"/>
      <c r="M10" s="441"/>
      <c r="N10" s="441"/>
      <c r="O10" s="441"/>
      <c r="P10" s="441"/>
      <c r="Q10" s="441"/>
    </row>
    <row r="11" spans="2:19" ht="20.25" thickTop="1" thickBot="1" x14ac:dyDescent="0.35">
      <c r="C11" s="441"/>
      <c r="D11" s="1009" t="s">
        <v>43</v>
      </c>
      <c r="E11" s="1010"/>
      <c r="F11" s="1010"/>
      <c r="G11" s="1011"/>
      <c r="H11" s="967">
        <v>1.5</v>
      </c>
      <c r="I11" s="968"/>
      <c r="J11" s="969"/>
      <c r="K11" s="441"/>
      <c r="L11" s="441"/>
      <c r="M11" s="441"/>
      <c r="N11" s="441"/>
      <c r="O11" s="441"/>
      <c r="P11" s="441"/>
      <c r="Q11" s="441"/>
    </row>
    <row r="12" spans="2:19" ht="21.75" thickTop="1" thickBot="1" x14ac:dyDescent="0.3">
      <c r="C12" s="441"/>
      <c r="D12" s="1012" t="s">
        <v>2</v>
      </c>
      <c r="E12" s="450" t="s">
        <v>11</v>
      </c>
      <c r="F12" s="452" t="s">
        <v>26</v>
      </c>
      <c r="G12" s="454" t="s">
        <v>82</v>
      </c>
      <c r="H12" s="456" t="s">
        <v>27</v>
      </c>
      <c r="I12" s="965" t="s">
        <v>0</v>
      </c>
      <c r="J12" s="966"/>
      <c r="K12" s="441"/>
      <c r="L12" s="441"/>
      <c r="M12" s="1008" t="s">
        <v>84</v>
      </c>
      <c r="N12" s="1008"/>
      <c r="O12" s="441"/>
      <c r="P12" s="1008" t="s">
        <v>85</v>
      </c>
      <c r="Q12" s="1008"/>
    </row>
    <row r="13" spans="2:19" ht="21.75" thickTop="1" thickBot="1" x14ac:dyDescent="0.35">
      <c r="C13" s="441"/>
      <c r="D13" s="1013"/>
      <c r="E13" s="451">
        <f>H29</f>
        <v>82.835507884845413</v>
      </c>
      <c r="F13" s="453">
        <f>H30</f>
        <v>2.636281158730621</v>
      </c>
      <c r="G13" s="455">
        <f>H31</f>
        <v>13.8120725010771</v>
      </c>
      <c r="H13" s="457">
        <f>H32</f>
        <v>0.71613845534689502</v>
      </c>
      <c r="I13" s="963">
        <f>SUM(E13:H13)</f>
        <v>100.00000000000003</v>
      </c>
      <c r="J13" s="964"/>
      <c r="K13" s="441"/>
      <c r="L13" s="441"/>
      <c r="M13" s="443" t="s">
        <v>86</v>
      </c>
      <c r="N13" s="443">
        <v>1</v>
      </c>
      <c r="O13" s="441"/>
      <c r="P13" s="444" t="s">
        <v>87</v>
      </c>
      <c r="Q13" s="445">
        <f>(N17*N19*N24*N29)+(N17*N20*N25*N27)+(N17*N21*N23*N28)-(N17*N21*N24*N27)-(N17*N19*N25*N28)-(N17*N20*N23*N29)</f>
        <v>59469391216.800011</v>
      </c>
      <c r="S13" s="2"/>
    </row>
    <row r="14" spans="2:19" ht="20.25" thickTop="1" thickBot="1" x14ac:dyDescent="0.35">
      <c r="C14" s="441"/>
      <c r="D14" s="458" t="s">
        <v>1</v>
      </c>
      <c r="E14" s="421">
        <v>3.24</v>
      </c>
      <c r="F14" s="459">
        <v>9</v>
      </c>
      <c r="G14" s="460">
        <v>74.98</v>
      </c>
      <c r="H14" s="461">
        <v>9.16</v>
      </c>
      <c r="I14" s="961">
        <f t="shared" ref="I14:I23" si="0">($E$13*E14+$G$13*G14+$H$13*H14+$F$13*F14)/$I$13</f>
        <v>13.343026003572129</v>
      </c>
      <c r="J14" s="962"/>
      <c r="K14" s="441"/>
      <c r="L14" s="441"/>
      <c r="M14" s="443" t="s">
        <v>88</v>
      </c>
      <c r="N14" s="443">
        <v>1</v>
      </c>
      <c r="O14" s="441"/>
      <c r="P14" s="444" t="s">
        <v>89</v>
      </c>
      <c r="Q14" s="445">
        <f>-N18*N17*N24*N29+N18*N17*N25*N28+N22*N17*N20*N29-N22*N17*N21*N28-N26*N17*N20*N25+N26*N17*N21*N24</f>
        <v>9915983665.1599998</v>
      </c>
    </row>
    <row r="15" spans="2:19" ht="20.25" thickTop="1" thickBot="1" x14ac:dyDescent="0.35">
      <c r="C15" s="441"/>
      <c r="D15" s="458" t="s">
        <v>3</v>
      </c>
      <c r="E15" s="421">
        <v>0.79</v>
      </c>
      <c r="F15" s="459">
        <v>50</v>
      </c>
      <c r="G15" s="460">
        <v>8.8000000000000007</v>
      </c>
      <c r="H15" s="461">
        <v>2</v>
      </c>
      <c r="I15" s="961">
        <f t="shared" si="0"/>
        <v>3.2023262408573108</v>
      </c>
      <c r="J15" s="962"/>
      <c r="K15" s="441"/>
      <c r="L15" s="441"/>
      <c r="M15" s="443" t="s">
        <v>90</v>
      </c>
      <c r="N15" s="443">
        <v>1</v>
      </c>
      <c r="O15" s="441"/>
      <c r="P15" s="444" t="s">
        <v>91</v>
      </c>
      <c r="Q15" s="445">
        <f>-N18*N17*N25*N27+N18*N17*N23*N29+N22*N17*N21*N27-N22*N17*N19*N29-N26*N17*N21*N23+N26*N17*N19*N25</f>
        <v>514131186.66000009</v>
      </c>
    </row>
    <row r="16" spans="2:19" ht="20.25" thickTop="1" thickBot="1" x14ac:dyDescent="0.35">
      <c r="C16" s="441"/>
      <c r="D16" s="458" t="s">
        <v>4</v>
      </c>
      <c r="E16" s="421">
        <v>0.38</v>
      </c>
      <c r="F16" s="459">
        <v>14</v>
      </c>
      <c r="G16" s="460">
        <v>6.2</v>
      </c>
      <c r="H16" s="461">
        <v>83.04</v>
      </c>
      <c r="I16" s="961">
        <f t="shared" si="0"/>
        <v>2.1348841605715405</v>
      </c>
      <c r="J16" s="962"/>
      <c r="K16" s="441"/>
      <c r="L16" s="441"/>
      <c r="M16" s="443" t="s">
        <v>92</v>
      </c>
      <c r="N16" s="443">
        <v>1</v>
      </c>
      <c r="O16" s="441"/>
      <c r="P16" s="444" t="s">
        <v>93</v>
      </c>
      <c r="Q16" s="445">
        <f>-N18*N17*N23*N28+N18*N17*N24*N27+N22*N17*N19*N28-N22*N17*N20*N27-N26*N17*N19*N24+N26*N17*N20*N23</f>
        <v>1892642896.6184003</v>
      </c>
    </row>
    <row r="17" spans="3:17" ht="20.25" thickTop="1" thickBot="1" x14ac:dyDescent="0.35">
      <c r="C17" s="441"/>
      <c r="D17" s="458" t="s">
        <v>5</v>
      </c>
      <c r="E17" s="421">
        <v>51</v>
      </c>
      <c r="F17" s="459">
        <v>5.5</v>
      </c>
      <c r="G17" s="460">
        <v>0.98</v>
      </c>
      <c r="H17" s="461">
        <v>0.06</v>
      </c>
      <c r="I17" s="961">
        <f t="shared" si="0"/>
        <v>42.52689247858509</v>
      </c>
      <c r="J17" s="962"/>
      <c r="K17" s="441"/>
      <c r="L17" s="441"/>
      <c r="M17" s="443" t="s">
        <v>94</v>
      </c>
      <c r="N17" s="443">
        <v>100</v>
      </c>
      <c r="O17" s="441"/>
      <c r="P17" s="444" t="s">
        <v>16</v>
      </c>
      <c r="Q17" s="445">
        <f>(N19*N24*N29)+(N20*N25*N27)+(N21*N23*N28)-(N21*N24*N27)-(N19*N25*N28)-(N20*N23*N29)-(N18*N24*N29)-(N18*N25*N27)-(N18*N23*N28)+(N18*N24*N27)+(N18*N25*N28)+(N18*N23*N29)+(N22*N20*N29)+(N22*N21*N27)+(N22*N19*N28)-(N22*N20*N27)-(N22*N21*N28)-(N22*N19*N29)-(N26*N20*N25)-(N26*N21*N23)-(N26*N19*N24)+(N26*N20*N23)+(N26*N21*N24)+(N26*N19*N25)</f>
        <v>717921489.65238392</v>
      </c>
    </row>
    <row r="18" spans="3:17" ht="20.25" thickTop="1" thickBot="1" x14ac:dyDescent="0.35">
      <c r="C18" s="441"/>
      <c r="D18" s="458" t="s">
        <v>6</v>
      </c>
      <c r="E18" s="421">
        <v>1.24</v>
      </c>
      <c r="F18" s="459">
        <v>0.5</v>
      </c>
      <c r="G18" s="460">
        <v>0.24</v>
      </c>
      <c r="H18" s="461">
        <v>0.41</v>
      </c>
      <c r="I18" s="961">
        <f t="shared" si="0"/>
        <v>1.076426845235243</v>
      </c>
      <c r="J18" s="962"/>
      <c r="K18" s="441"/>
      <c r="L18" s="441"/>
      <c r="M18" s="443" t="s">
        <v>95</v>
      </c>
      <c r="N18" s="443">
        <f>H11*E16-E15</f>
        <v>-0.21999999999999997</v>
      </c>
      <c r="O18" s="441"/>
      <c r="P18" s="441"/>
      <c r="Q18" s="441"/>
    </row>
    <row r="19" spans="3:17" ht="20.25" thickTop="1" thickBot="1" x14ac:dyDescent="0.35">
      <c r="C19" s="441"/>
      <c r="D19" s="458" t="s">
        <v>7</v>
      </c>
      <c r="E19" s="421">
        <v>0.5</v>
      </c>
      <c r="F19" s="459">
        <v>0.1</v>
      </c>
      <c r="G19" s="460">
        <v>0.3</v>
      </c>
      <c r="H19" s="461">
        <v>0.2</v>
      </c>
      <c r="I19" s="961">
        <f t="shared" si="0"/>
        <v>0.45968231499688261</v>
      </c>
      <c r="J19" s="962"/>
      <c r="K19" s="441"/>
      <c r="L19" s="441"/>
      <c r="M19" s="443" t="s">
        <v>96</v>
      </c>
      <c r="N19" s="443">
        <f>H11*G16-G15</f>
        <v>0.5</v>
      </c>
      <c r="O19" s="441"/>
      <c r="P19" s="441"/>
      <c r="Q19" s="441"/>
    </row>
    <row r="20" spans="3:17" ht="20.25" thickTop="1" thickBot="1" x14ac:dyDescent="0.35">
      <c r="C20" s="441"/>
      <c r="D20" s="458" t="s">
        <v>8</v>
      </c>
      <c r="E20" s="421">
        <v>0.2</v>
      </c>
      <c r="F20" s="459">
        <v>0.1</v>
      </c>
      <c r="G20" s="460">
        <v>0.2</v>
      </c>
      <c r="H20" s="461">
        <v>0.1</v>
      </c>
      <c r="I20" s="961">
        <f t="shared" si="0"/>
        <v>0.19664758038592248</v>
      </c>
      <c r="J20" s="962"/>
      <c r="K20" s="441"/>
      <c r="L20" s="441"/>
      <c r="M20" s="443" t="s">
        <v>97</v>
      </c>
      <c r="N20" s="443">
        <f>H11*H16-H15</f>
        <v>122.56</v>
      </c>
      <c r="O20" s="441"/>
      <c r="P20" s="441"/>
      <c r="Q20" s="441"/>
    </row>
    <row r="21" spans="3:17" ht="20.25" thickTop="1" thickBot="1" x14ac:dyDescent="0.35">
      <c r="C21" s="441"/>
      <c r="D21" s="458" t="s">
        <v>9</v>
      </c>
      <c r="E21" s="421">
        <v>0.1</v>
      </c>
      <c r="F21" s="459">
        <v>0.05</v>
      </c>
      <c r="G21" s="460">
        <v>0.2</v>
      </c>
      <c r="H21" s="461">
        <v>7.0000000000000007E-2</v>
      </c>
      <c r="I21" s="961">
        <f t="shared" si="0"/>
        <v>0.11227909038510772</v>
      </c>
      <c r="J21" s="962"/>
      <c r="K21" s="441"/>
      <c r="L21" s="441"/>
      <c r="M21" s="443" t="s">
        <v>98</v>
      </c>
      <c r="N21" s="443">
        <f>H11*F16-F15</f>
        <v>-29</v>
      </c>
      <c r="O21" s="441"/>
      <c r="P21" s="441"/>
      <c r="Q21" s="441"/>
    </row>
    <row r="22" spans="3:17" ht="20.25" thickTop="1" thickBot="1" x14ac:dyDescent="0.35">
      <c r="C22" s="441"/>
      <c r="D22" s="458" t="s">
        <v>41</v>
      </c>
      <c r="E22" s="421">
        <v>0.01</v>
      </c>
      <c r="F22" s="459">
        <v>0.01</v>
      </c>
      <c r="G22" s="460">
        <v>0.01</v>
      </c>
      <c r="H22" s="461">
        <v>0.01</v>
      </c>
      <c r="I22" s="961">
        <f t="shared" si="0"/>
        <v>0.01</v>
      </c>
      <c r="J22" s="962"/>
      <c r="K22" s="441"/>
      <c r="L22" s="441"/>
      <c r="M22" s="443" t="s">
        <v>100</v>
      </c>
      <c r="N22" s="443">
        <f>H10*E15+H10*E16-E14</f>
        <v>-0.31500000000000039</v>
      </c>
      <c r="O22" s="441"/>
      <c r="P22" s="441"/>
      <c r="Q22" s="441"/>
    </row>
    <row r="23" spans="3:17" ht="20.25" thickTop="1" thickBot="1" x14ac:dyDescent="0.35">
      <c r="C23" s="441"/>
      <c r="D23" s="458" t="s">
        <v>99</v>
      </c>
      <c r="E23" s="421">
        <v>42.48</v>
      </c>
      <c r="F23" s="459">
        <v>21</v>
      </c>
      <c r="G23" s="460">
        <v>8</v>
      </c>
      <c r="H23" s="461">
        <v>4.6500000000000004</v>
      </c>
      <c r="I23" s="961">
        <f t="shared" si="0"/>
        <v>36.880409031075551</v>
      </c>
      <c r="J23" s="962"/>
      <c r="K23" s="441"/>
      <c r="L23" s="441"/>
      <c r="M23" s="443" t="s">
        <v>101</v>
      </c>
      <c r="N23" s="443">
        <f>H10*G15+H10*G16-G14</f>
        <v>-37.480000000000004</v>
      </c>
      <c r="O23" s="441"/>
      <c r="P23" s="441"/>
      <c r="Q23" s="441"/>
    </row>
    <row r="24" spans="3:17" ht="20.25" thickTop="1" thickBot="1" x14ac:dyDescent="0.35">
      <c r="C24" s="441"/>
      <c r="D24" s="464" t="s">
        <v>10</v>
      </c>
      <c r="E24" s="462">
        <f>SUM(E14:E23)</f>
        <v>99.94</v>
      </c>
      <c r="F24" s="462">
        <f>SUM(F14:F23)</f>
        <v>100.25999999999999</v>
      </c>
      <c r="G24" s="462">
        <f>SUM(G14:G23)</f>
        <v>99.910000000000011</v>
      </c>
      <c r="H24" s="462">
        <f>SUM(H14:H23)</f>
        <v>99.7</v>
      </c>
      <c r="I24" s="972">
        <f>SUM(I14:I23)</f>
        <v>99.942573745664774</v>
      </c>
      <c r="J24" s="973"/>
      <c r="K24" s="441"/>
      <c r="L24" s="441"/>
      <c r="M24" s="443" t="s">
        <v>102</v>
      </c>
      <c r="N24" s="443">
        <f>H10*H15+H10*H16-H14</f>
        <v>203.44000000000003</v>
      </c>
      <c r="O24" s="441"/>
      <c r="P24" s="441"/>
      <c r="Q24" s="441"/>
    </row>
    <row r="25" spans="3:17" ht="20.25" thickTop="1" thickBot="1" x14ac:dyDescent="0.35">
      <c r="C25" s="441"/>
      <c r="D25" s="465" t="s">
        <v>39</v>
      </c>
      <c r="E25" s="463">
        <f>100*E17/(2.8*E14+1.18*E15+0.65*E16)</f>
        <v>497.50273138754494</v>
      </c>
      <c r="F25" s="463">
        <f>100*F17/(2.8*F14+1.18*F15+0.65*F16)</f>
        <v>5.894962486602358</v>
      </c>
      <c r="G25" s="463">
        <f>100*G17/(2.8*G14+1.18*G15+0.65*G16)</f>
        <v>0.43680189696823829</v>
      </c>
      <c r="H25" s="463">
        <f>100*H17/(2.8*H14+1.18*H15+0.65*H16)</f>
        <v>7.3185011709601872E-2</v>
      </c>
      <c r="I25" s="970">
        <f>100*I17/(2.8*I14+1.18*I15+0.65*I16)</f>
        <v>100.00000000000001</v>
      </c>
      <c r="J25" s="971"/>
      <c r="K25" s="441"/>
      <c r="L25" s="441"/>
      <c r="M25" s="443" t="s">
        <v>103</v>
      </c>
      <c r="N25" s="443">
        <f>H10*F15+H10*F16-F14</f>
        <v>151</v>
      </c>
      <c r="O25" s="441"/>
      <c r="P25" s="441"/>
      <c r="Q25" s="441"/>
    </row>
    <row r="26" spans="3:17" ht="20.25" thickTop="1" thickBot="1" x14ac:dyDescent="0.35">
      <c r="C26" s="441"/>
      <c r="D26" s="465" t="s">
        <v>37</v>
      </c>
      <c r="E26" s="463">
        <f>E14/(E15+E16)</f>
        <v>2.7692307692307696</v>
      </c>
      <c r="F26" s="463">
        <f>F14/(F15+F16)</f>
        <v>0.140625</v>
      </c>
      <c r="G26" s="463">
        <f>G14/(G15+G16)</f>
        <v>4.9986666666666668</v>
      </c>
      <c r="H26" s="463">
        <f>H14/(H15+H16)</f>
        <v>0.1077140169332079</v>
      </c>
      <c r="I26" s="970">
        <f>I14/(I15+I16)</f>
        <v>2.5</v>
      </c>
      <c r="J26" s="971"/>
      <c r="K26" s="441"/>
      <c r="L26" s="441"/>
      <c r="M26" s="443" t="s">
        <v>104</v>
      </c>
      <c r="N26" s="443">
        <f>H9*2.8*E14+H9*1.18*E15+H9*0.65*E16-100*E17</f>
        <v>-4074.88</v>
      </c>
      <c r="O26" s="441"/>
      <c r="P26" s="441"/>
      <c r="Q26" s="441"/>
    </row>
    <row r="27" spans="3:17" ht="20.25" thickTop="1" thickBot="1" x14ac:dyDescent="0.35">
      <c r="C27" s="441"/>
      <c r="D27" s="465" t="s">
        <v>38</v>
      </c>
      <c r="E27" s="463">
        <f>E15/E16</f>
        <v>2.0789473684210527</v>
      </c>
      <c r="F27" s="463">
        <f>F15/F16</f>
        <v>3.5714285714285716</v>
      </c>
      <c r="G27" s="463">
        <f>G15/G16</f>
        <v>1.4193548387096775</v>
      </c>
      <c r="H27" s="463">
        <f>H15/H16</f>
        <v>2.4084778420038533E-2</v>
      </c>
      <c r="I27" s="970">
        <f>I15/I16</f>
        <v>1.5</v>
      </c>
      <c r="J27" s="971"/>
      <c r="K27" s="441"/>
      <c r="L27" s="441"/>
      <c r="M27" s="443" t="s">
        <v>105</v>
      </c>
      <c r="N27" s="443">
        <f>H9*2.8*G14+H9*1.18*G15+H9*0.65*G16-100*G17</f>
        <v>22337.800000000003</v>
      </c>
      <c r="O27" s="441"/>
      <c r="P27" s="441"/>
      <c r="Q27" s="441"/>
    </row>
    <row r="28" spans="3:17" ht="21" thickTop="1" thickBot="1" x14ac:dyDescent="0.35">
      <c r="C28" s="441"/>
      <c r="D28" s="978" t="s">
        <v>156</v>
      </c>
      <c r="E28" s="979"/>
      <c r="F28" s="979"/>
      <c r="G28" s="979"/>
      <c r="H28" s="979"/>
      <c r="I28" s="979"/>
      <c r="J28" s="980"/>
      <c r="K28" s="441"/>
      <c r="L28" s="441"/>
      <c r="M28" s="443" t="s">
        <v>106</v>
      </c>
      <c r="N28" s="443">
        <f>H9*2.8*H14+H9*1.18*H15+H9*0.65*H16-100*H17</f>
        <v>8192.4000000000015</v>
      </c>
      <c r="O28" s="441"/>
      <c r="P28" s="441"/>
      <c r="Q28" s="441"/>
    </row>
    <row r="29" spans="3:17" ht="21.75" thickTop="1" thickBot="1" x14ac:dyDescent="0.35">
      <c r="C29" s="441"/>
      <c r="D29" s="981" t="s">
        <v>11</v>
      </c>
      <c r="E29" s="982"/>
      <c r="F29" s="982"/>
      <c r="G29" s="983"/>
      <c r="H29" s="976">
        <f>Q13/Q17</f>
        <v>82.835507884845413</v>
      </c>
      <c r="I29" s="976"/>
      <c r="J29" s="977"/>
      <c r="K29" s="441"/>
      <c r="L29" s="441"/>
      <c r="M29" s="443" t="s">
        <v>107</v>
      </c>
      <c r="N29" s="443">
        <f>H9*2.8*F14+H9*1.18*F15+H9*0.65*F16-100*F17</f>
        <v>8780</v>
      </c>
      <c r="O29" s="441"/>
      <c r="P29" s="441"/>
      <c r="Q29" s="441"/>
    </row>
    <row r="30" spans="3:17" ht="21" thickTop="1" x14ac:dyDescent="0.3">
      <c r="C30" s="441"/>
      <c r="D30" s="984" t="s">
        <v>26</v>
      </c>
      <c r="E30" s="985"/>
      <c r="F30" s="985"/>
      <c r="G30" s="985"/>
      <c r="H30" s="974">
        <f>Q16/Q17</f>
        <v>2.636281158730621</v>
      </c>
      <c r="I30" s="974"/>
      <c r="J30" s="975"/>
      <c r="K30" s="441"/>
      <c r="L30" s="441"/>
      <c r="M30" s="476" t="s">
        <v>148</v>
      </c>
      <c r="N30" s="441"/>
      <c r="O30" s="441"/>
      <c r="P30" s="441"/>
      <c r="Q30" s="441"/>
    </row>
    <row r="31" spans="3:17" ht="20.25" x14ac:dyDescent="0.3">
      <c r="C31" s="441"/>
      <c r="D31" s="992" t="s">
        <v>82</v>
      </c>
      <c r="E31" s="993"/>
      <c r="F31" s="993"/>
      <c r="G31" s="994"/>
      <c r="H31" s="990">
        <f>Q14/Q17</f>
        <v>13.8120725010771</v>
      </c>
      <c r="I31" s="990"/>
      <c r="J31" s="991"/>
      <c r="K31" s="441"/>
      <c r="L31" s="441"/>
      <c r="M31" s="398">
        <f>J36/(1-0.01*I36)</f>
        <v>88.122880728558954</v>
      </c>
      <c r="N31" s="441"/>
      <c r="O31" s="441"/>
      <c r="P31" s="441"/>
      <c r="Q31" s="441"/>
    </row>
    <row r="32" spans="3:17" ht="20.25" x14ac:dyDescent="0.3">
      <c r="C32" s="441"/>
      <c r="D32" s="995" t="s">
        <v>27</v>
      </c>
      <c r="E32" s="996"/>
      <c r="F32" s="996"/>
      <c r="G32" s="996"/>
      <c r="H32" s="988">
        <f>Q15/Q17</f>
        <v>0.71613845534689502</v>
      </c>
      <c r="I32" s="988"/>
      <c r="J32" s="989"/>
      <c r="K32" s="441"/>
      <c r="L32" s="441"/>
      <c r="M32" s="398">
        <f>J37/(1-0.01*I37)</f>
        <v>2.7750327986638115</v>
      </c>
      <c r="N32" s="441"/>
      <c r="O32" s="441"/>
      <c r="P32" s="441"/>
      <c r="Q32" s="441"/>
    </row>
    <row r="33" spans="2:26" ht="21.75" thickBot="1" x14ac:dyDescent="0.4">
      <c r="C33" s="441"/>
      <c r="D33" s="997" t="s">
        <v>10</v>
      </c>
      <c r="E33" s="998"/>
      <c r="F33" s="998"/>
      <c r="G33" s="998"/>
      <c r="H33" s="986">
        <f>SUM(H29:I32)</f>
        <v>100.00000000000003</v>
      </c>
      <c r="I33" s="986"/>
      <c r="J33" s="987"/>
      <c r="K33" s="441"/>
      <c r="L33" s="441"/>
      <c r="M33" s="398">
        <f>J38/(1-0.01*I38)</f>
        <v>15.095161203362951</v>
      </c>
      <c r="N33" s="441"/>
      <c r="O33" s="441"/>
      <c r="P33" s="441"/>
      <c r="Q33" s="441"/>
    </row>
    <row r="34" spans="2:26" ht="21.75" thickTop="1" thickBot="1" x14ac:dyDescent="0.3">
      <c r="C34" s="441"/>
      <c r="D34" s="1020" t="s">
        <v>165</v>
      </c>
      <c r="E34" s="1021"/>
      <c r="F34" s="1021"/>
      <c r="G34" s="1021"/>
      <c r="H34" s="1021"/>
      <c r="I34" s="1021"/>
      <c r="J34" s="1022"/>
      <c r="K34" s="441"/>
      <c r="L34" s="441"/>
      <c r="M34" s="398">
        <f>J39/(1-0.01*I39)</f>
        <v>0.77672283660183838</v>
      </c>
      <c r="N34" s="441"/>
      <c r="O34" s="441"/>
      <c r="P34" s="441"/>
      <c r="Q34" s="441"/>
    </row>
    <row r="35" spans="2:26" ht="21" thickBot="1" x14ac:dyDescent="0.35">
      <c r="C35" s="441"/>
      <c r="D35" s="446" t="s">
        <v>83</v>
      </c>
      <c r="E35" s="999" t="s">
        <v>159</v>
      </c>
      <c r="F35" s="1000"/>
      <c r="G35" s="1000"/>
      <c r="H35" s="1001"/>
      <c r="I35" s="475" t="s">
        <v>157</v>
      </c>
      <c r="J35" s="447" t="s">
        <v>158</v>
      </c>
      <c r="K35" s="441"/>
      <c r="L35" s="441"/>
      <c r="M35" s="448">
        <f>M32+M33+M34+M31</f>
        <v>106.76979756718755</v>
      </c>
      <c r="N35" s="441"/>
      <c r="O35" s="441"/>
      <c r="P35" s="441"/>
      <c r="Q35" s="441"/>
    </row>
    <row r="36" spans="2:26" ht="21.75" thickTop="1" thickBot="1" x14ac:dyDescent="0.35">
      <c r="C36" s="441"/>
      <c r="D36" s="466" t="s">
        <v>11</v>
      </c>
      <c r="E36" s="1002">
        <f>(M31/M35)*100</f>
        <v>82.535401149473415</v>
      </c>
      <c r="F36" s="1003"/>
      <c r="G36" s="1003"/>
      <c r="H36" s="1003"/>
      <c r="I36" s="386">
        <v>6</v>
      </c>
      <c r="J36" s="472">
        <v>82.835507884845413</v>
      </c>
      <c r="K36" s="441"/>
      <c r="L36" s="441"/>
      <c r="M36" s="441"/>
      <c r="N36" s="441"/>
      <c r="O36" s="441"/>
      <c r="P36" s="441"/>
      <c r="Q36" s="441"/>
    </row>
    <row r="37" spans="2:26" ht="21.75" thickTop="1" thickBot="1" x14ac:dyDescent="0.3">
      <c r="C37" s="441"/>
      <c r="D37" s="467" t="str">
        <f>D30</f>
        <v>SHALE</v>
      </c>
      <c r="E37" s="1004">
        <f>(M32/M35)*100</f>
        <v>2.5990803222395855</v>
      </c>
      <c r="F37" s="1005"/>
      <c r="G37" s="1005"/>
      <c r="H37" s="1005"/>
      <c r="I37" s="386">
        <v>5</v>
      </c>
      <c r="J37" s="473">
        <v>2.636281158730621</v>
      </c>
      <c r="K37" s="441"/>
      <c r="L37" s="441"/>
      <c r="M37" s="441"/>
      <c r="N37" s="441"/>
      <c r="O37" s="441"/>
      <c r="P37" s="441"/>
      <c r="Q37" s="441"/>
    </row>
    <row r="38" spans="2:26" ht="21.75" thickTop="1" thickBot="1" x14ac:dyDescent="0.3">
      <c r="C38" s="441"/>
      <c r="D38" s="468" t="str">
        <f>D31</f>
        <v>SAND</v>
      </c>
      <c r="E38" s="1006">
        <f>(M33/M35)*100</f>
        <v>14.138044229093854</v>
      </c>
      <c r="F38" s="1007"/>
      <c r="G38" s="1007"/>
      <c r="H38" s="1007"/>
      <c r="I38" s="386">
        <v>8.5</v>
      </c>
      <c r="J38" s="474">
        <v>13.8120725010771</v>
      </c>
      <c r="K38" s="441"/>
      <c r="L38" s="441"/>
      <c r="M38" s="441"/>
      <c r="N38" s="441"/>
      <c r="O38" s="441"/>
      <c r="P38" s="441"/>
      <c r="Q38" s="441"/>
      <c r="S38" s="14"/>
    </row>
    <row r="39" spans="2:26" ht="21.75" thickTop="1" thickBot="1" x14ac:dyDescent="0.3">
      <c r="C39" s="441"/>
      <c r="D39" s="469" t="str">
        <f>D32</f>
        <v>IRON ORE</v>
      </c>
      <c r="E39" s="922">
        <f>(M34/M35)*100</f>
        <v>0.72747429919314599</v>
      </c>
      <c r="F39" s="923"/>
      <c r="G39" s="923"/>
      <c r="H39" s="923"/>
      <c r="I39" s="386">
        <v>7.8</v>
      </c>
      <c r="J39" s="472">
        <v>0.71613845534689502</v>
      </c>
      <c r="K39" s="441"/>
      <c r="L39" s="441"/>
      <c r="M39" s="441"/>
      <c r="N39" s="441"/>
      <c r="O39" s="441"/>
      <c r="P39" s="441"/>
      <c r="Q39" s="441"/>
    </row>
    <row r="40" spans="2:26" ht="20.25" thickTop="1" thickBot="1" x14ac:dyDescent="0.3">
      <c r="C40" s="441"/>
      <c r="D40" s="470" t="str">
        <f>D33</f>
        <v>TOTAL</v>
      </c>
      <c r="E40" s="924">
        <f>E37+E38+E39+E36</f>
        <v>100</v>
      </c>
      <c r="F40" s="925"/>
      <c r="G40" s="925"/>
      <c r="H40" s="926"/>
      <c r="I40" s="471">
        <f t="shared" ref="I40:J40" si="1">I37+I38+I39+I36</f>
        <v>27.3</v>
      </c>
      <c r="J40" s="449">
        <f t="shared" si="1"/>
        <v>100.00000000000003</v>
      </c>
      <c r="K40" s="441"/>
      <c r="L40" s="441"/>
      <c r="M40" s="441"/>
      <c r="N40" s="441"/>
      <c r="O40" s="441"/>
      <c r="P40" s="441"/>
      <c r="Q40" s="441"/>
    </row>
    <row r="41" spans="2:26" ht="14.25" thickTop="1" x14ac:dyDescent="0.25"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</row>
    <row r="42" spans="2:26" ht="13.5" x14ac:dyDescent="0.25"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</row>
    <row r="46" spans="2:26" s="14" customFormat="1" x14ac:dyDescent="0.2"/>
    <row r="47" spans="2:26" ht="27" x14ac:dyDescent="0.4">
      <c r="B47" s="1"/>
      <c r="C47" s="1"/>
      <c r="D47" s="958" t="s">
        <v>108</v>
      </c>
      <c r="E47" s="958"/>
      <c r="F47" s="958"/>
      <c r="G47" s="958"/>
      <c r="H47" s="958"/>
      <c r="I47" s="958"/>
      <c r="J47" s="958"/>
      <c r="K47" s="133"/>
      <c r="L47" s="78"/>
      <c r="M47" s="79"/>
      <c r="N47" s="79"/>
      <c r="O47" s="80"/>
      <c r="P47" s="12"/>
      <c r="Q47" s="12"/>
      <c r="R47" s="81"/>
      <c r="S47" s="82"/>
      <c r="T47" s="82"/>
      <c r="U47" s="82"/>
      <c r="V47" s="83"/>
      <c r="W47" s="84"/>
      <c r="X47" s="84"/>
      <c r="Y47" s="84"/>
      <c r="Z47" s="85"/>
    </row>
    <row r="48" spans="2:26" ht="36.75" x14ac:dyDescent="0.4">
      <c r="B48" s="1"/>
      <c r="C48" s="1"/>
      <c r="D48" s="958"/>
      <c r="E48" s="958"/>
      <c r="F48" s="958"/>
      <c r="G48" s="958"/>
      <c r="H48" s="958"/>
      <c r="I48" s="958"/>
      <c r="J48" s="958"/>
      <c r="K48" s="11"/>
      <c r="L48" s="86"/>
      <c r="M48" s="601" t="s">
        <v>137</v>
      </c>
      <c r="N48" s="602" t="s">
        <v>136</v>
      </c>
      <c r="O48" s="603"/>
      <c r="P48" s="12"/>
      <c r="Q48" s="12"/>
      <c r="R48" s="87"/>
      <c r="S48" s="88"/>
      <c r="T48" s="520" t="s">
        <v>139</v>
      </c>
      <c r="U48" s="520"/>
      <c r="V48" s="89"/>
      <c r="W48" s="90"/>
      <c r="X48" s="521" t="s">
        <v>140</v>
      </c>
      <c r="Y48" s="521"/>
      <c r="Z48" s="91"/>
    </row>
    <row r="49" spans="2:26" ht="36.75" x14ac:dyDescent="0.4">
      <c r="B49" s="1"/>
      <c r="C49" s="1"/>
      <c r="D49" s="958"/>
      <c r="E49" s="958"/>
      <c r="F49" s="958"/>
      <c r="G49" s="958"/>
      <c r="H49" s="958"/>
      <c r="I49" s="958"/>
      <c r="J49" s="958"/>
      <c r="K49" s="11"/>
      <c r="L49" s="86"/>
      <c r="M49" s="601"/>
      <c r="N49" s="602"/>
      <c r="O49" s="603"/>
      <c r="P49" s="12"/>
      <c r="Q49" s="12"/>
      <c r="R49" s="87"/>
      <c r="S49" s="88"/>
      <c r="T49" s="520"/>
      <c r="U49" s="520"/>
      <c r="V49" s="89"/>
      <c r="W49" s="90"/>
      <c r="X49" s="521"/>
      <c r="Y49" s="521"/>
      <c r="Z49" s="91"/>
    </row>
    <row r="50" spans="2:26" ht="19.5" x14ac:dyDescent="0.4">
      <c r="B50" s="1"/>
      <c r="C50" s="1"/>
      <c r="D50" s="958"/>
      <c r="E50" s="958"/>
      <c r="F50" s="958"/>
      <c r="G50" s="958"/>
      <c r="H50" s="958"/>
      <c r="I50" s="958"/>
      <c r="J50" s="958"/>
      <c r="K50" s="1"/>
      <c r="L50" s="92"/>
      <c r="M50" s="93"/>
      <c r="N50" s="93"/>
      <c r="O50" s="94"/>
      <c r="P50" s="12"/>
      <c r="Q50" s="12"/>
      <c r="R50" s="95"/>
      <c r="S50" s="96"/>
      <c r="T50" s="96"/>
      <c r="U50" s="96"/>
      <c r="V50" s="97"/>
      <c r="W50" s="98"/>
      <c r="X50" s="98"/>
      <c r="Y50" s="98"/>
      <c r="Z50" s="99"/>
    </row>
    <row r="51" spans="2:26" ht="13.5" thickBo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26" ht="26.25" thickTop="1" thickBot="1" x14ac:dyDescent="0.25">
      <c r="B52" s="1"/>
      <c r="C52" s="1"/>
      <c r="D52" s="959" t="s">
        <v>44</v>
      </c>
      <c r="E52" s="959"/>
      <c r="F52" s="959"/>
      <c r="G52" s="959"/>
      <c r="H52" s="959"/>
      <c r="I52" s="959"/>
      <c r="J52" s="959"/>
      <c r="K52" s="1"/>
      <c r="L52" s="1"/>
      <c r="M52" s="1"/>
      <c r="N52" s="1"/>
      <c r="O52" s="1"/>
      <c r="P52" s="1"/>
      <c r="Q52" s="1"/>
      <c r="R52" s="1"/>
    </row>
    <row r="53" spans="2:26" ht="24" thickTop="1" thickBot="1" x14ac:dyDescent="0.5">
      <c r="B53" s="1"/>
      <c r="C53" s="1"/>
      <c r="D53" s="955" t="s">
        <v>42</v>
      </c>
      <c r="E53" s="955"/>
      <c r="F53" s="955"/>
      <c r="G53" s="955"/>
      <c r="H53" s="960">
        <v>100</v>
      </c>
      <c r="I53" s="960"/>
      <c r="J53" s="960"/>
      <c r="K53" s="1"/>
      <c r="L53" s="1"/>
      <c r="M53" s="1"/>
      <c r="N53" s="1"/>
      <c r="O53" s="1"/>
      <c r="P53" s="1"/>
      <c r="Q53" s="1"/>
      <c r="R53" s="1"/>
    </row>
    <row r="54" spans="2:26" ht="24" thickTop="1" thickBot="1" x14ac:dyDescent="0.5">
      <c r="B54" s="1"/>
      <c r="C54" s="1"/>
      <c r="D54" s="955" t="s">
        <v>45</v>
      </c>
      <c r="E54" s="955"/>
      <c r="F54" s="955"/>
      <c r="G54" s="955"/>
      <c r="H54" s="956">
        <v>2.5</v>
      </c>
      <c r="I54" s="956"/>
      <c r="J54" s="956"/>
      <c r="K54" s="1"/>
      <c r="L54" s="1"/>
      <c r="M54" s="1"/>
      <c r="N54" s="1"/>
      <c r="O54" s="1"/>
      <c r="P54" s="1"/>
      <c r="Q54" s="1"/>
      <c r="R54" s="1"/>
    </row>
    <row r="55" spans="2:26" ht="24" thickTop="1" thickBot="1" x14ac:dyDescent="0.5">
      <c r="B55" s="1"/>
      <c r="C55" s="1"/>
      <c r="D55" s="955" t="s">
        <v>43</v>
      </c>
      <c r="E55" s="955"/>
      <c r="F55" s="955"/>
      <c r="G55" s="955"/>
      <c r="H55" s="956">
        <v>1.5</v>
      </c>
      <c r="I55" s="956"/>
      <c r="J55" s="956"/>
      <c r="K55" s="1"/>
      <c r="L55" s="1"/>
      <c r="M55" s="1"/>
      <c r="N55" s="1"/>
      <c r="O55" s="1"/>
      <c r="P55" s="1"/>
      <c r="Q55" s="1"/>
      <c r="R55" s="1"/>
    </row>
    <row r="56" spans="2:26" ht="26.25" thickTop="1" thickBot="1" x14ac:dyDescent="0.25">
      <c r="B56" s="1"/>
      <c r="C56" s="1"/>
      <c r="D56" s="957" t="s">
        <v>2</v>
      </c>
      <c r="E56" s="127" t="s">
        <v>11</v>
      </c>
      <c r="F56" s="128" t="s">
        <v>26</v>
      </c>
      <c r="G56" s="129" t="s">
        <v>82</v>
      </c>
      <c r="H56" s="130" t="s">
        <v>27</v>
      </c>
      <c r="I56" s="957" t="s">
        <v>0</v>
      </c>
      <c r="J56" s="957"/>
      <c r="K56" s="1"/>
      <c r="L56" s="1"/>
      <c r="M56" s="953" t="s">
        <v>84</v>
      </c>
      <c r="N56" s="953"/>
      <c r="O56" s="1"/>
      <c r="P56" s="953" t="s">
        <v>85</v>
      </c>
      <c r="Q56" s="953"/>
      <c r="R56" s="1"/>
    </row>
    <row r="57" spans="2:26" ht="26.25" thickTop="1" thickBot="1" x14ac:dyDescent="0.55000000000000004">
      <c r="B57" s="1"/>
      <c r="C57" s="1"/>
      <c r="D57" s="957"/>
      <c r="E57" s="189">
        <f>H73</f>
        <v>82.835507884845413</v>
      </c>
      <c r="F57" s="190">
        <f>H74</f>
        <v>2.636281158730621</v>
      </c>
      <c r="G57" s="191">
        <f>H75</f>
        <v>13.8120725010771</v>
      </c>
      <c r="H57" s="192">
        <f>H76</f>
        <v>0.71613845534689502</v>
      </c>
      <c r="I57" s="954">
        <f>SUM(E57:H57)</f>
        <v>100.00000000000003</v>
      </c>
      <c r="J57" s="954"/>
      <c r="K57" s="1"/>
      <c r="L57" s="1"/>
      <c r="M57" s="131" t="s">
        <v>86</v>
      </c>
      <c r="N57" s="131">
        <v>1</v>
      </c>
      <c r="O57" s="1"/>
      <c r="P57" s="132" t="s">
        <v>87</v>
      </c>
      <c r="Q57" s="204">
        <f>(N61*N63*N68*N73)+(N61*N64*N69*N71)+(N61*N65*N67*N72)-(N61*N65*N68*N71)-(N61*N63*N69*N72)-(N61*N64*N67*N73)</f>
        <v>59469391216.800011</v>
      </c>
      <c r="R57" s="1"/>
    </row>
    <row r="58" spans="2:26" ht="24" thickTop="1" thickBot="1" x14ac:dyDescent="0.5">
      <c r="B58" s="1"/>
      <c r="C58" s="1"/>
      <c r="D58" s="124" t="s">
        <v>1</v>
      </c>
      <c r="E58" s="193">
        <v>3.24</v>
      </c>
      <c r="F58" s="194">
        <v>9</v>
      </c>
      <c r="G58" s="195">
        <v>74.98</v>
      </c>
      <c r="H58" s="196">
        <v>9.16</v>
      </c>
      <c r="I58" s="951">
        <f t="shared" ref="I58:I67" si="2">($E$13*E58+$G$13*G58+$H$13*H58+$F$13*F58)/$I$13</f>
        <v>13.343026003572129</v>
      </c>
      <c r="J58" s="951"/>
      <c r="K58" s="1"/>
      <c r="L58" s="1"/>
      <c r="M58" s="131" t="s">
        <v>88</v>
      </c>
      <c r="N58" s="131">
        <v>1</v>
      </c>
      <c r="O58" s="1"/>
      <c r="P58" s="132" t="s">
        <v>89</v>
      </c>
      <c r="Q58" s="204">
        <f>-N62*N61*N68*N73+N62*N61*N69*N72+N66*N61*N64*N73-N66*N61*N65*N72-N70*N61*N64*N69+N70*N61*N65*N68</f>
        <v>9915983665.1599998</v>
      </c>
      <c r="R58" s="1"/>
    </row>
    <row r="59" spans="2:26" ht="24" thickTop="1" thickBot="1" x14ac:dyDescent="0.5">
      <c r="B59" s="1"/>
      <c r="C59" s="1"/>
      <c r="D59" s="124" t="s">
        <v>3</v>
      </c>
      <c r="E59" s="193">
        <v>0.79</v>
      </c>
      <c r="F59" s="194">
        <v>50</v>
      </c>
      <c r="G59" s="195">
        <v>8.8000000000000007</v>
      </c>
      <c r="H59" s="196">
        <v>2</v>
      </c>
      <c r="I59" s="951">
        <f t="shared" si="2"/>
        <v>3.2023262408573108</v>
      </c>
      <c r="J59" s="951"/>
      <c r="K59" s="1"/>
      <c r="L59" s="1"/>
      <c r="M59" s="131" t="s">
        <v>90</v>
      </c>
      <c r="N59" s="131">
        <v>1</v>
      </c>
      <c r="O59" s="1"/>
      <c r="P59" s="132" t="s">
        <v>91</v>
      </c>
      <c r="Q59" s="204">
        <f>-N62*N61*N69*N71+N62*N61*N67*N73+N66*N61*N65*N71-N66*N61*N63*N73-N70*N61*N65*N67+N70*N61*N63*N69</f>
        <v>514131186.66000009</v>
      </c>
      <c r="R59" s="1"/>
    </row>
    <row r="60" spans="2:26" ht="24" thickTop="1" thickBot="1" x14ac:dyDescent="0.5">
      <c r="B60" s="1"/>
      <c r="C60" s="1"/>
      <c r="D60" s="124" t="s">
        <v>4</v>
      </c>
      <c r="E60" s="193">
        <v>0.38</v>
      </c>
      <c r="F60" s="194">
        <v>14</v>
      </c>
      <c r="G60" s="195">
        <v>6.2</v>
      </c>
      <c r="H60" s="196">
        <v>83.04</v>
      </c>
      <c r="I60" s="951">
        <f t="shared" si="2"/>
        <v>2.1348841605715405</v>
      </c>
      <c r="J60" s="951"/>
      <c r="K60" s="1"/>
      <c r="L60" s="1"/>
      <c r="M60" s="131" t="s">
        <v>92</v>
      </c>
      <c r="N60" s="131">
        <v>1</v>
      </c>
      <c r="O60" s="1"/>
      <c r="P60" s="132" t="s">
        <v>93</v>
      </c>
      <c r="Q60" s="204">
        <f>-N62*N61*N67*N72+N62*N61*N68*N71+N66*N61*N63*N72-N66*N61*N64*N71-N70*N61*N63*N68+N70*N61*N64*N67</f>
        <v>1892642896.6184003</v>
      </c>
      <c r="R60" s="1"/>
    </row>
    <row r="61" spans="2:26" ht="24" thickTop="1" thickBot="1" x14ac:dyDescent="0.5">
      <c r="B61" s="1"/>
      <c r="C61" s="1"/>
      <c r="D61" s="124" t="s">
        <v>5</v>
      </c>
      <c r="E61" s="193">
        <v>51</v>
      </c>
      <c r="F61" s="194">
        <v>5.5</v>
      </c>
      <c r="G61" s="195">
        <v>0.98</v>
      </c>
      <c r="H61" s="196">
        <v>0.06</v>
      </c>
      <c r="I61" s="951">
        <f t="shared" si="2"/>
        <v>42.52689247858509</v>
      </c>
      <c r="J61" s="951"/>
      <c r="K61" s="1"/>
      <c r="L61" s="1"/>
      <c r="M61" s="131" t="s">
        <v>94</v>
      </c>
      <c r="N61" s="131">
        <v>100</v>
      </c>
      <c r="O61" s="1"/>
      <c r="P61" s="132" t="s">
        <v>16</v>
      </c>
      <c r="Q61" s="204">
        <f>(N63*N68*N73)+(N64*N69*N71)+(N65*N67*N72)-(N65*N68*N71)-(N63*N69*N72)-(N64*N67*N73)-(N62*N68*N73)-(N62*N69*N71)-(N62*N67*N72)+(N62*N68*N71)+(N62*N69*N72)+(N62*N67*N73)+(N66*N64*N73)+(N66*N65*N71)+(N66*N63*N72)-(N66*N64*N71)-(N66*N65*N72)-(N66*N63*N73)-(N70*N64*N69)-(N70*N65*N67)-(N70*N63*N68)+(N70*N64*N67)+(N70*N65*N68)+(N70*N63*N69)</f>
        <v>717921489.65238392</v>
      </c>
      <c r="R61" s="1"/>
    </row>
    <row r="62" spans="2:26" ht="24" thickTop="1" thickBot="1" x14ac:dyDescent="0.5">
      <c r="B62" s="1"/>
      <c r="C62" s="1"/>
      <c r="D62" s="124" t="s">
        <v>6</v>
      </c>
      <c r="E62" s="193">
        <v>1.24</v>
      </c>
      <c r="F62" s="194">
        <v>0.5</v>
      </c>
      <c r="G62" s="195">
        <v>0.24</v>
      </c>
      <c r="H62" s="196">
        <v>0.41</v>
      </c>
      <c r="I62" s="951">
        <f t="shared" si="2"/>
        <v>1.076426845235243</v>
      </c>
      <c r="J62" s="951"/>
      <c r="K62" s="1"/>
      <c r="L62" s="1"/>
      <c r="M62" s="131" t="s">
        <v>95</v>
      </c>
      <c r="N62" s="205">
        <f>H55*E60-E59</f>
        <v>-0.21999999999999997</v>
      </c>
      <c r="O62" s="1"/>
      <c r="P62" s="1"/>
      <c r="Q62" s="1"/>
      <c r="R62" s="1"/>
    </row>
    <row r="63" spans="2:26" ht="24" thickTop="1" thickBot="1" x14ac:dyDescent="0.5">
      <c r="B63" s="1"/>
      <c r="C63" s="1"/>
      <c r="D63" s="124" t="s">
        <v>7</v>
      </c>
      <c r="E63" s="193">
        <v>0.5</v>
      </c>
      <c r="F63" s="194">
        <v>0.1</v>
      </c>
      <c r="G63" s="195">
        <v>0.3</v>
      </c>
      <c r="H63" s="196">
        <v>0.2</v>
      </c>
      <c r="I63" s="951">
        <f t="shared" si="2"/>
        <v>0.45968231499688261</v>
      </c>
      <c r="J63" s="951"/>
      <c r="K63" s="1"/>
      <c r="L63" s="1"/>
      <c r="M63" s="131" t="s">
        <v>96</v>
      </c>
      <c r="N63" s="205">
        <f>H55*G60-G59</f>
        <v>0.5</v>
      </c>
      <c r="O63" s="1"/>
      <c r="P63" s="1"/>
      <c r="Q63" s="1"/>
      <c r="R63" s="1"/>
    </row>
    <row r="64" spans="2:26" ht="24" thickTop="1" thickBot="1" x14ac:dyDescent="0.5">
      <c r="B64" s="1"/>
      <c r="C64" s="1"/>
      <c r="D64" s="124" t="s">
        <v>8</v>
      </c>
      <c r="E64" s="193">
        <v>0.2</v>
      </c>
      <c r="F64" s="194">
        <v>0.1</v>
      </c>
      <c r="G64" s="195">
        <v>0.2</v>
      </c>
      <c r="H64" s="196">
        <v>0.1</v>
      </c>
      <c r="I64" s="951">
        <f t="shared" si="2"/>
        <v>0.19664758038592248</v>
      </c>
      <c r="J64" s="951"/>
      <c r="K64" s="1"/>
      <c r="L64" s="1"/>
      <c r="M64" s="131" t="s">
        <v>97</v>
      </c>
      <c r="N64" s="205">
        <f>H55*H60-H59</f>
        <v>122.56</v>
      </c>
      <c r="O64" s="1"/>
      <c r="P64" s="1"/>
      <c r="Q64" s="1"/>
      <c r="R64" s="1"/>
    </row>
    <row r="65" spans="2:18" ht="24" thickTop="1" thickBot="1" x14ac:dyDescent="0.5">
      <c r="B65" s="1"/>
      <c r="C65" s="1"/>
      <c r="D65" s="124" t="s">
        <v>9</v>
      </c>
      <c r="E65" s="193">
        <v>0.1</v>
      </c>
      <c r="F65" s="194">
        <v>0.05</v>
      </c>
      <c r="G65" s="195">
        <v>0.2</v>
      </c>
      <c r="H65" s="196">
        <v>7.0000000000000007E-2</v>
      </c>
      <c r="I65" s="951">
        <f t="shared" si="2"/>
        <v>0.11227909038510772</v>
      </c>
      <c r="J65" s="951"/>
      <c r="K65" s="1"/>
      <c r="L65" s="1"/>
      <c r="M65" s="131" t="s">
        <v>98</v>
      </c>
      <c r="N65" s="205">
        <f>H55*F60-F59</f>
        <v>-29</v>
      </c>
      <c r="O65" s="1"/>
      <c r="P65" s="1"/>
      <c r="Q65" s="1"/>
      <c r="R65" s="1"/>
    </row>
    <row r="66" spans="2:18" ht="24" thickTop="1" thickBot="1" x14ac:dyDescent="0.5">
      <c r="B66" s="1"/>
      <c r="C66" s="1"/>
      <c r="D66" s="124" t="s">
        <v>41</v>
      </c>
      <c r="E66" s="193">
        <v>0.01</v>
      </c>
      <c r="F66" s="194">
        <v>0.01</v>
      </c>
      <c r="G66" s="195">
        <v>0.01</v>
      </c>
      <c r="H66" s="196">
        <v>0.01</v>
      </c>
      <c r="I66" s="951">
        <f t="shared" si="2"/>
        <v>0.01</v>
      </c>
      <c r="J66" s="951"/>
      <c r="K66" s="1"/>
      <c r="L66" s="1"/>
      <c r="M66" s="131" t="s">
        <v>100</v>
      </c>
      <c r="N66" s="205">
        <f>H54*E59+H54*E60-E58</f>
        <v>-0.31500000000000039</v>
      </c>
      <c r="O66" s="1"/>
      <c r="P66" s="1"/>
      <c r="Q66" s="1"/>
      <c r="R66" s="1"/>
    </row>
    <row r="67" spans="2:18" ht="24" thickTop="1" thickBot="1" x14ac:dyDescent="0.5">
      <c r="B67" s="1"/>
      <c r="C67" s="1"/>
      <c r="D67" s="124" t="s">
        <v>99</v>
      </c>
      <c r="E67" s="193">
        <v>42.48</v>
      </c>
      <c r="F67" s="194">
        <v>21</v>
      </c>
      <c r="G67" s="195">
        <v>8</v>
      </c>
      <c r="H67" s="196">
        <v>4.6500000000000004</v>
      </c>
      <c r="I67" s="951">
        <f t="shared" si="2"/>
        <v>36.880409031075551</v>
      </c>
      <c r="J67" s="951"/>
      <c r="K67" s="1"/>
      <c r="L67" s="1"/>
      <c r="M67" s="131" t="s">
        <v>101</v>
      </c>
      <c r="N67" s="205">
        <f>H54*G59+H54*G60-G58</f>
        <v>-37.480000000000004</v>
      </c>
      <c r="O67" s="1"/>
      <c r="P67" s="1"/>
      <c r="Q67" s="1"/>
      <c r="R67" s="1"/>
    </row>
    <row r="68" spans="2:18" ht="24" thickTop="1" thickBot="1" x14ac:dyDescent="0.5">
      <c r="B68" s="1"/>
      <c r="C68" s="1"/>
      <c r="D68" s="125" t="s">
        <v>10</v>
      </c>
      <c r="E68" s="202">
        <f>SUM(E58:E67)</f>
        <v>99.94</v>
      </c>
      <c r="F68" s="202">
        <f>SUM(F58:F67)</f>
        <v>100.25999999999999</v>
      </c>
      <c r="G68" s="202">
        <f>SUM(G58:G67)</f>
        <v>99.910000000000011</v>
      </c>
      <c r="H68" s="202">
        <f>SUM(H58:H67)</f>
        <v>99.7</v>
      </c>
      <c r="I68" s="952">
        <f>SUM(I58:I67)</f>
        <v>99.942573745664774</v>
      </c>
      <c r="J68" s="952"/>
      <c r="K68" s="1"/>
      <c r="L68" s="1"/>
      <c r="M68" s="131" t="s">
        <v>102</v>
      </c>
      <c r="N68" s="205">
        <f>H54*H59+H54*H60-H58</f>
        <v>203.44000000000003</v>
      </c>
      <c r="O68" s="1"/>
      <c r="P68" s="1"/>
      <c r="Q68" s="1"/>
      <c r="R68" s="1"/>
    </row>
    <row r="69" spans="2:18" ht="24" thickTop="1" thickBot="1" x14ac:dyDescent="0.5">
      <c r="B69" s="1"/>
      <c r="C69" s="1"/>
      <c r="D69" s="126" t="s">
        <v>39</v>
      </c>
      <c r="E69" s="203">
        <f>100*E61/(2.8*E58+1.18*E59+0.65*E60)</f>
        <v>497.50273138754494</v>
      </c>
      <c r="F69" s="203">
        <f>100*F61/(2.8*F58+1.18*F59+0.65*F60)</f>
        <v>5.894962486602358</v>
      </c>
      <c r="G69" s="203">
        <f>100*G61/(2.8*G58+1.18*G59+0.65*G60)</f>
        <v>0.43680189696823829</v>
      </c>
      <c r="H69" s="203">
        <f>100*H61/(2.8*H58+1.18*H59+0.65*H60)</f>
        <v>7.3185011709601872E-2</v>
      </c>
      <c r="I69" s="945">
        <f>100*I61/(2.8*I58+1.18*I59+0.65*I60)</f>
        <v>100.00000000000001</v>
      </c>
      <c r="J69" s="945"/>
      <c r="K69" s="1"/>
      <c r="L69" s="1"/>
      <c r="M69" s="131" t="s">
        <v>103</v>
      </c>
      <c r="N69" s="205">
        <f>H54*F59+H54*F60-F58</f>
        <v>151</v>
      </c>
      <c r="O69" s="1"/>
      <c r="P69" s="1"/>
      <c r="Q69" s="1"/>
      <c r="R69" s="1"/>
    </row>
    <row r="70" spans="2:18" ht="24" thickTop="1" thickBot="1" x14ac:dyDescent="0.5">
      <c r="B70" s="1"/>
      <c r="C70" s="1"/>
      <c r="D70" s="126" t="s">
        <v>37</v>
      </c>
      <c r="E70" s="203">
        <f>E58/(E59+E60)</f>
        <v>2.7692307692307696</v>
      </c>
      <c r="F70" s="203">
        <f>F58/(F59+F60)</f>
        <v>0.140625</v>
      </c>
      <c r="G70" s="203">
        <f>G58/(G59+G60)</f>
        <v>4.9986666666666668</v>
      </c>
      <c r="H70" s="203">
        <f>H58/(H59+H60)</f>
        <v>0.1077140169332079</v>
      </c>
      <c r="I70" s="945">
        <f>I58/(I59+I60)</f>
        <v>2.5</v>
      </c>
      <c r="J70" s="945"/>
      <c r="K70" s="1"/>
      <c r="L70" s="1"/>
      <c r="M70" s="131" t="s">
        <v>104</v>
      </c>
      <c r="N70" s="205">
        <f>H53*2.8*E58+H53*1.18*E59+H53*0.65*E60-100*E61</f>
        <v>-4074.88</v>
      </c>
      <c r="O70" s="1"/>
      <c r="P70" s="1"/>
      <c r="Q70" s="1"/>
      <c r="R70" s="1"/>
    </row>
    <row r="71" spans="2:18" ht="24" thickTop="1" thickBot="1" x14ac:dyDescent="0.5">
      <c r="B71" s="1"/>
      <c r="C71" s="1"/>
      <c r="D71" s="126" t="s">
        <v>38</v>
      </c>
      <c r="E71" s="203">
        <f>E59/E60</f>
        <v>2.0789473684210527</v>
      </c>
      <c r="F71" s="203">
        <f>F59/F60</f>
        <v>3.5714285714285716</v>
      </c>
      <c r="G71" s="203">
        <f>G59/G60</f>
        <v>1.4193548387096775</v>
      </c>
      <c r="H71" s="203">
        <f>H59/H60</f>
        <v>2.4084778420038533E-2</v>
      </c>
      <c r="I71" s="945">
        <f>I59/I60</f>
        <v>1.5</v>
      </c>
      <c r="J71" s="945"/>
      <c r="K71" s="1"/>
      <c r="L71" s="1"/>
      <c r="M71" s="131" t="s">
        <v>105</v>
      </c>
      <c r="N71" s="205">
        <f>H53*2.8*G58+H53*1.18*G59+H53*0.65*G60-100*G61</f>
        <v>22337.800000000003</v>
      </c>
      <c r="O71" s="1"/>
      <c r="P71" s="1"/>
      <c r="Q71" s="1"/>
      <c r="R71" s="1"/>
    </row>
    <row r="72" spans="2:18" ht="26.25" thickTop="1" thickBot="1" x14ac:dyDescent="0.55000000000000004">
      <c r="B72" s="1"/>
      <c r="C72" s="1"/>
      <c r="D72" s="946" t="s">
        <v>150</v>
      </c>
      <c r="E72" s="946"/>
      <c r="F72" s="946"/>
      <c r="G72" s="946"/>
      <c r="H72" s="946"/>
      <c r="I72" s="946"/>
      <c r="J72" s="946"/>
      <c r="K72" s="1"/>
      <c r="L72" s="1"/>
      <c r="M72" s="131" t="s">
        <v>106</v>
      </c>
      <c r="N72" s="205">
        <f>H53*2.8*H58+H53*1.18*H59+H53*0.65*H60-100*H61</f>
        <v>8192.4000000000015</v>
      </c>
      <c r="O72" s="1"/>
      <c r="P72" s="1"/>
      <c r="Q72" s="1"/>
      <c r="R72" s="1"/>
    </row>
    <row r="73" spans="2:18" ht="24" thickTop="1" thickBot="1" x14ac:dyDescent="0.5">
      <c r="B73" s="1"/>
      <c r="C73" s="1"/>
      <c r="D73" s="947" t="s">
        <v>11</v>
      </c>
      <c r="E73" s="947"/>
      <c r="F73" s="947"/>
      <c r="G73" s="947"/>
      <c r="H73" s="948">
        <f>Q57/Q61</f>
        <v>82.835507884845413</v>
      </c>
      <c r="I73" s="948"/>
      <c r="J73" s="948"/>
      <c r="K73" s="1"/>
      <c r="L73" s="1"/>
      <c r="M73" s="131" t="s">
        <v>107</v>
      </c>
      <c r="N73" s="205">
        <f>H53*2.8*F58+H53*1.18*F59+H53*0.65*F60-100*F61</f>
        <v>8780</v>
      </c>
      <c r="O73" s="1"/>
      <c r="P73" s="1"/>
      <c r="Q73" s="1"/>
      <c r="R73" s="1"/>
    </row>
    <row r="74" spans="2:18" ht="24" thickTop="1" thickBot="1" x14ac:dyDescent="0.5">
      <c r="B74" s="1"/>
      <c r="C74" s="1"/>
      <c r="D74" s="949" t="s">
        <v>26</v>
      </c>
      <c r="E74" s="949"/>
      <c r="F74" s="949"/>
      <c r="G74" s="949"/>
      <c r="H74" s="950">
        <f>Q60/Q61</f>
        <v>2.636281158730621</v>
      </c>
      <c r="I74" s="950"/>
      <c r="J74" s="950"/>
      <c r="K74" s="1"/>
      <c r="L74" s="1"/>
      <c r="M74" s="1"/>
      <c r="N74" s="1"/>
      <c r="O74" s="1"/>
      <c r="P74" s="1"/>
      <c r="Q74" s="1"/>
      <c r="R74" s="1"/>
    </row>
    <row r="75" spans="2:18" ht="24" thickTop="1" thickBot="1" x14ac:dyDescent="0.5">
      <c r="B75" s="1"/>
      <c r="C75" s="1"/>
      <c r="D75" s="939" t="s">
        <v>82</v>
      </c>
      <c r="E75" s="939"/>
      <c r="F75" s="939"/>
      <c r="G75" s="939"/>
      <c r="H75" s="940">
        <f>Q58/Q61</f>
        <v>13.8120725010771</v>
      </c>
      <c r="I75" s="940"/>
      <c r="J75" s="940"/>
      <c r="K75" s="1"/>
      <c r="L75" s="1"/>
      <c r="M75" s="1"/>
      <c r="N75" s="1"/>
      <c r="O75" s="1"/>
      <c r="P75" s="1"/>
      <c r="Q75" s="1"/>
      <c r="R75" s="1"/>
    </row>
    <row r="76" spans="2:18" ht="24" thickTop="1" thickBot="1" x14ac:dyDescent="0.5">
      <c r="B76" s="1"/>
      <c r="C76" s="1"/>
      <c r="D76" s="941" t="s">
        <v>27</v>
      </c>
      <c r="E76" s="941"/>
      <c r="F76" s="941"/>
      <c r="G76" s="941"/>
      <c r="H76" s="942">
        <f>Q59/Q61</f>
        <v>0.71613845534689502</v>
      </c>
      <c r="I76" s="942"/>
      <c r="J76" s="942"/>
      <c r="K76" s="1"/>
      <c r="L76" s="1"/>
      <c r="M76" s="1"/>
      <c r="N76" s="1"/>
      <c r="O76" s="1"/>
      <c r="P76" s="1"/>
      <c r="Q76" s="1"/>
      <c r="R76" s="1"/>
    </row>
    <row r="77" spans="2:18" ht="24" thickTop="1" thickBot="1" x14ac:dyDescent="0.5">
      <c r="B77" s="1"/>
      <c r="C77" s="1"/>
      <c r="D77" s="943" t="s">
        <v>10</v>
      </c>
      <c r="E77" s="943"/>
      <c r="F77" s="943"/>
      <c r="G77" s="943"/>
      <c r="H77" s="944">
        <f>SUM(H73:I76)</f>
        <v>100.00000000000003</v>
      </c>
      <c r="I77" s="944"/>
      <c r="J77" s="944"/>
      <c r="K77" s="1"/>
      <c r="L77" s="1"/>
      <c r="M77" s="1"/>
      <c r="N77" s="1"/>
      <c r="O77" s="1"/>
      <c r="P77" s="1"/>
      <c r="Q77" s="1"/>
      <c r="R77" s="1"/>
    </row>
    <row r="78" spans="2:18" ht="24" thickTop="1" thickBot="1" x14ac:dyDescent="0.25">
      <c r="B78" s="1"/>
      <c r="C78" s="1"/>
      <c r="D78" s="935" t="s">
        <v>147</v>
      </c>
      <c r="E78" s="935"/>
      <c r="F78" s="935"/>
      <c r="G78" s="935"/>
      <c r="H78" s="935"/>
      <c r="I78" s="935"/>
      <c r="J78" s="935"/>
      <c r="K78" s="1"/>
      <c r="L78" s="1"/>
      <c r="M78" s="1"/>
      <c r="N78" s="1"/>
      <c r="O78" s="1"/>
      <c r="P78" s="1"/>
      <c r="Q78" s="1"/>
      <c r="R78" s="1"/>
    </row>
    <row r="79" spans="2:18" ht="24" thickTop="1" thickBot="1" x14ac:dyDescent="0.5">
      <c r="B79" s="1"/>
      <c r="C79" s="1"/>
      <c r="D79" s="161" t="s">
        <v>83</v>
      </c>
      <c r="E79" s="936" t="s">
        <v>149</v>
      </c>
      <c r="F79" s="936"/>
      <c r="G79" s="936"/>
      <c r="H79" s="150" t="s">
        <v>148</v>
      </c>
      <c r="I79" s="150" t="s">
        <v>146</v>
      </c>
      <c r="J79" s="162" t="s">
        <v>145</v>
      </c>
      <c r="K79" s="1"/>
      <c r="L79" s="1"/>
      <c r="M79" s="1"/>
      <c r="N79" s="1"/>
      <c r="O79" s="1"/>
      <c r="P79" s="1"/>
      <c r="Q79" s="1"/>
      <c r="R79" s="1"/>
    </row>
    <row r="80" spans="2:18" ht="24" thickTop="1" thickBot="1" x14ac:dyDescent="0.5">
      <c r="B80" s="1"/>
      <c r="C80" s="1"/>
      <c r="D80" s="155" t="s">
        <v>11</v>
      </c>
      <c r="E80" s="933">
        <f>(H80/H84)*100</f>
        <v>82.535401149473415</v>
      </c>
      <c r="F80" s="933"/>
      <c r="G80" s="933"/>
      <c r="H80" s="200">
        <f>J80/(1-0.01*I80)</f>
        <v>88.122880728558954</v>
      </c>
      <c r="I80" s="197">
        <v>6</v>
      </c>
      <c r="J80" s="198">
        <v>82.835507884845413</v>
      </c>
      <c r="K80" s="1"/>
      <c r="L80" s="1"/>
      <c r="M80" s="1"/>
      <c r="N80" s="1"/>
      <c r="O80" s="1"/>
      <c r="P80" s="1"/>
      <c r="Q80" s="1"/>
      <c r="R80" s="1"/>
    </row>
    <row r="81" spans="2:18" ht="24" thickTop="1" thickBot="1" x14ac:dyDescent="0.25">
      <c r="B81" s="1"/>
      <c r="C81" s="1"/>
      <c r="D81" s="152" t="str">
        <f>D74</f>
        <v>SHALE</v>
      </c>
      <c r="E81" s="937">
        <f>(H81/H84)*100</f>
        <v>2.5990803222395855</v>
      </c>
      <c r="F81" s="937"/>
      <c r="G81" s="937"/>
      <c r="H81" s="200">
        <f>J81/(1-0.01*I81)</f>
        <v>2.7750327986638115</v>
      </c>
      <c r="I81" s="199">
        <v>5</v>
      </c>
      <c r="J81" s="198">
        <v>2.636281158730621</v>
      </c>
      <c r="K81" s="1"/>
      <c r="L81" s="1"/>
      <c r="M81" s="1"/>
      <c r="N81" s="1"/>
      <c r="O81" s="1"/>
      <c r="P81" s="1"/>
      <c r="Q81" s="1"/>
      <c r="R81" s="1"/>
    </row>
    <row r="82" spans="2:18" ht="24" thickTop="1" thickBot="1" x14ac:dyDescent="0.25">
      <c r="B82" s="1"/>
      <c r="C82" s="1"/>
      <c r="D82" s="154" t="str">
        <f>D75</f>
        <v>SAND</v>
      </c>
      <c r="E82" s="938">
        <f>(H82/H84)*100</f>
        <v>14.138044229093854</v>
      </c>
      <c r="F82" s="938"/>
      <c r="G82" s="938"/>
      <c r="H82" s="200">
        <f>J82/(1-0.01*I82)</f>
        <v>15.095161203362951</v>
      </c>
      <c r="I82" s="199">
        <v>8.5</v>
      </c>
      <c r="J82" s="198">
        <v>13.8120725010771</v>
      </c>
      <c r="K82" s="1"/>
      <c r="L82" s="1"/>
      <c r="M82" s="1"/>
      <c r="N82" s="1"/>
      <c r="O82" s="1"/>
      <c r="P82" s="1"/>
      <c r="Q82" s="1"/>
      <c r="R82" s="1"/>
    </row>
    <row r="83" spans="2:18" ht="24" thickTop="1" thickBot="1" x14ac:dyDescent="0.25">
      <c r="B83" s="1"/>
      <c r="C83" s="1"/>
      <c r="D83" s="153" t="str">
        <f>D76</f>
        <v>IRON ORE</v>
      </c>
      <c r="E83" s="933">
        <f>(H83/H84)*100</f>
        <v>0.72747429919314599</v>
      </c>
      <c r="F83" s="933"/>
      <c r="G83" s="933"/>
      <c r="H83" s="200">
        <f>J83/(1-0.01*I83)</f>
        <v>0.77672283660183838</v>
      </c>
      <c r="I83" s="199">
        <v>7.8</v>
      </c>
      <c r="J83" s="198">
        <v>0.71613845534689502</v>
      </c>
      <c r="K83" s="1"/>
      <c r="L83" s="1"/>
      <c r="M83" s="1"/>
      <c r="N83" s="1"/>
      <c r="O83" s="1"/>
      <c r="P83" s="1"/>
      <c r="Q83" s="1"/>
      <c r="R83" s="1"/>
    </row>
    <row r="84" spans="2:18" ht="24" thickTop="1" thickBot="1" x14ac:dyDescent="0.25">
      <c r="B84" s="1"/>
      <c r="C84" s="1"/>
      <c r="D84" s="151" t="str">
        <f>D77</f>
        <v>TOTAL</v>
      </c>
      <c r="E84" s="934">
        <f>E81+E82+E83+E80</f>
        <v>100</v>
      </c>
      <c r="F84" s="934"/>
      <c r="G84" s="934"/>
      <c r="H84" s="201">
        <f>H81+H82+H83+H80</f>
        <v>106.76979756718755</v>
      </c>
      <c r="I84" s="201">
        <f t="shared" ref="I84" si="3">I81+I82+I83+I80</f>
        <v>27.3</v>
      </c>
      <c r="J84" s="201">
        <f t="shared" ref="J84" si="4">J81+J82+J83+J80</f>
        <v>100.00000000000003</v>
      </c>
      <c r="K84" s="1"/>
      <c r="L84" s="1"/>
      <c r="M84" s="1"/>
      <c r="N84" s="1"/>
      <c r="O84" s="1"/>
      <c r="P84" s="1"/>
      <c r="Q84" s="1"/>
      <c r="R84" s="1"/>
    </row>
    <row r="85" spans="2:18" ht="13.5" thickTop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</sheetData>
  <mergeCells count="94">
    <mergeCell ref="D8:J8"/>
    <mergeCell ref="D34:J34"/>
    <mergeCell ref="D11:G11"/>
    <mergeCell ref="D12:D13"/>
    <mergeCell ref="D9:G9"/>
    <mergeCell ref="D10:G10"/>
    <mergeCell ref="H10:J10"/>
    <mergeCell ref="H9:J9"/>
    <mergeCell ref="N48:O49"/>
    <mergeCell ref="T48:U49"/>
    <mergeCell ref="X48:Y49"/>
    <mergeCell ref="P12:Q12"/>
    <mergeCell ref="M12:N12"/>
    <mergeCell ref="E35:H35"/>
    <mergeCell ref="E36:H36"/>
    <mergeCell ref="E37:H37"/>
    <mergeCell ref="E38:H38"/>
    <mergeCell ref="M48:M49"/>
    <mergeCell ref="H33:J33"/>
    <mergeCell ref="H32:J32"/>
    <mergeCell ref="H31:J31"/>
    <mergeCell ref="D31:G31"/>
    <mergeCell ref="D32:G32"/>
    <mergeCell ref="D33:G33"/>
    <mergeCell ref="H30:J30"/>
    <mergeCell ref="H29:J29"/>
    <mergeCell ref="D28:J28"/>
    <mergeCell ref="I27:J27"/>
    <mergeCell ref="I26:J26"/>
    <mergeCell ref="D29:G29"/>
    <mergeCell ref="D30:G30"/>
    <mergeCell ref="I25:J25"/>
    <mergeCell ref="I24:J24"/>
    <mergeCell ref="I23:J23"/>
    <mergeCell ref="I22:J22"/>
    <mergeCell ref="I21:J21"/>
    <mergeCell ref="I20:J20"/>
    <mergeCell ref="I19:J19"/>
    <mergeCell ref="I18:J18"/>
    <mergeCell ref="I17:J17"/>
    <mergeCell ref="I16:J16"/>
    <mergeCell ref="I15:J15"/>
    <mergeCell ref="I14:J14"/>
    <mergeCell ref="I13:J13"/>
    <mergeCell ref="I12:J12"/>
    <mergeCell ref="H11:J11"/>
    <mergeCell ref="D47:J50"/>
    <mergeCell ref="D52:J52"/>
    <mergeCell ref="D53:G53"/>
    <mergeCell ref="H53:J53"/>
    <mergeCell ref="D54:G54"/>
    <mergeCell ref="H54:J54"/>
    <mergeCell ref="D55:G55"/>
    <mergeCell ref="H55:J55"/>
    <mergeCell ref="D56:D57"/>
    <mergeCell ref="I56:J56"/>
    <mergeCell ref="M56:N56"/>
    <mergeCell ref="P56:Q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D72:J72"/>
    <mergeCell ref="D73:G73"/>
    <mergeCell ref="H73:J73"/>
    <mergeCell ref="D74:G74"/>
    <mergeCell ref="H74:J74"/>
    <mergeCell ref="E39:H39"/>
    <mergeCell ref="E40:H40"/>
    <mergeCell ref="D4:J7"/>
    <mergeCell ref="E83:G83"/>
    <mergeCell ref="E84:G84"/>
    <mergeCell ref="D78:J78"/>
    <mergeCell ref="E79:G79"/>
    <mergeCell ref="E80:G80"/>
    <mergeCell ref="E81:G81"/>
    <mergeCell ref="E82:G82"/>
    <mergeCell ref="D75:G75"/>
    <mergeCell ref="H75:J75"/>
    <mergeCell ref="D76:G76"/>
    <mergeCell ref="H76:J76"/>
    <mergeCell ref="D77:G77"/>
    <mergeCell ref="H77:J7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4.9989318521683403E-2"/>
  </sheetPr>
  <dimension ref="C2:Y40"/>
  <sheetViews>
    <sheetView topLeftCell="C1" zoomScale="80" zoomScaleNormal="80" workbookViewId="0">
      <selection activeCell="T14" sqref="T14"/>
    </sheetView>
  </sheetViews>
  <sheetFormatPr defaultRowHeight="12.75" x14ac:dyDescent="0.2"/>
  <cols>
    <col min="3" max="3" width="13.5703125" customWidth="1"/>
    <col min="7" max="7" width="15.42578125" customWidth="1"/>
    <col min="8" max="8" width="19" customWidth="1"/>
    <col min="9" max="9" width="21" customWidth="1"/>
    <col min="21" max="21" width="16.42578125" customWidth="1"/>
  </cols>
  <sheetData>
    <row r="2" spans="3:25" x14ac:dyDescent="0.2">
      <c r="C2" s="1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P2" s="1118"/>
      <c r="Q2" s="1119" t="s">
        <v>136</v>
      </c>
      <c r="R2" s="1119"/>
      <c r="S2" s="1"/>
      <c r="T2" s="38"/>
      <c r="U2" s="39" t="s">
        <v>140</v>
      </c>
      <c r="V2" s="1"/>
      <c r="W2" s="1"/>
      <c r="X2" s="1"/>
      <c r="Y2" s="1"/>
    </row>
    <row r="3" spans="3:25" ht="13.5" thickBot="1" x14ac:dyDescent="0.25">
      <c r="C3" s="1"/>
      <c r="D3" s="439"/>
      <c r="E3" s="440"/>
      <c r="F3" s="440"/>
      <c r="G3" s="440"/>
      <c r="H3" s="440" t="s">
        <v>135</v>
      </c>
      <c r="I3" s="440"/>
      <c r="J3" s="440"/>
      <c r="K3" s="440"/>
      <c r="L3" s="439"/>
      <c r="M3" s="439"/>
      <c r="N3" s="439"/>
      <c r="P3" s="1118"/>
      <c r="Q3" s="1119"/>
      <c r="R3" s="1119"/>
      <c r="S3" s="1"/>
      <c r="T3" s="1"/>
      <c r="U3" s="1"/>
      <c r="V3" s="1"/>
      <c r="W3" s="1"/>
      <c r="X3" s="1"/>
      <c r="Y3" s="1"/>
    </row>
    <row r="4" spans="3:25" ht="21.75" thickTop="1" thickBot="1" x14ac:dyDescent="0.35">
      <c r="C4" s="1"/>
      <c r="D4" s="439"/>
      <c r="E4" s="440"/>
      <c r="F4" s="1023" t="s">
        <v>71</v>
      </c>
      <c r="G4" s="1024"/>
      <c r="H4" s="1024"/>
      <c r="I4" s="1024"/>
      <c r="J4" s="1025"/>
      <c r="K4" s="440"/>
      <c r="L4" s="439"/>
      <c r="M4" s="439"/>
      <c r="N4" s="439"/>
      <c r="P4" s="1"/>
      <c r="Q4" s="1"/>
      <c r="R4" s="1093" t="s">
        <v>71</v>
      </c>
      <c r="S4" s="1094"/>
      <c r="T4" s="1094"/>
      <c r="U4" s="1094"/>
      <c r="V4" s="1095"/>
      <c r="W4" s="1"/>
      <c r="X4" s="1"/>
      <c r="Y4" s="1"/>
    </row>
    <row r="5" spans="3:25" ht="14.25" thickTop="1" thickBot="1" x14ac:dyDescent="0.25">
      <c r="C5" s="1"/>
      <c r="D5" s="439"/>
      <c r="E5" s="440"/>
      <c r="F5" s="1026"/>
      <c r="G5" s="1027"/>
      <c r="H5" s="1027"/>
      <c r="I5" s="1027"/>
      <c r="J5" s="1028"/>
      <c r="K5" s="440"/>
      <c r="L5" s="439"/>
      <c r="M5" s="439"/>
      <c r="N5" s="439"/>
      <c r="P5" s="1"/>
      <c r="Q5" s="1"/>
      <c r="R5" s="1096" t="s">
        <v>32</v>
      </c>
      <c r="S5" s="1097"/>
      <c r="T5" s="5" t="s">
        <v>33</v>
      </c>
      <c r="U5" s="1098" t="s">
        <v>51</v>
      </c>
      <c r="V5" s="1099"/>
      <c r="W5" s="1"/>
      <c r="X5" s="1"/>
      <c r="Y5" s="1"/>
    </row>
    <row r="6" spans="3:25" ht="20.25" thickTop="1" thickBot="1" x14ac:dyDescent="0.35">
      <c r="C6" s="1"/>
      <c r="D6" s="439"/>
      <c r="E6" s="440"/>
      <c r="F6" s="1034" t="s">
        <v>171</v>
      </c>
      <c r="G6" s="1035"/>
      <c r="H6" s="479" t="s">
        <v>33</v>
      </c>
      <c r="I6" s="1036" t="s">
        <v>51</v>
      </c>
      <c r="J6" s="1037"/>
      <c r="K6" s="440"/>
      <c r="L6" s="439"/>
      <c r="M6" s="439"/>
      <c r="N6" s="439"/>
      <c r="P6" s="1"/>
      <c r="Q6" s="1"/>
      <c r="R6" s="1100" t="s">
        <v>50</v>
      </c>
      <c r="S6" s="1101"/>
      <c r="T6" s="41">
        <v>1</v>
      </c>
      <c r="U6" s="42">
        <v>9750</v>
      </c>
      <c r="V6" s="15">
        <f>U6*T6</f>
        <v>9750</v>
      </c>
      <c r="W6" s="1"/>
      <c r="X6" s="1"/>
      <c r="Y6" s="1"/>
    </row>
    <row r="7" spans="3:25" ht="18" thickTop="1" thickBot="1" x14ac:dyDescent="0.25">
      <c r="C7" s="1"/>
      <c r="D7" s="439"/>
      <c r="E7" s="440"/>
      <c r="F7" s="1061" t="s">
        <v>50</v>
      </c>
      <c r="G7" s="1062"/>
      <c r="H7" s="477">
        <v>1</v>
      </c>
      <c r="I7" s="478">
        <v>4500</v>
      </c>
      <c r="J7" s="500">
        <f>I7*H7</f>
        <v>4500</v>
      </c>
      <c r="K7" s="440"/>
      <c r="L7" s="439"/>
      <c r="M7" s="439"/>
      <c r="N7" s="439"/>
      <c r="P7" s="1"/>
      <c r="Q7" s="1"/>
      <c r="R7" s="1102" t="s">
        <v>52</v>
      </c>
      <c r="S7" s="1103"/>
      <c r="T7" s="41">
        <v>0</v>
      </c>
      <c r="U7" s="42">
        <v>0</v>
      </c>
      <c r="V7" s="15">
        <f>U7*T7</f>
        <v>0</v>
      </c>
      <c r="W7" s="1"/>
      <c r="X7" s="1"/>
      <c r="Y7" s="1"/>
    </row>
    <row r="8" spans="3:25" ht="18" thickTop="1" thickBot="1" x14ac:dyDescent="0.35">
      <c r="C8" s="1"/>
      <c r="D8" s="439"/>
      <c r="E8" s="440"/>
      <c r="F8" s="1042" t="s">
        <v>52</v>
      </c>
      <c r="G8" s="1043"/>
      <c r="H8" s="477">
        <v>0</v>
      </c>
      <c r="I8" s="478">
        <v>0</v>
      </c>
      <c r="J8" s="500">
        <f>I8*H8</f>
        <v>0</v>
      </c>
      <c r="K8" s="440"/>
      <c r="L8" s="439"/>
      <c r="M8" s="439"/>
      <c r="N8" s="439"/>
      <c r="P8" s="1"/>
      <c r="Q8" s="1"/>
      <c r="R8" s="1134" t="s">
        <v>69</v>
      </c>
      <c r="S8" s="1134"/>
      <c r="T8" s="1134"/>
      <c r="U8" s="1134"/>
      <c r="V8" s="16">
        <f>V6+V7</f>
        <v>9750</v>
      </c>
      <c r="W8" s="1"/>
      <c r="X8" s="1"/>
      <c r="Y8" s="1"/>
    </row>
    <row r="9" spans="3:25" ht="18" thickTop="1" thickBot="1" x14ac:dyDescent="0.3">
      <c r="C9" s="1"/>
      <c r="D9" s="439"/>
      <c r="E9" s="440"/>
      <c r="F9" s="1044" t="s">
        <v>69</v>
      </c>
      <c r="G9" s="1045"/>
      <c r="H9" s="1046"/>
      <c r="I9" s="1046"/>
      <c r="J9" s="485">
        <f>J7+J8</f>
        <v>4500</v>
      </c>
      <c r="K9" s="440"/>
      <c r="L9" s="439"/>
      <c r="M9" s="439"/>
      <c r="N9" s="439"/>
      <c r="P9" s="1"/>
      <c r="Q9" s="1"/>
      <c r="R9" s="1086" t="s">
        <v>76</v>
      </c>
      <c r="S9" s="1087"/>
      <c r="T9" s="6" t="s">
        <v>33</v>
      </c>
      <c r="U9" s="3" t="s">
        <v>77</v>
      </c>
      <c r="V9" s="17">
        <f>U10+U11</f>
        <v>12.75</v>
      </c>
      <c r="W9" s="1"/>
      <c r="X9" s="1"/>
      <c r="Y9" s="1"/>
    </row>
    <row r="10" spans="3:25" ht="18" thickTop="1" thickBot="1" x14ac:dyDescent="0.35">
      <c r="C10" s="1"/>
      <c r="D10" s="439"/>
      <c r="E10" s="440"/>
      <c r="F10" s="1038" t="s">
        <v>170</v>
      </c>
      <c r="G10" s="1039"/>
      <c r="H10" s="488" t="s">
        <v>33</v>
      </c>
      <c r="I10" s="491" t="s">
        <v>77</v>
      </c>
      <c r="J10" s="492">
        <f>I11+I12</f>
        <v>12.75</v>
      </c>
      <c r="K10" s="440"/>
      <c r="L10" s="439"/>
      <c r="M10" s="439"/>
      <c r="N10" s="439"/>
      <c r="P10" s="1"/>
      <c r="Q10" s="1"/>
      <c r="R10" s="8" t="s">
        <v>50</v>
      </c>
      <c r="S10" s="43">
        <v>19</v>
      </c>
      <c r="T10" s="44">
        <v>0.5</v>
      </c>
      <c r="U10" s="1088">
        <f>S10*T10</f>
        <v>9.5</v>
      </c>
      <c r="V10" s="1089"/>
      <c r="W10" s="1"/>
      <c r="X10" s="1"/>
      <c r="Y10" s="1"/>
    </row>
    <row r="11" spans="3:25" ht="17.25" thickTop="1" thickBot="1" x14ac:dyDescent="0.3">
      <c r="C11" s="1"/>
      <c r="D11" s="439"/>
      <c r="E11" s="440"/>
      <c r="F11" s="489" t="s">
        <v>50</v>
      </c>
      <c r="G11" s="483">
        <v>19</v>
      </c>
      <c r="H11" s="484">
        <v>0.5</v>
      </c>
      <c r="I11" s="1040">
        <f>G11*H11</f>
        <v>9.5</v>
      </c>
      <c r="J11" s="1041"/>
      <c r="K11" s="440"/>
      <c r="L11" s="439"/>
      <c r="M11" s="439"/>
      <c r="N11" s="439"/>
      <c r="P11" s="1"/>
      <c r="Q11" s="1"/>
      <c r="R11" s="8" t="s">
        <v>52</v>
      </c>
      <c r="S11" s="43">
        <v>6.5</v>
      </c>
      <c r="T11" s="44">
        <v>0.5</v>
      </c>
      <c r="U11" s="1089">
        <f>S11*T11</f>
        <v>3.25</v>
      </c>
      <c r="V11" s="1090"/>
      <c r="W11" s="1"/>
      <c r="X11" s="1"/>
      <c r="Y11" s="1"/>
    </row>
    <row r="12" spans="3:25" ht="17.25" thickTop="1" thickBot="1" x14ac:dyDescent="0.3">
      <c r="C12" s="1"/>
      <c r="D12" s="439"/>
      <c r="E12" s="440"/>
      <c r="F12" s="490" t="s">
        <v>52</v>
      </c>
      <c r="G12" s="486">
        <v>6.5</v>
      </c>
      <c r="H12" s="487">
        <v>0.5</v>
      </c>
      <c r="I12" s="1074">
        <f>G12*H12</f>
        <v>3.25</v>
      </c>
      <c r="J12" s="1075"/>
      <c r="K12" s="440"/>
      <c r="L12" s="439"/>
      <c r="M12" s="439"/>
      <c r="N12" s="439"/>
      <c r="P12" s="1"/>
      <c r="Q12" s="1"/>
      <c r="R12" s="1091" t="s">
        <v>75</v>
      </c>
      <c r="S12" s="1092"/>
      <c r="T12" s="10" t="s">
        <v>33</v>
      </c>
      <c r="U12" s="4" t="s">
        <v>78</v>
      </c>
      <c r="V12" s="18">
        <f>U13+U14</f>
        <v>29</v>
      </c>
      <c r="W12" s="1"/>
      <c r="X12" s="1"/>
      <c r="Y12" s="1"/>
    </row>
    <row r="13" spans="3:25" ht="18" thickTop="1" thickBot="1" x14ac:dyDescent="0.3">
      <c r="C13" s="1"/>
      <c r="D13" s="439"/>
      <c r="E13" s="440"/>
      <c r="F13" s="1029" t="s">
        <v>75</v>
      </c>
      <c r="G13" s="1030"/>
      <c r="H13" s="493" t="s">
        <v>33</v>
      </c>
      <c r="I13" s="494" t="s">
        <v>78</v>
      </c>
      <c r="J13" s="495">
        <f>I14+I15</f>
        <v>29</v>
      </c>
      <c r="K13" s="440"/>
      <c r="L13" s="439"/>
      <c r="M13" s="439"/>
      <c r="N13" s="439"/>
      <c r="P13" s="1"/>
      <c r="Q13" s="1"/>
      <c r="R13" s="9" t="s">
        <v>50</v>
      </c>
      <c r="S13" s="45">
        <v>13</v>
      </c>
      <c r="T13" s="46">
        <v>0.5</v>
      </c>
      <c r="U13" s="1126">
        <f>S13*T13</f>
        <v>6.5</v>
      </c>
      <c r="V13" s="1127"/>
      <c r="W13" s="1"/>
      <c r="X13" s="1"/>
      <c r="Y13" s="1"/>
    </row>
    <row r="14" spans="3:25" ht="17.25" thickTop="1" thickBot="1" x14ac:dyDescent="0.3">
      <c r="C14" s="1"/>
      <c r="D14" s="439"/>
      <c r="E14" s="440"/>
      <c r="F14" s="496" t="s">
        <v>50</v>
      </c>
      <c r="G14" s="483">
        <v>13</v>
      </c>
      <c r="H14" s="484">
        <v>0.5</v>
      </c>
      <c r="I14" s="1040">
        <f>G14*H14</f>
        <v>6.5</v>
      </c>
      <c r="J14" s="1041"/>
      <c r="K14" s="440"/>
      <c r="L14" s="439"/>
      <c r="M14" s="439"/>
      <c r="N14" s="439"/>
      <c r="P14" s="1"/>
      <c r="Q14" s="1"/>
      <c r="R14" s="9" t="s">
        <v>52</v>
      </c>
      <c r="S14" s="45">
        <v>45</v>
      </c>
      <c r="T14" s="46">
        <v>0.5</v>
      </c>
      <c r="U14" s="1127">
        <f>S14*T14</f>
        <v>22.5</v>
      </c>
      <c r="V14" s="1128"/>
      <c r="W14" s="1"/>
      <c r="X14" s="1"/>
      <c r="Y14" s="1"/>
    </row>
    <row r="15" spans="3:25" ht="17.25" thickTop="1" thickBot="1" x14ac:dyDescent="0.3">
      <c r="C15" s="1"/>
      <c r="D15" s="439"/>
      <c r="E15" s="440"/>
      <c r="F15" s="497" t="s">
        <v>52</v>
      </c>
      <c r="G15" s="483">
        <v>45</v>
      </c>
      <c r="H15" s="484">
        <v>0.5</v>
      </c>
      <c r="I15" s="1040">
        <f>G15*H15</f>
        <v>22.5</v>
      </c>
      <c r="J15" s="1054"/>
      <c r="K15" s="440"/>
      <c r="L15" s="439"/>
      <c r="M15" s="439"/>
      <c r="N15" s="439"/>
      <c r="P15" s="1"/>
      <c r="Q15" s="1"/>
      <c r="R15" s="1129" t="s">
        <v>29</v>
      </c>
      <c r="S15" s="1129"/>
      <c r="T15" s="1129"/>
      <c r="U15" s="1130"/>
      <c r="V15" s="47">
        <v>740</v>
      </c>
      <c r="W15" s="1"/>
      <c r="X15" s="1"/>
      <c r="Y15" s="1"/>
    </row>
    <row r="16" spans="3:25" ht="18" thickTop="1" thickBot="1" x14ac:dyDescent="0.25">
      <c r="C16" s="1"/>
      <c r="D16" s="439"/>
      <c r="E16" s="440"/>
      <c r="F16" s="1031" t="s">
        <v>29</v>
      </c>
      <c r="G16" s="1032"/>
      <c r="H16" s="1032"/>
      <c r="I16" s="1033"/>
      <c r="J16" s="498">
        <v>850</v>
      </c>
      <c r="K16" s="440"/>
      <c r="L16" s="439"/>
      <c r="M16" s="439"/>
      <c r="N16" s="439"/>
      <c r="P16" s="1"/>
      <c r="Q16" s="1"/>
      <c r="R16" s="1131" t="s">
        <v>34</v>
      </c>
      <c r="S16" s="1131"/>
      <c r="T16" s="1132"/>
      <c r="U16" s="1131"/>
      <c r="V16" s="19">
        <f>V15/V8</f>
        <v>7.5897435897435903E-2</v>
      </c>
      <c r="W16" s="1"/>
      <c r="X16" s="1"/>
      <c r="Y16" s="1"/>
    </row>
    <row r="17" spans="3:25" ht="18" thickTop="1" thickBot="1" x14ac:dyDescent="0.3">
      <c r="C17" s="1"/>
      <c r="D17" s="439"/>
      <c r="E17" s="440"/>
      <c r="F17" s="1059" t="s">
        <v>34</v>
      </c>
      <c r="G17" s="1060"/>
      <c r="H17" s="1060"/>
      <c r="I17" s="1060"/>
      <c r="J17" s="480">
        <f>J16/J9</f>
        <v>0.18888888888888888</v>
      </c>
      <c r="K17" s="440"/>
      <c r="L17" s="439"/>
      <c r="M17" s="439"/>
      <c r="N17" s="439"/>
      <c r="P17" s="1"/>
      <c r="Q17" s="1"/>
      <c r="R17" s="1125" t="s">
        <v>70</v>
      </c>
      <c r="S17" s="1133"/>
      <c r="T17" s="48">
        <v>19.940000000000001</v>
      </c>
      <c r="U17" s="7" t="s">
        <v>68</v>
      </c>
      <c r="V17" s="49">
        <v>0.86</v>
      </c>
      <c r="W17" s="1"/>
      <c r="X17" s="1"/>
      <c r="Y17" s="1"/>
    </row>
    <row r="18" spans="3:25" ht="17.25" thickTop="1" thickBot="1" x14ac:dyDescent="0.3">
      <c r="C18" s="1"/>
      <c r="D18" s="439"/>
      <c r="E18" s="440"/>
      <c r="F18" s="1052" t="s">
        <v>70</v>
      </c>
      <c r="G18" s="1053"/>
      <c r="H18" s="499">
        <v>19.940000000000001</v>
      </c>
      <c r="I18" s="501" t="s">
        <v>68</v>
      </c>
      <c r="J18" s="481">
        <v>0.86</v>
      </c>
      <c r="K18" s="440"/>
      <c r="L18" s="439"/>
      <c r="M18" s="439"/>
      <c r="N18" s="439"/>
      <c r="P18" s="1"/>
      <c r="Q18" s="1"/>
      <c r="R18" s="1116" t="s">
        <v>47</v>
      </c>
      <c r="S18" s="1116"/>
      <c r="T18" s="1123"/>
      <c r="U18" s="1116"/>
      <c r="V18" s="20">
        <f>V19*V16</f>
        <v>0</v>
      </c>
      <c r="W18" s="1"/>
      <c r="X18" s="1"/>
      <c r="Y18" s="1"/>
    </row>
    <row r="19" spans="3:25" ht="18" thickTop="1" thickBot="1" x14ac:dyDescent="0.35">
      <c r="C19" s="1"/>
      <c r="D19" s="439"/>
      <c r="E19" s="440"/>
      <c r="F19" s="1047" t="s">
        <v>47</v>
      </c>
      <c r="G19" s="1048"/>
      <c r="H19" s="1048"/>
      <c r="I19" s="1048"/>
      <c r="J19" s="502">
        <f>J20*J17</f>
        <v>2.4083333333333332</v>
      </c>
      <c r="K19" s="440"/>
      <c r="L19" s="439"/>
      <c r="M19" s="439"/>
      <c r="N19" s="439"/>
      <c r="P19" s="1"/>
      <c r="Q19" s="1"/>
      <c r="R19" s="1124" t="s">
        <v>46</v>
      </c>
      <c r="S19" s="1124"/>
      <c r="T19" s="1124"/>
      <c r="U19" s="1125"/>
      <c r="V19" s="50"/>
      <c r="W19" s="1"/>
      <c r="X19" s="1"/>
      <c r="Y19" s="1"/>
    </row>
    <row r="20" spans="3:25" ht="17.25" thickTop="1" thickBot="1" x14ac:dyDescent="0.3">
      <c r="C20" s="1"/>
      <c r="D20" s="439"/>
      <c r="E20" s="440"/>
      <c r="F20" s="1080" t="s">
        <v>46</v>
      </c>
      <c r="G20" s="1081"/>
      <c r="H20" s="1081"/>
      <c r="I20" s="1082"/>
      <c r="J20" s="503">
        <v>12.75</v>
      </c>
      <c r="K20" s="440"/>
      <c r="L20" s="439"/>
      <c r="M20" s="439"/>
      <c r="N20" s="439"/>
      <c r="P20" s="1"/>
      <c r="Q20" s="1"/>
      <c r="R20" s="1124" t="s">
        <v>67</v>
      </c>
      <c r="S20" s="1124"/>
      <c r="T20" s="1124"/>
      <c r="U20" s="1125"/>
      <c r="V20" s="47">
        <v>48.39</v>
      </c>
      <c r="W20" s="1"/>
      <c r="X20" s="1"/>
      <c r="Y20" s="1"/>
    </row>
    <row r="21" spans="3:25" ht="20.25" thickTop="1" thickBot="1" x14ac:dyDescent="0.3">
      <c r="C21" s="1"/>
      <c r="D21" s="439"/>
      <c r="E21" s="440"/>
      <c r="F21" s="1083" t="s">
        <v>172</v>
      </c>
      <c r="G21" s="1084"/>
      <c r="H21" s="1084"/>
      <c r="I21" s="1085"/>
      <c r="J21" s="509">
        <v>46.04</v>
      </c>
      <c r="K21" s="440"/>
      <c r="L21" s="439"/>
      <c r="M21" s="439"/>
      <c r="N21" s="439"/>
      <c r="P21" s="1"/>
      <c r="Q21" s="1"/>
      <c r="R21" s="1115" t="s">
        <v>31</v>
      </c>
      <c r="S21" s="1115"/>
      <c r="T21" s="1115"/>
      <c r="U21" s="1113"/>
      <c r="V21" s="47">
        <v>400</v>
      </c>
      <c r="W21" s="1"/>
      <c r="X21" s="1"/>
      <c r="Y21" s="1"/>
    </row>
    <row r="22" spans="3:25" ht="17.25" thickTop="1" thickBot="1" x14ac:dyDescent="0.25">
      <c r="C22" s="1"/>
      <c r="D22" s="439"/>
      <c r="E22" s="440"/>
      <c r="F22" s="1049" t="s">
        <v>31</v>
      </c>
      <c r="G22" s="1050"/>
      <c r="H22" s="1050"/>
      <c r="I22" s="1051"/>
      <c r="J22" s="482">
        <v>400</v>
      </c>
      <c r="K22" s="440"/>
      <c r="L22" s="439"/>
      <c r="M22" s="439"/>
      <c r="N22" s="439"/>
      <c r="P22" s="1"/>
      <c r="Q22" s="1"/>
      <c r="R22" s="1115" t="s">
        <v>35</v>
      </c>
      <c r="S22" s="1115"/>
      <c r="T22" s="1115"/>
      <c r="U22" s="1113"/>
      <c r="V22" s="47">
        <v>35.1</v>
      </c>
      <c r="W22" s="1"/>
      <c r="X22" s="1"/>
      <c r="Y22" s="1"/>
    </row>
    <row r="23" spans="3:25" ht="17.25" thickTop="1" thickBot="1" x14ac:dyDescent="0.25">
      <c r="C23" s="1"/>
      <c r="D23" s="439"/>
      <c r="E23" s="440"/>
      <c r="F23" s="1049" t="s">
        <v>35</v>
      </c>
      <c r="G23" s="1050"/>
      <c r="H23" s="1050"/>
      <c r="I23" s="1051"/>
      <c r="J23" s="482">
        <v>35.1</v>
      </c>
      <c r="K23" s="440"/>
      <c r="L23" s="439"/>
      <c r="M23" s="439"/>
      <c r="N23" s="439"/>
      <c r="P23" s="1"/>
      <c r="Q23" s="1"/>
      <c r="R23" s="1113" t="s">
        <v>36</v>
      </c>
      <c r="S23" s="1114"/>
      <c r="T23" s="1114"/>
      <c r="U23" s="1114"/>
      <c r="V23" s="47">
        <v>0.4</v>
      </c>
      <c r="W23" s="1"/>
      <c r="X23" s="1"/>
      <c r="Y23" s="1"/>
    </row>
    <row r="24" spans="3:25" ht="17.25" thickTop="1" thickBot="1" x14ac:dyDescent="0.25">
      <c r="C24" s="1"/>
      <c r="D24" s="439"/>
      <c r="E24" s="440"/>
      <c r="F24" s="1049" t="s">
        <v>36</v>
      </c>
      <c r="G24" s="1050"/>
      <c r="H24" s="1050"/>
      <c r="I24" s="1051"/>
      <c r="J24" s="482">
        <v>0.4</v>
      </c>
      <c r="K24" s="440"/>
      <c r="L24" s="439"/>
      <c r="M24" s="439"/>
      <c r="N24" s="439"/>
      <c r="P24" s="1"/>
      <c r="Q24" s="1"/>
      <c r="R24" s="1113" t="s">
        <v>72</v>
      </c>
      <c r="S24" s="1114"/>
      <c r="T24" s="1114"/>
      <c r="U24" s="1114"/>
      <c r="V24" s="47">
        <v>8</v>
      </c>
      <c r="W24" s="1"/>
      <c r="X24" s="1"/>
      <c r="Y24" s="1"/>
    </row>
    <row r="25" spans="3:25" ht="17.25" thickTop="1" thickBot="1" x14ac:dyDescent="0.25">
      <c r="C25" s="1"/>
      <c r="D25" s="439"/>
      <c r="E25" s="440"/>
      <c r="F25" s="1049" t="s">
        <v>72</v>
      </c>
      <c r="G25" s="1050"/>
      <c r="H25" s="1050"/>
      <c r="I25" s="1051"/>
      <c r="J25" s="482">
        <v>8</v>
      </c>
      <c r="K25" s="440"/>
      <c r="L25" s="439"/>
      <c r="M25" s="439"/>
      <c r="N25" s="439"/>
      <c r="P25" s="1"/>
      <c r="Q25" s="1"/>
      <c r="R25" s="1115" t="s">
        <v>73</v>
      </c>
      <c r="S25" s="1115"/>
      <c r="T25" s="1115"/>
      <c r="U25" s="1113"/>
      <c r="V25" s="47">
        <v>34.799999999999997</v>
      </c>
      <c r="W25" s="1"/>
      <c r="X25" s="1"/>
      <c r="Y25" s="1"/>
    </row>
    <row r="26" spans="3:25" ht="17.25" thickTop="1" thickBot="1" x14ac:dyDescent="0.25">
      <c r="C26" s="1"/>
      <c r="D26" s="439"/>
      <c r="E26" s="440"/>
      <c r="F26" s="1049" t="s">
        <v>73</v>
      </c>
      <c r="G26" s="1050"/>
      <c r="H26" s="1050"/>
      <c r="I26" s="1051"/>
      <c r="J26" s="482">
        <v>34.799999999999997</v>
      </c>
      <c r="K26" s="440"/>
      <c r="L26" s="439"/>
      <c r="M26" s="439"/>
      <c r="N26" s="439"/>
      <c r="P26" s="1"/>
      <c r="Q26" s="1"/>
      <c r="R26" s="1116" t="s">
        <v>28</v>
      </c>
      <c r="S26" s="1116"/>
      <c r="T26" s="1116"/>
      <c r="U26" s="1116"/>
      <c r="V26" s="21">
        <f>V21*(1-V22/100)*(1-V23/100)*(1-V24/100)+(V20*V19/100)</f>
        <v>237.87667200000001</v>
      </c>
      <c r="W26" s="1"/>
      <c r="X26" s="1"/>
      <c r="Y26" s="1"/>
    </row>
    <row r="27" spans="3:25" ht="20.25" thickTop="1" thickBot="1" x14ac:dyDescent="0.35">
      <c r="C27" s="1"/>
      <c r="D27" s="439"/>
      <c r="E27" s="440"/>
      <c r="F27" s="1076" t="s">
        <v>28</v>
      </c>
      <c r="G27" s="1077"/>
      <c r="H27" s="1077"/>
      <c r="I27" s="1077"/>
      <c r="J27" s="510">
        <f>J22*(1-J23/100)*(1-J24/100)*(1-J25/100)+(J21*J20/100)</f>
        <v>243.74677200000002</v>
      </c>
      <c r="K27" s="440"/>
      <c r="L27" s="439"/>
      <c r="M27" s="439"/>
      <c r="N27" s="439"/>
      <c r="P27" s="1"/>
      <c r="Q27" s="1"/>
      <c r="R27" s="1117" t="s">
        <v>30</v>
      </c>
      <c r="S27" s="1117"/>
      <c r="T27" s="1117"/>
      <c r="U27" s="1117"/>
      <c r="V27" s="22">
        <f>V21/V26</f>
        <v>1.68154361937601</v>
      </c>
      <c r="W27" s="1"/>
      <c r="X27" s="1"/>
      <c r="Y27" s="1"/>
    </row>
    <row r="28" spans="3:25" ht="20.25" thickTop="1" thickBot="1" x14ac:dyDescent="0.25">
      <c r="C28" s="1"/>
      <c r="D28" s="439"/>
      <c r="E28" s="440"/>
      <c r="F28" s="1078" t="s">
        <v>30</v>
      </c>
      <c r="G28" s="1079"/>
      <c r="H28" s="1079"/>
      <c r="I28" s="1079"/>
      <c r="J28" s="511">
        <f>J22/J27</f>
        <v>1.6410473735422431</v>
      </c>
      <c r="K28" s="440"/>
      <c r="L28" s="439"/>
      <c r="M28" s="439"/>
      <c r="N28" s="439"/>
      <c r="P28" s="1"/>
      <c r="Q28" s="1"/>
      <c r="R28" s="1120" t="s">
        <v>74</v>
      </c>
      <c r="S28" s="1121"/>
      <c r="T28" s="1121"/>
      <c r="U28" s="1121"/>
      <c r="V28" s="1122"/>
      <c r="W28" s="1"/>
      <c r="X28" s="1"/>
      <c r="Y28" s="1"/>
    </row>
    <row r="29" spans="3:25" ht="22.5" thickTop="1" thickBot="1" x14ac:dyDescent="0.4">
      <c r="C29" s="1"/>
      <c r="D29" s="439"/>
      <c r="E29" s="440"/>
      <c r="F29" s="1066" t="s">
        <v>174</v>
      </c>
      <c r="G29" s="1067"/>
      <c r="H29" s="1067"/>
      <c r="I29" s="1067"/>
      <c r="J29" s="1068"/>
      <c r="K29" s="440"/>
      <c r="L29" s="439"/>
      <c r="M29" s="439"/>
      <c r="N29" s="439"/>
      <c r="P29" s="1"/>
      <c r="Q29" s="1"/>
      <c r="R29" s="1113" t="s">
        <v>31</v>
      </c>
      <c r="S29" s="1114"/>
      <c r="T29" s="1114"/>
      <c r="U29" s="1114"/>
      <c r="V29" s="47">
        <v>350</v>
      </c>
      <c r="W29" s="1"/>
      <c r="X29" s="1"/>
      <c r="Y29" s="1"/>
    </row>
    <row r="30" spans="3:25" ht="20.25" thickTop="1" thickBot="1" x14ac:dyDescent="0.25">
      <c r="C30" s="1"/>
      <c r="D30" s="439"/>
      <c r="E30" s="440"/>
      <c r="F30" s="1063" t="s">
        <v>31</v>
      </c>
      <c r="G30" s="1064"/>
      <c r="H30" s="1064"/>
      <c r="I30" s="1065"/>
      <c r="J30" s="512">
        <v>400</v>
      </c>
      <c r="K30" s="440"/>
      <c r="L30" s="439"/>
      <c r="M30" s="439"/>
      <c r="N30" s="439"/>
      <c r="P30" s="1"/>
      <c r="Q30" s="1"/>
      <c r="R30" s="1115" t="s">
        <v>30</v>
      </c>
      <c r="S30" s="1115"/>
      <c r="T30" s="1115"/>
      <c r="U30" s="1113"/>
      <c r="V30" s="51">
        <v>1.68</v>
      </c>
      <c r="W30" s="1"/>
      <c r="X30" s="1"/>
      <c r="Y30" s="1"/>
    </row>
    <row r="31" spans="3:25" ht="20.25" thickTop="1" thickBot="1" x14ac:dyDescent="0.35">
      <c r="C31" s="1"/>
      <c r="D31" s="439"/>
      <c r="E31" s="440"/>
      <c r="F31" s="1071" t="s">
        <v>30</v>
      </c>
      <c r="G31" s="1072"/>
      <c r="H31" s="1072"/>
      <c r="I31" s="1073"/>
      <c r="J31" s="513">
        <v>1.641</v>
      </c>
      <c r="K31" s="440"/>
      <c r="L31" s="439"/>
      <c r="M31" s="439"/>
      <c r="N31" s="439"/>
      <c r="P31" s="1"/>
      <c r="Q31" s="1"/>
      <c r="R31" s="1104" t="s">
        <v>28</v>
      </c>
      <c r="S31" s="1105"/>
      <c r="T31" s="1105"/>
      <c r="U31" s="1106"/>
      <c r="V31" s="23">
        <f>V29/V30</f>
        <v>208.33333333333334</v>
      </c>
      <c r="W31" s="1"/>
      <c r="X31" s="1"/>
      <c r="Y31" s="1"/>
    </row>
    <row r="32" spans="3:25" ht="20.25" thickTop="1" thickBot="1" x14ac:dyDescent="0.35">
      <c r="C32" s="1"/>
      <c r="D32" s="439"/>
      <c r="E32" s="440"/>
      <c r="F32" s="1069" t="s">
        <v>28</v>
      </c>
      <c r="G32" s="1070"/>
      <c r="H32" s="1070"/>
      <c r="I32" s="1070"/>
      <c r="J32" s="504">
        <f>J30/J31</f>
        <v>243.75380865326019</v>
      </c>
      <c r="K32" s="440"/>
      <c r="L32" s="439"/>
      <c r="M32" s="439"/>
      <c r="N32" s="439"/>
      <c r="P32" s="1"/>
      <c r="Q32" s="1"/>
      <c r="R32" s="1107" t="s">
        <v>81</v>
      </c>
      <c r="S32" s="1108"/>
      <c r="T32" s="1109"/>
      <c r="U32" s="3" t="s">
        <v>80</v>
      </c>
      <c r="V32" s="16">
        <f>V31*V16</f>
        <v>15.811965811965814</v>
      </c>
      <c r="W32" s="1"/>
      <c r="X32" s="1"/>
      <c r="Y32" s="1"/>
    </row>
    <row r="33" spans="3:25" ht="20.25" thickTop="1" thickBot="1" x14ac:dyDescent="0.35">
      <c r="C33" s="1"/>
      <c r="D33" s="439"/>
      <c r="E33" s="440"/>
      <c r="F33" s="1055" t="s">
        <v>81</v>
      </c>
      <c r="G33" s="1056"/>
      <c r="H33" s="1056"/>
      <c r="I33" s="505" t="s">
        <v>173</v>
      </c>
      <c r="J33" s="506">
        <f>J32*J17</f>
        <v>46.04238607894915</v>
      </c>
      <c r="K33" s="440"/>
      <c r="L33" s="439"/>
      <c r="M33" s="439"/>
      <c r="N33" s="439"/>
      <c r="P33" s="1"/>
      <c r="Q33" s="1"/>
      <c r="R33" s="1110"/>
      <c r="S33" s="1111"/>
      <c r="T33" s="1112"/>
      <c r="U33" s="3" t="s">
        <v>79</v>
      </c>
      <c r="V33" s="16">
        <f>V32/V17</f>
        <v>18.386006758099786</v>
      </c>
      <c r="W33" s="1"/>
      <c r="X33" s="1"/>
      <c r="Y33" s="1"/>
    </row>
    <row r="34" spans="3:25" ht="20.25" thickTop="1" thickBot="1" x14ac:dyDescent="0.35">
      <c r="C34" s="1"/>
      <c r="D34" s="439"/>
      <c r="E34" s="440"/>
      <c r="F34" s="1057"/>
      <c r="G34" s="1058"/>
      <c r="H34" s="1058"/>
      <c r="I34" s="507" t="s">
        <v>79</v>
      </c>
      <c r="J34" s="508">
        <f>J33/J18</f>
        <v>53.537658231336223</v>
      </c>
      <c r="K34" s="440"/>
      <c r="L34" s="439"/>
      <c r="M34" s="439"/>
      <c r="N34" s="439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ht="13.5" thickTop="1" x14ac:dyDescent="0.2">
      <c r="C35" s="1"/>
      <c r="D35" s="439"/>
      <c r="E35" s="440"/>
      <c r="F35" s="440"/>
      <c r="G35" s="440"/>
      <c r="H35" s="440"/>
      <c r="I35" s="440"/>
      <c r="J35" s="440"/>
      <c r="K35" s="440"/>
      <c r="L35" s="439"/>
      <c r="M35" s="439"/>
      <c r="N35" s="439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3:25" x14ac:dyDescent="0.2">
      <c r="C36" s="1"/>
      <c r="D36" s="439"/>
      <c r="E36" s="440"/>
      <c r="F36" s="440"/>
      <c r="G36" s="440"/>
      <c r="H36" s="440"/>
      <c r="I36" s="440"/>
      <c r="J36" s="440"/>
      <c r="K36" s="440"/>
      <c r="L36" s="439"/>
      <c r="M36" s="439"/>
      <c r="N36" s="439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3:25" x14ac:dyDescent="0.2">
      <c r="C37" s="1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39"/>
    </row>
    <row r="38" spans="3:25" x14ac:dyDescent="0.2">
      <c r="C38" s="1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39"/>
    </row>
    <row r="39" spans="3:25" x14ac:dyDescent="0.2">
      <c r="C39" s="1"/>
      <c r="D39" s="439"/>
      <c r="E39" s="439"/>
      <c r="F39" s="439"/>
      <c r="G39" s="439"/>
      <c r="H39" s="439"/>
      <c r="I39" s="439"/>
      <c r="J39" s="439"/>
      <c r="K39" s="439"/>
      <c r="L39" s="439"/>
      <c r="M39" s="439"/>
      <c r="N39" s="439"/>
    </row>
    <row r="40" spans="3:25" x14ac:dyDescent="0.2"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</row>
  </sheetData>
  <mergeCells count="62">
    <mergeCell ref="P2:P3"/>
    <mergeCell ref="Q2:R3"/>
    <mergeCell ref="R28:V28"/>
    <mergeCell ref="R29:U29"/>
    <mergeCell ref="R30:U30"/>
    <mergeCell ref="R18:U18"/>
    <mergeCell ref="R19:U19"/>
    <mergeCell ref="R20:U20"/>
    <mergeCell ref="R21:U21"/>
    <mergeCell ref="R22:U22"/>
    <mergeCell ref="U13:V13"/>
    <mergeCell ref="U14:V14"/>
    <mergeCell ref="R15:U15"/>
    <mergeCell ref="R16:U16"/>
    <mergeCell ref="R17:S17"/>
    <mergeCell ref="R8:U8"/>
    <mergeCell ref="R31:U31"/>
    <mergeCell ref="R32:T33"/>
    <mergeCell ref="R23:U23"/>
    <mergeCell ref="R24:U24"/>
    <mergeCell ref="R25:U25"/>
    <mergeCell ref="R26:U26"/>
    <mergeCell ref="R27:U27"/>
    <mergeCell ref="R9:S9"/>
    <mergeCell ref="U10:V10"/>
    <mergeCell ref="U11:V11"/>
    <mergeCell ref="R12:S12"/>
    <mergeCell ref="R4:V4"/>
    <mergeCell ref="R5:S5"/>
    <mergeCell ref="U5:V5"/>
    <mergeCell ref="R6:S6"/>
    <mergeCell ref="R7:S7"/>
    <mergeCell ref="F33:H34"/>
    <mergeCell ref="F17:I17"/>
    <mergeCell ref="F7:G7"/>
    <mergeCell ref="F30:I30"/>
    <mergeCell ref="F29:J29"/>
    <mergeCell ref="F32:I32"/>
    <mergeCell ref="F31:I31"/>
    <mergeCell ref="I12:J12"/>
    <mergeCell ref="F26:I26"/>
    <mergeCell ref="F27:I27"/>
    <mergeCell ref="F28:I28"/>
    <mergeCell ref="F23:I23"/>
    <mergeCell ref="F20:I20"/>
    <mergeCell ref="F21:I21"/>
    <mergeCell ref="F24:I24"/>
    <mergeCell ref="F25:I25"/>
    <mergeCell ref="F19:I19"/>
    <mergeCell ref="F22:I22"/>
    <mergeCell ref="F18:G18"/>
    <mergeCell ref="I14:J14"/>
    <mergeCell ref="I15:J15"/>
    <mergeCell ref="F4:J5"/>
    <mergeCell ref="F13:G13"/>
    <mergeCell ref="F16:I16"/>
    <mergeCell ref="F6:G6"/>
    <mergeCell ref="I6:J6"/>
    <mergeCell ref="F10:G10"/>
    <mergeCell ref="I11:J11"/>
    <mergeCell ref="F8:G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 MATERIALS (LSF &amp; AM)</vt:lpstr>
      <vt:lpstr>RECIPE( LSF AND AM)</vt:lpstr>
      <vt:lpstr>3 MATERIALS(LSF &amp; SM)</vt:lpstr>
      <vt:lpstr>RECIPE( LSF AND SM)</vt:lpstr>
      <vt:lpstr>4  MATERIALS (LSF,SM &amp; AM)</vt:lpstr>
      <vt:lpstr>RECIPE(LSF,SM &amp;AM)</vt:lpstr>
      <vt:lpstr>Fuel&amp; Clinker Factor</vt:lpstr>
    </vt:vector>
  </TitlesOfParts>
  <Company>Cement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tkrapkat</dc:creator>
  <cp:lastModifiedBy>Raven Klein</cp:lastModifiedBy>
  <dcterms:created xsi:type="dcterms:W3CDTF">2014-03-19T23:00:19Z</dcterms:created>
  <dcterms:modified xsi:type="dcterms:W3CDTF">2025-05-19T07:36:11Z</dcterms:modified>
</cp:coreProperties>
</file>