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High" sheetId="1" r:id="rId4"/>
    <sheet state="visible" name="Analysis_Regular" sheetId="2" r:id="rId5"/>
  </sheets>
  <definedNames/>
  <calcPr/>
</workbook>
</file>

<file path=xl/sharedStrings.xml><?xml version="1.0" encoding="utf-8"?>
<sst xmlns="http://schemas.openxmlformats.org/spreadsheetml/2006/main" count="290" uniqueCount="111">
  <si>
    <t>Transit Acessibility</t>
  </si>
  <si>
    <t>White Cells are Filled Automatic</t>
  </si>
  <si>
    <t>Variables</t>
  </si>
  <si>
    <t>Land-Use Classes</t>
  </si>
  <si>
    <t>Land-Use CO2 kg/m2 Estimation</t>
  </si>
  <si>
    <t>Transit Urban Coverage</t>
  </si>
  <si>
    <t>Transit Urban Pop Coverage</t>
  </si>
  <si>
    <t>Population Served</t>
  </si>
  <si>
    <t>Population Served (%)</t>
  </si>
  <si>
    <t>Pop Served High Fabric (%)</t>
  </si>
  <si>
    <t>Pop Served Medium Fabric (%)</t>
  </si>
  <si>
    <t>Pop Served Low Fabric (%)</t>
  </si>
  <si>
    <t>Car Trips Reduced Daily</t>
  </si>
  <si>
    <t>CO2 Emission (kg) Reduction Daily</t>
  </si>
  <si>
    <t>Input by literature data</t>
  </si>
  <si>
    <t>High-Urban Fabric</t>
  </si>
  <si>
    <t>Medium-Urban Fabric</t>
  </si>
  <si>
    <t>Low-Urban Fabric</t>
  </si>
  <si>
    <t>Road &amp; Transportation Infrastructure</t>
  </si>
  <si>
    <t>Commercial</t>
  </si>
  <si>
    <t>Green Areas</t>
  </si>
  <si>
    <t>Green Rooftop</t>
  </si>
  <si>
    <t>Baseline</t>
  </si>
  <si>
    <t>CO2 (kg) Reduced Yearly</t>
  </si>
  <si>
    <t>Input by GIS data</t>
  </si>
  <si>
    <t>Urban Pixels TOD 1000m</t>
  </si>
  <si>
    <t xml:space="preserve">Population </t>
  </si>
  <si>
    <t>Population allowed to drive (%)</t>
  </si>
  <si>
    <t>Total Urban Pixels</t>
  </si>
  <si>
    <t>Daily Avg Rides per person</t>
  </si>
  <si>
    <t>Reduction Auto (%)</t>
  </si>
  <si>
    <t>CO2 Car emission kg</t>
  </si>
  <si>
    <t>Population by ha 2018</t>
  </si>
  <si>
    <t>Total</t>
  </si>
  <si>
    <t>IB</t>
  </si>
  <si>
    <t>U.P. Baseline</t>
  </si>
  <si>
    <t>Retro</t>
  </si>
  <si>
    <t>U.P. IB</t>
  </si>
  <si>
    <t>BAL</t>
  </si>
  <si>
    <t>U.P. Retro</t>
  </si>
  <si>
    <t>FT</t>
  </si>
  <si>
    <t>U.P. BAL</t>
  </si>
  <si>
    <t>U.P. FT</t>
  </si>
  <si>
    <t>Housing Capacity</t>
  </si>
  <si>
    <t>Baseline Pop</t>
  </si>
  <si>
    <t>Below it's the urban pixels for the TOD Area and the infrastructure</t>
  </si>
  <si>
    <t>Appartment Pixels</t>
  </si>
  <si>
    <t>House Pixels</t>
  </si>
  <si>
    <t>Appartment Area sqm</t>
  </si>
  <si>
    <t>House Area sqm</t>
  </si>
  <si>
    <t>Total Living Area sqm</t>
  </si>
  <si>
    <t>People capacity (PC)</t>
  </si>
  <si>
    <t>Living Space per person Available m^2</t>
  </si>
  <si>
    <t>Appartment Class 1</t>
  </si>
  <si>
    <t>Appartment Class 2</t>
  </si>
  <si>
    <t>Appartment Class 3</t>
  </si>
  <si>
    <t>House Class 1</t>
  </si>
  <si>
    <t>House Class 2</t>
  </si>
  <si>
    <t>House Class 3</t>
  </si>
  <si>
    <t>Comments</t>
  </si>
  <si>
    <t>IB Pop</t>
  </si>
  <si>
    <t>TOD IB Wrong Data</t>
  </si>
  <si>
    <t>Baseline Difference Living Space</t>
  </si>
  <si>
    <t>Baseline Difference PC</t>
  </si>
  <si>
    <t>Percentage within the class</t>
  </si>
  <si>
    <t>From Zonal Histogram - Relation between Urban Fabric classes and the type of Housing</t>
  </si>
  <si>
    <t>Retro Pop</t>
  </si>
  <si>
    <t>Floor Levels</t>
  </si>
  <si>
    <t>BAL Pop</t>
  </si>
  <si>
    <t>Living Space per person m^2</t>
  </si>
  <si>
    <t>FT Pop</t>
  </si>
  <si>
    <t>U.P. TOD BASE</t>
  </si>
  <si>
    <t>Carbon Emissions</t>
  </si>
  <si>
    <t>U.P. TOD IB</t>
  </si>
  <si>
    <t>High-Urban Fabric CO2 Kg</t>
  </si>
  <si>
    <t>Medium-Urban CO2 kg</t>
  </si>
  <si>
    <t>Low-Urban CO2 kg</t>
  </si>
  <si>
    <t>Commercial &amp; Industrial CO2 kg</t>
  </si>
  <si>
    <t>Green areas CO2 kg</t>
  </si>
  <si>
    <t>U.P. TOD RETRO</t>
  </si>
  <si>
    <t>Urban Carbon Emissions</t>
  </si>
  <si>
    <t>U.P. TOD BAL</t>
  </si>
  <si>
    <t>Total Urban CO2 kg</t>
  </si>
  <si>
    <t>Residential CO2 kg</t>
  </si>
  <si>
    <t>Carbon kg Per Capita</t>
  </si>
  <si>
    <t>Carbon kg Class 1</t>
  </si>
  <si>
    <t>Carbon kg Class 2</t>
  </si>
  <si>
    <t>Carbon kg Class 3</t>
  </si>
  <si>
    <t>U.P. TOD FT</t>
  </si>
  <si>
    <t>Baseline Diff CO2 per capita (kg)</t>
  </si>
  <si>
    <t>TOD Baseline Pop</t>
  </si>
  <si>
    <t>TOD IB Pop</t>
  </si>
  <si>
    <t>TOD Retro Pop</t>
  </si>
  <si>
    <t>TOD BAL Pop</t>
  </si>
  <si>
    <t>Scenario Emissions</t>
  </si>
  <si>
    <t>TOD FT Pop</t>
  </si>
  <si>
    <t>Roof Area Available m2</t>
  </si>
  <si>
    <t>Surrounding Building Area Available</t>
  </si>
  <si>
    <t>Carbon Emissions Possible to reduce</t>
  </si>
  <si>
    <t>Total Urban Minus TOD kg</t>
  </si>
  <si>
    <t>Urban TOD Reduced</t>
  </si>
  <si>
    <t>Total Urban Minus Green Roofs kg</t>
  </si>
  <si>
    <t>Urban Green Roofs Reduced</t>
  </si>
  <si>
    <t>Total Urban Minus Green Around Buildings</t>
  </si>
  <si>
    <t>Surrounding Building Reduced</t>
  </si>
  <si>
    <t>Total Reduced CO2 kg</t>
  </si>
  <si>
    <t>Total CO2 % kg Reduced</t>
  </si>
  <si>
    <t>TOD CO2 % kg Reduced</t>
  </si>
  <si>
    <t>Roof Area Available %</t>
  </si>
  <si>
    <t>Surrounding Building Area Available %</t>
  </si>
  <si>
    <t>From Zonal Histogram - Relation between Urban Fabric classes and the type of Housing (From Real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</si>
</sst>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0.00E+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i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</border>
    <border>
      <left style="dotted">
        <color rgb="FF000000"/>
      </left>
      <right style="medium">
        <color rgb="FF000000"/>
      </right>
    </border>
    <border>
      <left style="dotted">
        <color rgb="FF000000"/>
      </left>
      <right style="medium">
        <color rgb="FF000000"/>
      </right>
      <bottom style="medium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" fillId="3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5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vertical="center"/>
    </xf>
    <xf borderId="5" fillId="0" fontId="1" numFmtId="10" xfId="0" applyAlignment="1" applyBorder="1" applyFont="1" applyNumberFormat="1">
      <alignment horizontal="center" vertical="center"/>
    </xf>
    <xf borderId="5" fillId="0" fontId="1" numFmtId="11" xfId="0" applyAlignment="1" applyBorder="1" applyFont="1" applyNumberFormat="1">
      <alignment horizontal="center" vertical="center"/>
    </xf>
    <xf borderId="1" fillId="0" fontId="1" numFmtId="10" xfId="0" applyAlignment="1" applyBorder="1" applyFont="1" applyNumberFormat="1">
      <alignment horizontal="center" vertical="center"/>
    </xf>
    <xf borderId="3" fillId="0" fontId="1" numFmtId="1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7" fillId="2" fontId="4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5" fillId="3" fontId="2" numFmtId="1" xfId="0" applyAlignment="1" applyBorder="1" applyFont="1" applyNumberFormat="1">
      <alignment horizontal="center" readingOrder="0" shrinkToFit="0" vertical="center" wrapText="1"/>
    </xf>
    <xf borderId="5" fillId="5" fontId="1" numFmtId="1" xfId="0" applyAlignment="1" applyBorder="1" applyFont="1" applyNumberFormat="1">
      <alignment horizontal="center" readingOrder="0" vertical="center"/>
    </xf>
    <xf borderId="1" fillId="5" fontId="1" numFmtId="1" xfId="0" applyAlignment="1" applyBorder="1" applyFont="1" applyNumberFormat="1">
      <alignment horizontal="center" readingOrder="0" vertical="center"/>
    </xf>
    <xf borderId="7" fillId="3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5" fillId="4" fontId="1" numFmtId="0" xfId="0" applyAlignment="1" applyBorder="1" applyFon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5" fillId="6" fontId="1" numFmtId="10" xfId="0" applyAlignment="1" applyBorder="1" applyFill="1" applyFont="1" applyNumberFormat="1">
      <alignment horizontal="center" vertical="center"/>
    </xf>
    <xf borderId="7" fillId="0" fontId="1" numFmtId="164" xfId="0" applyAlignment="1" applyBorder="1" applyFont="1" applyNumberFormat="1">
      <alignment horizontal="center" vertical="center"/>
    </xf>
    <xf borderId="5" fillId="3" fontId="2" numFmtId="0" xfId="0" applyAlignment="1" applyBorder="1" applyFont="1">
      <alignment horizontal="center" readingOrder="0" vertical="center"/>
    </xf>
    <xf borderId="5" fillId="0" fontId="1" numFmtId="1" xfId="0" applyAlignment="1" applyBorder="1" applyFont="1" applyNumberFormat="1">
      <alignment horizontal="center" readingOrder="0" vertical="center"/>
    </xf>
    <xf borderId="6" fillId="4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6" fillId="4" fontId="1" numFmtId="9" xfId="0" applyAlignment="1" applyBorder="1" applyFont="1" applyNumberFormat="1">
      <alignment horizontal="center" readingOrder="0" vertical="center"/>
    </xf>
    <xf borderId="5" fillId="3" fontId="2" numFmtId="1" xfId="0" applyAlignment="1" applyBorder="1" applyFont="1" applyNumberFormat="1">
      <alignment horizontal="center" readingOrder="0" vertical="center"/>
    </xf>
    <xf borderId="5" fillId="5" fontId="5" numFmtId="1" xfId="0" applyAlignment="1" applyBorder="1" applyFont="1" applyNumberFormat="1">
      <alignment horizontal="center" shrinkToFit="0" vertical="center" wrapText="1"/>
    </xf>
    <xf borderId="1" fillId="5" fontId="5" numFmtId="1" xfId="0" applyAlignment="1" applyBorder="1" applyFont="1" applyNumberFormat="1">
      <alignment horizontal="center" shrinkToFit="0" vertical="center" wrapText="1"/>
    </xf>
    <xf borderId="7" fillId="0" fontId="1" numFmtId="1" xfId="0" applyAlignment="1" applyBorder="1" applyFont="1" applyNumberFormat="1">
      <alignment horizontal="center" vertical="center"/>
    </xf>
    <xf borderId="5" fillId="5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5" fillId="0" fontId="1" numFmtId="1" xfId="0" applyAlignment="1" applyBorder="1" applyFont="1" applyNumberFormat="1">
      <alignment horizontal="center" vertical="center"/>
    </xf>
    <xf borderId="5" fillId="5" fontId="5" numFmtId="1" xfId="0" applyAlignment="1" applyBorder="1" applyFont="1" applyNumberFormat="1">
      <alignment horizontal="center" readingOrder="0" shrinkToFit="0" vertical="center" wrapText="1"/>
    </xf>
    <xf borderId="1" fillId="5" fontId="5" numFmtId="1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8" fillId="0" fontId="3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5" fillId="7" fontId="1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1" xfId="0" applyAlignment="1" applyBorder="1" applyFont="1" applyNumberFormat="1">
      <alignment horizontal="center" shrinkToFit="0" vertical="center" wrapText="1"/>
    </xf>
    <xf borderId="5" fillId="0" fontId="1" numFmtId="11" xfId="0" applyAlignment="1" applyBorder="1" applyFont="1" applyNumberFormat="1">
      <alignment horizontal="center" shrinkToFit="0" vertical="center" wrapText="1"/>
    </xf>
    <xf borderId="1" fillId="0" fontId="1" numFmtId="4" xfId="0" applyAlignment="1" applyBorder="1" applyFont="1" applyNumberFormat="1">
      <alignment horizontal="center" vertical="center"/>
    </xf>
    <xf borderId="7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5" fillId="5" fontId="5" numFmtId="10" xfId="0" applyAlignment="1" applyBorder="1" applyFont="1" applyNumberFormat="1">
      <alignment horizontal="center" readingOrder="0" vertical="center"/>
    </xf>
    <xf borderId="5" fillId="5" fontId="1" numFmtId="10" xfId="0" applyAlignment="1" applyBorder="1" applyFont="1" applyNumberFormat="1">
      <alignment horizontal="center" readingOrder="0" vertical="center"/>
    </xf>
    <xf borderId="1" fillId="5" fontId="1" numFmtId="10" xfId="0" applyAlignment="1" applyBorder="1" applyFont="1" applyNumberFormat="1">
      <alignment horizontal="center" readingOrder="0" vertical="center"/>
    </xf>
    <xf borderId="13" fillId="0" fontId="1" numFmtId="4" xfId="0" applyAlignment="1" applyBorder="1" applyFont="1" applyNumberFormat="1">
      <alignment horizontal="center" readingOrder="0" shrinkToFit="0" vertical="center" wrapText="1"/>
    </xf>
    <xf borderId="7" fillId="0" fontId="1" numFmtId="4" xfId="0" applyAlignment="1" applyBorder="1" applyFont="1" applyNumberForma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15" fillId="0" fontId="3" numFmtId="0" xfId="0" applyBorder="1" applyFont="1"/>
    <xf borderId="7" fillId="0" fontId="1" numFmtId="0" xfId="0" applyAlignment="1" applyBorder="1" applyFont="1">
      <alignment horizontal="center" vertical="center"/>
    </xf>
    <xf borderId="0" fillId="0" fontId="1" numFmtId="11" xfId="0" applyFont="1" applyNumberFormat="1"/>
    <xf borderId="0" fillId="0" fontId="1" numFmtId="4" xfId="0" applyFont="1" applyNumberFormat="1"/>
    <xf borderId="5" fillId="0" fontId="1" numFmtId="4" xfId="0" applyAlignment="1" applyBorder="1" applyFont="1" applyNumberFormat="1">
      <alignment horizontal="center" vertical="center"/>
    </xf>
    <xf borderId="16" fillId="0" fontId="1" numFmtId="1" xfId="0" applyAlignment="1" applyBorder="1" applyFont="1" applyNumberFormat="1">
      <alignment horizontal="center" vertical="center"/>
    </xf>
    <xf borderId="17" fillId="5" fontId="1" numFmtId="0" xfId="0" applyAlignment="1" applyBorder="1" applyFont="1">
      <alignment horizontal="center" readingOrder="0" vertical="center"/>
    </xf>
    <xf borderId="0" fillId="0" fontId="1" numFmtId="10" xfId="0" applyAlignment="1" applyFont="1" applyNumberFormat="1">
      <alignment horizontal="center" vertical="center"/>
    </xf>
    <xf borderId="16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1" fillId="0" fontId="1" numFmtId="11" xfId="0" applyAlignment="1" applyBorder="1" applyFont="1" applyNumberFormat="1">
      <alignment horizontal="center" vertical="center"/>
    </xf>
    <xf borderId="16" fillId="0" fontId="1" numFmtId="11" xfId="0" applyAlignment="1" applyBorder="1" applyFont="1" applyNumberFormat="1">
      <alignment horizontal="center" shrinkToFit="0" vertical="center" wrapText="1"/>
    </xf>
    <xf borderId="5" fillId="4" fontId="1" numFmtId="10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7" width="12.63"/>
    <col customWidth="1" min="24" max="24" width="15.25"/>
  </cols>
  <sheetData>
    <row r="1" ht="37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5"/>
      <c r="L1" s="5"/>
      <c r="M1" s="6" t="s">
        <v>1</v>
      </c>
      <c r="N1" s="5"/>
      <c r="P1" s="7" t="s">
        <v>2</v>
      </c>
      <c r="Q1" s="3"/>
      <c r="R1" s="3"/>
      <c r="S1" s="3"/>
      <c r="T1" s="3"/>
      <c r="U1" s="3"/>
      <c r="V1" s="4"/>
      <c r="W1" s="8"/>
      <c r="Y1" s="9" t="s">
        <v>3</v>
      </c>
      <c r="Z1" s="3"/>
      <c r="AA1" s="3"/>
      <c r="AB1" s="3"/>
      <c r="AC1" s="4"/>
      <c r="AD1" s="10"/>
      <c r="AF1" s="10"/>
      <c r="AG1" s="9" t="s">
        <v>4</v>
      </c>
      <c r="AH1" s="3"/>
      <c r="AI1" s="4"/>
    </row>
    <row r="2" ht="37.5" customHeight="1">
      <c r="A2" s="11"/>
      <c r="B2" s="12" t="s">
        <v>5</v>
      </c>
      <c r="C2" s="12" t="s">
        <v>6</v>
      </c>
      <c r="D2" s="12" t="s">
        <v>7</v>
      </c>
      <c r="E2" s="12" t="s">
        <v>8</v>
      </c>
      <c r="F2" s="13" t="s">
        <v>9</v>
      </c>
      <c r="G2" s="13" t="s">
        <v>10</v>
      </c>
      <c r="H2" s="13" t="s">
        <v>11</v>
      </c>
      <c r="I2" s="12" t="s">
        <v>12</v>
      </c>
      <c r="J2" s="12" t="s">
        <v>13</v>
      </c>
      <c r="K2" s="1"/>
      <c r="L2" s="1"/>
      <c r="M2" s="14" t="s">
        <v>14</v>
      </c>
      <c r="N2" s="1"/>
      <c r="P2" s="9" t="s">
        <v>0</v>
      </c>
      <c r="Q2" s="3"/>
      <c r="R2" s="3"/>
      <c r="S2" s="3"/>
      <c r="T2" s="3"/>
      <c r="U2" s="3"/>
      <c r="V2" s="4"/>
      <c r="W2" s="8"/>
      <c r="Y2" s="15" t="s">
        <v>15</v>
      </c>
      <c r="Z2" s="15" t="s">
        <v>16</v>
      </c>
      <c r="AA2" s="15" t="s">
        <v>17</v>
      </c>
      <c r="AC2" s="15" t="s">
        <v>18</v>
      </c>
      <c r="AD2" s="15" t="s">
        <v>19</v>
      </c>
      <c r="AE2" s="15" t="s">
        <v>20</v>
      </c>
      <c r="AF2" s="16"/>
      <c r="AG2" s="15" t="s">
        <v>15</v>
      </c>
      <c r="AH2" s="15" t="s">
        <v>16</v>
      </c>
      <c r="AI2" s="15" t="s">
        <v>17</v>
      </c>
      <c r="AJ2" s="15" t="s">
        <v>19</v>
      </c>
      <c r="AK2" s="7" t="s">
        <v>20</v>
      </c>
      <c r="AL2" s="15" t="s">
        <v>21</v>
      </c>
    </row>
    <row r="3" ht="37.5" customHeight="1">
      <c r="A3" s="17" t="s">
        <v>22</v>
      </c>
      <c r="B3" s="18">
        <f t="shared" ref="B3:B7" si="2">(P4)/(S4)</f>
        <v>0.2124865047</v>
      </c>
      <c r="C3" s="18">
        <f t="shared" ref="C3:C7" si="3">(P4)/AB4</f>
        <v>0.7881338028</v>
      </c>
      <c r="D3" s="19">
        <f t="shared" ref="D3:D7" si="4">AB19</f>
        <v>2141387.21</v>
      </c>
      <c r="E3" s="20">
        <f t="shared" ref="E3:E7" si="5">AB19/$Q4</f>
        <v>0.3051391953</v>
      </c>
      <c r="F3" s="18">
        <f t="shared" ref="F3:H3" si="1">Y19/Y9</f>
        <v>0.9878292132</v>
      </c>
      <c r="G3" s="18">
        <f t="shared" si="1"/>
        <v>0.2426506259</v>
      </c>
      <c r="H3" s="18">
        <f t="shared" si="1"/>
        <v>0.02211402729</v>
      </c>
      <c r="I3" s="21">
        <f t="shared" ref="I3:I7" si="7">(D3*$R$4)*$U$4*$T$4</f>
        <v>1573919.599</v>
      </c>
      <c r="J3" s="22">
        <f t="shared" ref="J3:J7" si="8">I3*$V$4</f>
        <v>5036542.718</v>
      </c>
      <c r="K3" s="23" t="s">
        <v>23</v>
      </c>
      <c r="L3" s="11"/>
      <c r="M3" s="24" t="s">
        <v>24</v>
      </c>
      <c r="N3" s="11"/>
      <c r="P3" s="15" t="s">
        <v>25</v>
      </c>
      <c r="Q3" s="15" t="s">
        <v>26</v>
      </c>
      <c r="R3" s="15" t="s">
        <v>27</v>
      </c>
      <c r="S3" s="15" t="s">
        <v>28</v>
      </c>
      <c r="T3" s="15" t="s">
        <v>29</v>
      </c>
      <c r="U3" s="15" t="s">
        <v>30</v>
      </c>
      <c r="V3" s="15" t="s">
        <v>31</v>
      </c>
      <c r="X3" s="25" t="s">
        <v>32</v>
      </c>
      <c r="Y3" s="26">
        <v>219.0</v>
      </c>
      <c r="Z3" s="26">
        <v>77.0</v>
      </c>
      <c r="AA3" s="27">
        <v>6.0</v>
      </c>
      <c r="AB3" s="28" t="s">
        <v>33</v>
      </c>
      <c r="AC3" s="29"/>
      <c r="AD3" s="3"/>
      <c r="AE3" s="4"/>
      <c r="AF3" s="30"/>
      <c r="AG3" s="31">
        <v>24.84</v>
      </c>
      <c r="AH3" s="31">
        <v>27.31</v>
      </c>
      <c r="AI3" s="31">
        <v>29.8</v>
      </c>
      <c r="AJ3" s="31">
        <v>45.31</v>
      </c>
      <c r="AK3" s="31">
        <v>-25.0</v>
      </c>
      <c r="AL3" s="32">
        <v>-7.0</v>
      </c>
    </row>
    <row r="4" ht="37.5" customHeight="1">
      <c r="A4" s="17" t="s">
        <v>34</v>
      </c>
      <c r="B4" s="18">
        <f t="shared" si="2"/>
        <v>0.2088004294</v>
      </c>
      <c r="C4" s="18">
        <f t="shared" si="3"/>
        <v>0.7584766063</v>
      </c>
      <c r="D4" s="19">
        <f t="shared" si="4"/>
        <v>2311801.52</v>
      </c>
      <c r="E4" s="20">
        <f t="shared" si="5"/>
        <v>0.321300232</v>
      </c>
      <c r="F4" s="33">
        <f t="shared" ref="F4:H4" si="6">Y20/Y10</f>
        <v>1</v>
      </c>
      <c r="G4" s="18">
        <f t="shared" si="6"/>
        <v>0.2543439206</v>
      </c>
      <c r="H4" s="18">
        <f t="shared" si="6"/>
        <v>0.0182444803</v>
      </c>
      <c r="I4" s="21">
        <f t="shared" si="7"/>
        <v>1699174.117</v>
      </c>
      <c r="J4" s="22">
        <f t="shared" si="8"/>
        <v>5437357.175</v>
      </c>
      <c r="K4" s="34">
        <f t="shared" ref="K4:K7" si="10">($J$3-J4)*365</f>
        <v>-146297276.8</v>
      </c>
      <c r="L4" s="11"/>
      <c r="M4" s="11"/>
      <c r="N4" s="11"/>
      <c r="O4" s="35" t="s">
        <v>22</v>
      </c>
      <c r="P4" s="36">
        <f t="shared" ref="P4:P8" si="11">AB14</f>
        <v>2525533</v>
      </c>
      <c r="Q4" s="19">
        <f t="shared" ref="Q4:Q8" si="12">AB9</f>
        <v>7017738.93</v>
      </c>
      <c r="R4" s="37">
        <v>0.7</v>
      </c>
      <c r="S4" s="38">
        <f t="shared" ref="S4:S8" si="13">12465477-AC4</f>
        <v>11885616</v>
      </c>
      <c r="T4" s="37">
        <v>3.0</v>
      </c>
      <c r="U4" s="39">
        <v>0.35</v>
      </c>
      <c r="V4" s="37">
        <v>3.2</v>
      </c>
      <c r="X4" s="40" t="s">
        <v>35</v>
      </c>
      <c r="Y4" s="41">
        <v>606370.0</v>
      </c>
      <c r="Z4" s="41">
        <v>1457166.0</v>
      </c>
      <c r="AA4" s="42">
        <v>1140911.0</v>
      </c>
      <c r="AB4" s="43">
        <f t="shared" ref="AB4:AB23" si="14">SUM(Y4:AA4)</f>
        <v>3204447</v>
      </c>
      <c r="AC4" s="44">
        <v>579861.0</v>
      </c>
      <c r="AD4" s="44">
        <v>1472419.0</v>
      </c>
      <c r="AE4" s="45">
        <v>371766.0</v>
      </c>
    </row>
    <row r="5" ht="37.5" customHeight="1">
      <c r="A5" s="17" t="s">
        <v>36</v>
      </c>
      <c r="B5" s="18">
        <f t="shared" si="2"/>
        <v>0.2230367319</v>
      </c>
      <c r="C5" s="18">
        <f t="shared" si="3"/>
        <v>0.8600544727</v>
      </c>
      <c r="D5" s="19">
        <f t="shared" si="4"/>
        <v>2298937.53</v>
      </c>
      <c r="E5" s="20">
        <f t="shared" si="5"/>
        <v>0.3383968265</v>
      </c>
      <c r="F5" s="33">
        <f t="shared" ref="F5:H5" si="9">Y21/Y11</f>
        <v>0.9561652288</v>
      </c>
      <c r="G5" s="18">
        <f t="shared" si="9"/>
        <v>0.2503465276</v>
      </c>
      <c r="H5" s="18">
        <f t="shared" si="9"/>
        <v>0.02846508928</v>
      </c>
      <c r="I5" s="21">
        <f t="shared" si="7"/>
        <v>1689719.085</v>
      </c>
      <c r="J5" s="22">
        <f t="shared" si="8"/>
        <v>5407101.071</v>
      </c>
      <c r="K5" s="34">
        <f t="shared" si="10"/>
        <v>-135253798.7</v>
      </c>
      <c r="L5" s="11"/>
      <c r="M5" s="11"/>
      <c r="N5" s="11"/>
      <c r="O5" s="35" t="s">
        <v>34</v>
      </c>
      <c r="P5" s="36">
        <f t="shared" si="11"/>
        <v>2491940</v>
      </c>
      <c r="Q5" s="19">
        <f t="shared" si="12"/>
        <v>7195144.26</v>
      </c>
      <c r="R5" s="46"/>
      <c r="S5" s="38">
        <f t="shared" si="13"/>
        <v>11934554</v>
      </c>
      <c r="T5" s="46"/>
      <c r="U5" s="46"/>
      <c r="V5" s="46"/>
      <c r="X5" s="40" t="s">
        <v>37</v>
      </c>
      <c r="Y5" s="41">
        <v>648946.0</v>
      </c>
      <c r="Z5" s="41">
        <v>1518722.0</v>
      </c>
      <c r="AA5" s="42">
        <v>1117786.0</v>
      </c>
      <c r="AB5" s="43">
        <f t="shared" si="14"/>
        <v>3285454</v>
      </c>
      <c r="AC5" s="44">
        <v>530923.0</v>
      </c>
      <c r="AD5" s="44">
        <v>1612799.0</v>
      </c>
      <c r="AE5" s="45">
        <v>376907.0</v>
      </c>
    </row>
    <row r="6" ht="37.5" customHeight="1">
      <c r="A6" s="17" t="s">
        <v>38</v>
      </c>
      <c r="B6" s="18">
        <f t="shared" si="2"/>
        <v>0.2051487529</v>
      </c>
      <c r="C6" s="18">
        <f t="shared" si="3"/>
        <v>0.8065874073</v>
      </c>
      <c r="D6" s="19">
        <f t="shared" si="4"/>
        <v>2257934.89</v>
      </c>
      <c r="E6" s="20">
        <f t="shared" si="5"/>
        <v>0.3386292775</v>
      </c>
      <c r="F6" s="33">
        <f t="shared" ref="F6:H6" si="15">Y22/Y12</f>
        <v>0.9892328673</v>
      </c>
      <c r="G6" s="18">
        <f t="shared" si="15"/>
        <v>0.2516913778</v>
      </c>
      <c r="H6" s="18">
        <f t="shared" si="15"/>
        <v>0.0227456052</v>
      </c>
      <c r="I6" s="21">
        <f t="shared" si="7"/>
        <v>1659582.144</v>
      </c>
      <c r="J6" s="22">
        <f t="shared" si="8"/>
        <v>5310662.861</v>
      </c>
      <c r="K6" s="34">
        <f t="shared" si="10"/>
        <v>-100053852.3</v>
      </c>
      <c r="L6" s="11"/>
      <c r="M6" s="11"/>
      <c r="N6" s="11"/>
      <c r="O6" s="35" t="s">
        <v>36</v>
      </c>
      <c r="P6" s="36">
        <f t="shared" si="11"/>
        <v>2667981</v>
      </c>
      <c r="Q6" s="19">
        <f t="shared" si="12"/>
        <v>6793614.33</v>
      </c>
      <c r="R6" s="46"/>
      <c r="S6" s="38">
        <f t="shared" si="13"/>
        <v>11962070</v>
      </c>
      <c r="T6" s="46"/>
      <c r="U6" s="46"/>
      <c r="V6" s="46"/>
      <c r="X6" s="40" t="s">
        <v>39</v>
      </c>
      <c r="Y6" s="41">
        <v>670997.0</v>
      </c>
      <c r="Z6" s="41">
        <v>1527651.0</v>
      </c>
      <c r="AA6" s="42">
        <v>903459.0</v>
      </c>
      <c r="AB6" s="43">
        <f t="shared" si="14"/>
        <v>3102107</v>
      </c>
      <c r="AC6" s="44">
        <v>503407.0</v>
      </c>
      <c r="AD6" s="44">
        <v>1429452.0</v>
      </c>
      <c r="AE6" s="45">
        <v>404423.0</v>
      </c>
    </row>
    <row r="7" ht="37.5" customHeight="1">
      <c r="A7" s="17" t="s">
        <v>40</v>
      </c>
      <c r="B7" s="18">
        <f t="shared" si="2"/>
        <v>0</v>
      </c>
      <c r="C7" s="18" t="str">
        <f t="shared" si="3"/>
        <v>#DIV/0!</v>
      </c>
      <c r="D7" s="47">
        <f t="shared" si="4"/>
        <v>0</v>
      </c>
      <c r="E7" s="20" t="str">
        <f t="shared" si="5"/>
        <v>#DIV/0!</v>
      </c>
      <c r="F7" s="33" t="str">
        <f t="shared" ref="F7:H7" si="16">Y23/Y13</f>
        <v>#DIV/0!</v>
      </c>
      <c r="G7" s="18" t="str">
        <f t="shared" si="16"/>
        <v>#DIV/0!</v>
      </c>
      <c r="H7" s="18" t="str">
        <f t="shared" si="16"/>
        <v>#DIV/0!</v>
      </c>
      <c r="I7" s="21">
        <f t="shared" si="7"/>
        <v>0</v>
      </c>
      <c r="J7" s="22">
        <f t="shared" si="8"/>
        <v>0</v>
      </c>
      <c r="K7" s="34">
        <f t="shared" si="10"/>
        <v>1838338092</v>
      </c>
      <c r="O7" s="35" t="s">
        <v>38</v>
      </c>
      <c r="P7" s="36">
        <f t="shared" si="11"/>
        <v>2455807</v>
      </c>
      <c r="Q7" s="19">
        <f t="shared" si="12"/>
        <v>6667866.72</v>
      </c>
      <c r="R7" s="46"/>
      <c r="S7" s="38">
        <f t="shared" si="13"/>
        <v>11970860</v>
      </c>
      <c r="T7" s="46"/>
      <c r="U7" s="46"/>
      <c r="V7" s="46"/>
      <c r="X7" s="40" t="s">
        <v>41</v>
      </c>
      <c r="Y7" s="48">
        <v>636474.0</v>
      </c>
      <c r="Z7" s="48">
        <v>1513997.0</v>
      </c>
      <c r="AA7" s="49">
        <v>894217.0</v>
      </c>
      <c r="AB7" s="43">
        <f t="shared" si="14"/>
        <v>3044688</v>
      </c>
      <c r="AC7" s="44">
        <v>494617.0</v>
      </c>
      <c r="AD7" s="44">
        <v>1670218.0</v>
      </c>
      <c r="AE7" s="45">
        <v>413213.0</v>
      </c>
    </row>
    <row r="8" ht="37.5" customHeight="1">
      <c r="K8" s="50"/>
      <c r="O8" s="35" t="s">
        <v>40</v>
      </c>
      <c r="P8" s="36">
        <f t="shared" si="11"/>
        <v>0</v>
      </c>
      <c r="Q8" s="19">
        <f t="shared" si="12"/>
        <v>0</v>
      </c>
      <c r="R8" s="51"/>
      <c r="S8" s="38">
        <f t="shared" si="13"/>
        <v>12465477</v>
      </c>
      <c r="T8" s="51"/>
      <c r="U8" s="51"/>
      <c r="V8" s="51"/>
      <c r="X8" s="40" t="s">
        <v>42</v>
      </c>
      <c r="Y8" s="41"/>
      <c r="Z8" s="41"/>
      <c r="AA8" s="42"/>
      <c r="AB8" s="43">
        <f t="shared" si="14"/>
        <v>0</v>
      </c>
      <c r="AC8" s="44"/>
      <c r="AD8" s="44"/>
      <c r="AE8" s="45"/>
    </row>
    <row r="9" ht="37.5" customHeight="1">
      <c r="A9" s="50"/>
      <c r="B9" s="9" t="s">
        <v>43</v>
      </c>
      <c r="C9" s="3"/>
      <c r="D9" s="3"/>
      <c r="E9" s="3"/>
      <c r="F9" s="3"/>
      <c r="G9" s="3"/>
      <c r="H9" s="4"/>
      <c r="I9" s="10"/>
      <c r="J9" s="10"/>
      <c r="K9" s="10"/>
      <c r="O9" s="11"/>
      <c r="P9" s="9" t="s">
        <v>43</v>
      </c>
      <c r="Q9" s="3"/>
      <c r="R9" s="3"/>
      <c r="S9" s="3"/>
      <c r="T9" s="3"/>
      <c r="U9" s="4"/>
      <c r="V9" s="10"/>
      <c r="X9" s="40" t="s">
        <v>44</v>
      </c>
      <c r="Y9" s="47">
        <f t="shared" ref="Y9:AA9" si="17">$Y$3*Y4*0.01</f>
        <v>1327950.3</v>
      </c>
      <c r="Z9" s="47">
        <f t="shared" si="17"/>
        <v>3191193.54</v>
      </c>
      <c r="AA9" s="22">
        <f t="shared" si="17"/>
        <v>2498595.09</v>
      </c>
      <c r="AB9" s="43">
        <f t="shared" si="14"/>
        <v>7017738.93</v>
      </c>
      <c r="AC9" s="52" t="s">
        <v>45</v>
      </c>
      <c r="AD9" s="11"/>
    </row>
    <row r="10" ht="37.5" customHeight="1">
      <c r="A10" s="11"/>
      <c r="B10" s="53" t="s">
        <v>46</v>
      </c>
      <c r="C10" s="53" t="s">
        <v>47</v>
      </c>
      <c r="D10" s="53" t="s">
        <v>48</v>
      </c>
      <c r="E10" s="53" t="s">
        <v>49</v>
      </c>
      <c r="F10" s="53" t="s">
        <v>50</v>
      </c>
      <c r="G10" s="53" t="s">
        <v>51</v>
      </c>
      <c r="H10" s="53" t="s">
        <v>52</v>
      </c>
      <c r="I10" s="50"/>
      <c r="J10" s="50"/>
      <c r="K10" s="1"/>
      <c r="O10" s="11"/>
      <c r="P10" s="54" t="s">
        <v>53</v>
      </c>
      <c r="Q10" s="54" t="s">
        <v>54</v>
      </c>
      <c r="R10" s="54" t="s">
        <v>55</v>
      </c>
      <c r="S10" s="55" t="s">
        <v>56</v>
      </c>
      <c r="T10" s="55" t="s">
        <v>57</v>
      </c>
      <c r="U10" s="56" t="s">
        <v>58</v>
      </c>
      <c r="V10" s="57" t="s">
        <v>59</v>
      </c>
      <c r="X10" s="40" t="s">
        <v>60</v>
      </c>
      <c r="Y10" s="47">
        <f t="shared" ref="Y10:AA10" si="18">$Y$3*Y5*0.01</f>
        <v>1421191.74</v>
      </c>
      <c r="Z10" s="47">
        <f t="shared" si="18"/>
        <v>3326001.18</v>
      </c>
      <c r="AA10" s="22">
        <f t="shared" si="18"/>
        <v>2447951.34</v>
      </c>
      <c r="AB10" s="43">
        <f t="shared" si="14"/>
        <v>7195144.26</v>
      </c>
      <c r="AC10" s="58"/>
      <c r="AD10" s="11"/>
      <c r="AE10" s="59" t="s">
        <v>61</v>
      </c>
    </row>
    <row r="11" ht="37.5" customHeight="1">
      <c r="A11" s="35" t="s">
        <v>22</v>
      </c>
      <c r="B11" s="47">
        <f t="shared" ref="B11:B15" si="20">($P$11*Y4+$Q$11*Z4+$R$11*AA4)</f>
        <v>2410507.526</v>
      </c>
      <c r="C11" s="47">
        <f t="shared" ref="C11:C15" si="21">($S$11*Y4+$T$11*Z4+$U$11*AA4)</f>
        <v>793939.474</v>
      </c>
      <c r="D11" s="60">
        <f t="shared" ref="D11:D15" si="22">($P$11*Y4*$P$12+$Q$11*Z4*$Q$12+$R$11*AA4*$R$12)*100</f>
        <v>1272537558</v>
      </c>
      <c r="E11" s="61">
        <f t="shared" ref="E11:E15" si="23">($S$11*Y4*$S$12+$T$11*Z4*$T$12+$U$11*AA4*$U$12)*100</f>
        <v>161259907.1</v>
      </c>
      <c r="F11" s="62">
        <f t="shared" ref="F11:F15" si="24">D11+E11</f>
        <v>1433797465</v>
      </c>
      <c r="G11" s="62">
        <f t="shared" ref="G11:G15" si="25">F11/$P$14</f>
        <v>35844936.63</v>
      </c>
      <c r="H11" s="63">
        <f t="shared" ref="H11:H15" si="26">F11/Q4</f>
        <v>204.3104595</v>
      </c>
      <c r="I11" s="64" t="s">
        <v>62</v>
      </c>
      <c r="J11" s="65" t="s">
        <v>63</v>
      </c>
      <c r="K11" s="1"/>
      <c r="O11" s="15" t="s">
        <v>64</v>
      </c>
      <c r="P11" s="66">
        <v>0.9858</v>
      </c>
      <c r="Q11" s="66">
        <v>0.8599</v>
      </c>
      <c r="R11" s="66">
        <v>0.4906</v>
      </c>
      <c r="S11" s="67">
        <v>0.0142</v>
      </c>
      <c r="T11" s="67">
        <v>0.1401</v>
      </c>
      <c r="U11" s="68">
        <v>0.5094</v>
      </c>
      <c r="V11" s="69" t="s">
        <v>65</v>
      </c>
      <c r="X11" s="40" t="s">
        <v>66</v>
      </c>
      <c r="Y11" s="47">
        <f t="shared" ref="Y11:AA11" si="19">$Y$3*Y6*0.01</f>
        <v>1469483.43</v>
      </c>
      <c r="Z11" s="47">
        <f t="shared" si="19"/>
        <v>3345555.69</v>
      </c>
      <c r="AA11" s="22">
        <f t="shared" si="19"/>
        <v>1978575.21</v>
      </c>
      <c r="AB11" s="43">
        <f t="shared" si="14"/>
        <v>6793614.33</v>
      </c>
      <c r="AC11" s="58"/>
      <c r="AD11" s="11"/>
      <c r="AE11" s="45">
        <v>660944.0</v>
      </c>
    </row>
    <row r="12" ht="37.5" customHeight="1">
      <c r="A12" s="35" t="s">
        <v>34</v>
      </c>
      <c r="B12" s="47">
        <f t="shared" si="20"/>
        <v>2494065.826</v>
      </c>
      <c r="C12" s="47">
        <f t="shared" si="21"/>
        <v>791388.1738</v>
      </c>
      <c r="D12" s="60">
        <f t="shared" si="22"/>
        <v>1318846513</v>
      </c>
      <c r="E12" s="61">
        <f t="shared" si="23"/>
        <v>160866115.9</v>
      </c>
      <c r="F12" s="62">
        <f t="shared" si="24"/>
        <v>1479712629</v>
      </c>
      <c r="G12" s="62">
        <f t="shared" si="25"/>
        <v>36992815.73</v>
      </c>
      <c r="H12" s="63">
        <f t="shared" si="26"/>
        <v>205.6543379</v>
      </c>
      <c r="I12" s="70">
        <f t="shared" ref="I12:I15" si="28">H12-$H$11</f>
        <v>1.343878475</v>
      </c>
      <c r="J12" s="62">
        <f t="shared" ref="J12:J15" si="29">G12-$G$11</f>
        <v>1147879.099</v>
      </c>
      <c r="O12" s="15" t="s">
        <v>67</v>
      </c>
      <c r="P12" s="45">
        <v>5.8</v>
      </c>
      <c r="Q12" s="45">
        <v>5.2</v>
      </c>
      <c r="R12" s="45">
        <v>4.9</v>
      </c>
      <c r="S12" s="45">
        <v>2.5</v>
      </c>
      <c r="T12" s="45">
        <v>2.1</v>
      </c>
      <c r="U12" s="71">
        <v>2.0</v>
      </c>
      <c r="V12" s="72"/>
      <c r="X12" s="40" t="s">
        <v>68</v>
      </c>
      <c r="Y12" s="47">
        <f t="shared" ref="Y12:AA12" si="27">$Y$3*Y7*0.01</f>
        <v>1393878.06</v>
      </c>
      <c r="Z12" s="47">
        <f t="shared" si="27"/>
        <v>3315653.43</v>
      </c>
      <c r="AA12" s="22">
        <f t="shared" si="27"/>
        <v>1958335.23</v>
      </c>
      <c r="AB12" s="43">
        <f t="shared" si="14"/>
        <v>6667866.72</v>
      </c>
      <c r="AC12" s="58"/>
      <c r="AD12" s="11"/>
    </row>
    <row r="13" ht="37.5" customHeight="1">
      <c r="A13" s="35" t="s">
        <v>36</v>
      </c>
      <c r="B13" s="47">
        <f t="shared" si="20"/>
        <v>2418332.923</v>
      </c>
      <c r="C13" s="47">
        <f t="shared" si="21"/>
        <v>683774.0771</v>
      </c>
      <c r="D13" s="60">
        <f t="shared" si="22"/>
        <v>1283924141</v>
      </c>
      <c r="E13" s="61">
        <f t="shared" si="23"/>
        <v>139371462.3</v>
      </c>
      <c r="F13" s="62">
        <f t="shared" si="24"/>
        <v>1423295603</v>
      </c>
      <c r="G13" s="62">
        <f t="shared" si="25"/>
        <v>35582390.08</v>
      </c>
      <c r="H13" s="63">
        <f t="shared" si="26"/>
        <v>209.5049165</v>
      </c>
      <c r="I13" s="70">
        <f t="shared" si="28"/>
        <v>5.194457072</v>
      </c>
      <c r="J13" s="62">
        <f t="shared" si="29"/>
        <v>-262546.5501</v>
      </c>
      <c r="P13" s="15" t="s">
        <v>69</v>
      </c>
      <c r="Q13" s="73"/>
      <c r="V13" s="72"/>
      <c r="X13" s="40" t="s">
        <v>70</v>
      </c>
      <c r="Y13" s="47">
        <f t="shared" ref="Y13:AA13" si="30">$Y$3*Y8*0.01</f>
        <v>0</v>
      </c>
      <c r="Z13" s="47">
        <f t="shared" si="30"/>
        <v>0</v>
      </c>
      <c r="AA13" s="22">
        <f t="shared" si="30"/>
        <v>0</v>
      </c>
      <c r="AB13" s="43">
        <f t="shared" si="14"/>
        <v>0</v>
      </c>
      <c r="AC13" s="58"/>
      <c r="AD13" s="74"/>
    </row>
    <row r="14" ht="37.5" customHeight="1">
      <c r="A14" s="35" t="s">
        <v>38</v>
      </c>
      <c r="B14" s="47">
        <f t="shared" si="20"/>
        <v>2368024.95</v>
      </c>
      <c r="C14" s="47">
        <f t="shared" si="21"/>
        <v>676663.0503</v>
      </c>
      <c r="D14" s="60">
        <f t="shared" si="22"/>
        <v>1255858052</v>
      </c>
      <c r="E14" s="61">
        <f t="shared" si="23"/>
        <v>137905616.4</v>
      </c>
      <c r="F14" s="62">
        <f t="shared" si="24"/>
        <v>1393763669</v>
      </c>
      <c r="G14" s="62">
        <f t="shared" si="25"/>
        <v>34844091.71</v>
      </c>
      <c r="H14" s="63">
        <f t="shared" si="26"/>
        <v>209.0269238</v>
      </c>
      <c r="I14" s="70">
        <f t="shared" si="28"/>
        <v>4.716464297</v>
      </c>
      <c r="J14" s="62">
        <f t="shared" si="29"/>
        <v>-1000844.917</v>
      </c>
      <c r="P14" s="31">
        <v>40.0</v>
      </c>
      <c r="V14" s="75"/>
      <c r="X14" s="35" t="s">
        <v>71</v>
      </c>
      <c r="Y14" s="45">
        <v>598990.0</v>
      </c>
      <c r="Z14" s="45">
        <v>1005643.0</v>
      </c>
      <c r="AA14" s="71">
        <v>920900.0</v>
      </c>
      <c r="AB14" s="76">
        <f t="shared" si="14"/>
        <v>2525533</v>
      </c>
      <c r="AC14" s="58"/>
      <c r="AD14" s="74"/>
    </row>
    <row r="15" ht="37.5" customHeight="1">
      <c r="A15" s="35" t="s">
        <v>40</v>
      </c>
      <c r="B15" s="47">
        <f t="shared" si="20"/>
        <v>0</v>
      </c>
      <c r="C15" s="47">
        <f t="shared" si="21"/>
        <v>0</v>
      </c>
      <c r="D15" s="60">
        <f t="shared" si="22"/>
        <v>0</v>
      </c>
      <c r="E15" s="61">
        <f t="shared" si="23"/>
        <v>0</v>
      </c>
      <c r="F15" s="62">
        <f t="shared" si="24"/>
        <v>0</v>
      </c>
      <c r="G15" s="62">
        <f t="shared" si="25"/>
        <v>0</v>
      </c>
      <c r="H15" s="63" t="str">
        <f t="shared" si="26"/>
        <v>#DIV/0!</v>
      </c>
      <c r="I15" s="76" t="str">
        <f t="shared" si="28"/>
        <v>#DIV/0!</v>
      </c>
      <c r="J15" s="62">
        <f t="shared" si="29"/>
        <v>-35844936.63</v>
      </c>
      <c r="O15" s="11"/>
      <c r="P15" s="9" t="s">
        <v>72</v>
      </c>
      <c r="Q15" s="3"/>
      <c r="R15" s="3"/>
      <c r="S15" s="3"/>
      <c r="T15" s="3"/>
      <c r="U15" s="4"/>
      <c r="V15" s="10"/>
      <c r="X15" s="35" t="s">
        <v>73</v>
      </c>
      <c r="Y15" s="41">
        <v>648946.0</v>
      </c>
      <c r="Z15" s="45">
        <v>1098634.0</v>
      </c>
      <c r="AA15" s="71">
        <v>744360.0</v>
      </c>
      <c r="AB15" s="43">
        <f t="shared" si="14"/>
        <v>2491940</v>
      </c>
      <c r="AC15" s="58"/>
      <c r="AD15" s="74"/>
    </row>
    <row r="16" ht="37.5" customHeight="1">
      <c r="O16" s="11"/>
      <c r="P16" s="15" t="s">
        <v>74</v>
      </c>
      <c r="Q16" s="15" t="s">
        <v>75</v>
      </c>
      <c r="R16" s="15" t="s">
        <v>76</v>
      </c>
      <c r="S16" s="15" t="s">
        <v>77</v>
      </c>
      <c r="T16" s="15" t="s">
        <v>78</v>
      </c>
      <c r="U16" s="16"/>
      <c r="V16" s="16"/>
      <c r="X16" s="35" t="s">
        <v>79</v>
      </c>
      <c r="Y16" s="45">
        <v>641584.0</v>
      </c>
      <c r="Z16" s="45">
        <v>1087725.0</v>
      </c>
      <c r="AA16" s="71">
        <v>938672.0</v>
      </c>
      <c r="AB16" s="76">
        <f t="shared" si="14"/>
        <v>2667981</v>
      </c>
      <c r="AC16" s="58"/>
    </row>
    <row r="17" ht="37.5" customHeight="1">
      <c r="A17" s="11"/>
      <c r="B17" s="9" t="s">
        <v>80</v>
      </c>
      <c r="C17" s="3"/>
      <c r="D17" s="3"/>
      <c r="E17" s="3"/>
      <c r="F17" s="3"/>
      <c r="G17" s="4"/>
      <c r="H17" s="77"/>
      <c r="O17" s="35" t="s">
        <v>22</v>
      </c>
      <c r="P17" s="19">
        <f t="shared" ref="P17:R17" si="31">(AG$3*Y4*100)</f>
        <v>1506223080</v>
      </c>
      <c r="Q17" s="19">
        <f t="shared" si="31"/>
        <v>3979520346</v>
      </c>
      <c r="R17" s="19">
        <f t="shared" si="31"/>
        <v>3399914780</v>
      </c>
      <c r="S17" s="19">
        <f t="shared" ref="S17:S21" si="33">(AJ$3*AD4*100)</f>
        <v>6671530489</v>
      </c>
      <c r="T17" s="19">
        <f t="shared" ref="T17:T21" si="34">(AE4*AK$3*100)</f>
        <v>-929415000</v>
      </c>
      <c r="U17" s="78"/>
      <c r="V17" s="78"/>
      <c r="X17" s="35" t="s">
        <v>81</v>
      </c>
      <c r="Y17" s="48">
        <v>629621.0</v>
      </c>
      <c r="Z17" s="45">
        <v>1083794.0</v>
      </c>
      <c r="AA17" s="71">
        <v>742392.0</v>
      </c>
      <c r="AB17" s="43">
        <f t="shared" si="14"/>
        <v>2455807</v>
      </c>
      <c r="AC17" s="58"/>
    </row>
    <row r="18" ht="37.5" customHeight="1">
      <c r="A18" s="11"/>
      <c r="B18" s="15" t="s">
        <v>82</v>
      </c>
      <c r="C18" s="15" t="s">
        <v>83</v>
      </c>
      <c r="D18" s="15" t="s">
        <v>84</v>
      </c>
      <c r="E18" s="15" t="s">
        <v>85</v>
      </c>
      <c r="F18" s="15" t="s">
        <v>86</v>
      </c>
      <c r="G18" s="15" t="s">
        <v>87</v>
      </c>
      <c r="O18" s="35" t="s">
        <v>34</v>
      </c>
      <c r="P18" s="19">
        <f t="shared" ref="P18:R18" si="32">(AG$3*Y5*100)</f>
        <v>1611981864</v>
      </c>
      <c r="Q18" s="19">
        <f t="shared" si="32"/>
        <v>4147629782</v>
      </c>
      <c r="R18" s="19">
        <f t="shared" si="32"/>
        <v>3331002280</v>
      </c>
      <c r="S18" s="19">
        <f t="shared" si="33"/>
        <v>7307592269</v>
      </c>
      <c r="T18" s="19">
        <f t="shared" si="34"/>
        <v>-942267500</v>
      </c>
      <c r="U18" s="11"/>
      <c r="V18" s="11"/>
      <c r="X18" s="35" t="s">
        <v>88</v>
      </c>
      <c r="Y18" s="45"/>
      <c r="Z18" s="45"/>
      <c r="AA18" s="71"/>
      <c r="AB18" s="76">
        <f t="shared" si="14"/>
        <v>0</v>
      </c>
      <c r="AC18" s="58"/>
    </row>
    <row r="19" ht="37.5" customHeight="1">
      <c r="A19" s="35" t="s">
        <v>22</v>
      </c>
      <c r="B19" s="19">
        <f t="shared" ref="B19:B23" si="38">P17+Q17+R17+S17-T17</f>
        <v>16486603695</v>
      </c>
      <c r="C19" s="19">
        <f t="shared" ref="C19:C23" si="39">P17+Q17+R17</f>
        <v>8885658206</v>
      </c>
      <c r="D19" s="79">
        <f t="shared" ref="D19:D23" si="40">C19/Q4</f>
        <v>1266.171098</v>
      </c>
      <c r="E19" s="79">
        <f t="shared" ref="E19:G19" si="35">P17/$Q4</f>
        <v>214.6308227</v>
      </c>
      <c r="F19" s="79">
        <f t="shared" si="35"/>
        <v>567.0658863</v>
      </c>
      <c r="G19" s="63">
        <f t="shared" si="35"/>
        <v>484.474389</v>
      </c>
      <c r="H19" s="64" t="s">
        <v>89</v>
      </c>
      <c r="O19" s="35" t="s">
        <v>36</v>
      </c>
      <c r="P19" s="19">
        <f t="shared" ref="P19:R19" si="36">(AG$3*Y6*100)</f>
        <v>1666756548</v>
      </c>
      <c r="Q19" s="19">
        <f t="shared" si="36"/>
        <v>4172014881</v>
      </c>
      <c r="R19" s="19">
        <f t="shared" si="36"/>
        <v>2692307820</v>
      </c>
      <c r="S19" s="19">
        <f t="shared" si="33"/>
        <v>6476847012</v>
      </c>
      <c r="T19" s="19">
        <f t="shared" si="34"/>
        <v>-1011057500</v>
      </c>
      <c r="U19" s="11"/>
      <c r="V19" s="11"/>
      <c r="X19" s="40" t="s">
        <v>90</v>
      </c>
      <c r="Y19" s="47">
        <f t="shared" ref="Y19:AA19" si="37">Y14*Y$3*0.01</f>
        <v>1311788.1</v>
      </c>
      <c r="Z19" s="47">
        <f t="shared" si="37"/>
        <v>774345.11</v>
      </c>
      <c r="AA19" s="22">
        <f t="shared" si="37"/>
        <v>55254</v>
      </c>
      <c r="AB19" s="80">
        <f t="shared" si="14"/>
        <v>2141387.21</v>
      </c>
      <c r="AC19" s="81">
        <v>397461.0</v>
      </c>
    </row>
    <row r="20" ht="37.5" customHeight="1">
      <c r="A20" s="35" t="s">
        <v>34</v>
      </c>
      <c r="B20" s="19">
        <f t="shared" si="38"/>
        <v>17340473695</v>
      </c>
      <c r="C20" s="19">
        <f t="shared" si="39"/>
        <v>9090613926</v>
      </c>
      <c r="D20" s="79">
        <f t="shared" si="40"/>
        <v>1263.43734</v>
      </c>
      <c r="E20" s="79">
        <f t="shared" ref="E20:G20" si="41">P18/$Q5</f>
        <v>224.0374627</v>
      </c>
      <c r="F20" s="79">
        <f t="shared" si="41"/>
        <v>576.4484536</v>
      </c>
      <c r="G20" s="63">
        <f t="shared" si="41"/>
        <v>462.9514239</v>
      </c>
      <c r="H20" s="70">
        <f t="shared" ref="H20:H23" si="45">D20-$D$19</f>
        <v>-2.733757761</v>
      </c>
      <c r="O20" s="35" t="s">
        <v>38</v>
      </c>
      <c r="P20" s="19">
        <f t="shared" ref="P20:R20" si="42">(AG$3*Y7*100)</f>
        <v>1581001416</v>
      </c>
      <c r="Q20" s="19">
        <f t="shared" si="42"/>
        <v>4134725807</v>
      </c>
      <c r="R20" s="19">
        <f t="shared" si="42"/>
        <v>2664766660</v>
      </c>
      <c r="S20" s="19">
        <f t="shared" si="33"/>
        <v>7567757758</v>
      </c>
      <c r="T20" s="19">
        <f t="shared" si="34"/>
        <v>-1033032500</v>
      </c>
      <c r="X20" s="40" t="s">
        <v>91</v>
      </c>
      <c r="Y20" s="47">
        <f t="shared" ref="Y20:AA20" si="43">Y15*Y$3*0.01</f>
        <v>1421191.74</v>
      </c>
      <c r="Z20" s="47">
        <f t="shared" si="43"/>
        <v>845948.18</v>
      </c>
      <c r="AA20" s="22">
        <f t="shared" si="43"/>
        <v>44661.6</v>
      </c>
      <c r="AB20" s="80">
        <f t="shared" si="14"/>
        <v>2311801.52</v>
      </c>
      <c r="AC20" s="81">
        <v>381044.0</v>
      </c>
    </row>
    <row r="21" ht="37.5" customHeight="1">
      <c r="A21" s="35" t="s">
        <v>36</v>
      </c>
      <c r="B21" s="19">
        <f t="shared" si="38"/>
        <v>16018983761</v>
      </c>
      <c r="C21" s="19">
        <f t="shared" si="39"/>
        <v>8531079249</v>
      </c>
      <c r="D21" s="79">
        <f t="shared" si="40"/>
        <v>1255.749714</v>
      </c>
      <c r="E21" s="79">
        <f t="shared" ref="E21:G21" si="44">P19/$Q6</f>
        <v>245.3416498</v>
      </c>
      <c r="F21" s="79">
        <f t="shared" si="44"/>
        <v>614.1082903</v>
      </c>
      <c r="G21" s="63">
        <f t="shared" si="44"/>
        <v>396.2997735</v>
      </c>
      <c r="H21" s="70">
        <f t="shared" si="45"/>
        <v>-10.42138436</v>
      </c>
      <c r="K21" s="82"/>
      <c r="O21" s="35" t="s">
        <v>40</v>
      </c>
      <c r="P21" s="19">
        <f t="shared" ref="P21:R21" si="46">(AG$3*Y8*100)</f>
        <v>0</v>
      </c>
      <c r="Q21" s="19">
        <f t="shared" si="46"/>
        <v>0</v>
      </c>
      <c r="R21" s="19">
        <f t="shared" si="46"/>
        <v>0</v>
      </c>
      <c r="S21" s="19">
        <f t="shared" si="33"/>
        <v>0</v>
      </c>
      <c r="T21" s="19">
        <f t="shared" si="34"/>
        <v>0</v>
      </c>
      <c r="U21" s="1"/>
      <c r="X21" s="40" t="s">
        <v>92</v>
      </c>
      <c r="Y21" s="47">
        <f t="shared" ref="Y21:AA21" si="47">Y16*Y$3*0.01</f>
        <v>1405068.96</v>
      </c>
      <c r="Z21" s="47">
        <f t="shared" si="47"/>
        <v>837548.25</v>
      </c>
      <c r="AA21" s="22">
        <f t="shared" si="47"/>
        <v>56320.32</v>
      </c>
      <c r="AB21" s="80">
        <f t="shared" si="14"/>
        <v>2298937.53</v>
      </c>
      <c r="AC21" s="81">
        <v>353843.0</v>
      </c>
    </row>
    <row r="22" ht="37.5" customHeight="1">
      <c r="A22" s="35" t="s">
        <v>38</v>
      </c>
      <c r="B22" s="19">
        <f t="shared" si="38"/>
        <v>16981284141</v>
      </c>
      <c r="C22" s="19">
        <f t="shared" si="39"/>
        <v>8380493883</v>
      </c>
      <c r="D22" s="79">
        <f t="shared" si="40"/>
        <v>1256.84784</v>
      </c>
      <c r="E22" s="79">
        <f t="shared" ref="E22:G22" si="48">P20/$Q7</f>
        <v>237.1075311</v>
      </c>
      <c r="F22" s="79">
        <f t="shared" si="48"/>
        <v>620.0972486</v>
      </c>
      <c r="G22" s="63">
        <f t="shared" si="48"/>
        <v>399.6430601</v>
      </c>
      <c r="H22" s="70">
        <f t="shared" si="45"/>
        <v>-9.323258148</v>
      </c>
      <c r="K22" s="82"/>
      <c r="R22" s="1"/>
      <c r="S22" s="1"/>
      <c r="T22" s="1"/>
      <c r="U22" s="16"/>
      <c r="X22" s="40" t="s">
        <v>93</v>
      </c>
      <c r="Y22" s="47">
        <f t="shared" ref="Y22:AA22" si="49">Y17*Y$3*0.01</f>
        <v>1378869.99</v>
      </c>
      <c r="Z22" s="47">
        <f t="shared" si="49"/>
        <v>834521.38</v>
      </c>
      <c r="AA22" s="22">
        <f t="shared" si="49"/>
        <v>44543.52</v>
      </c>
      <c r="AB22" s="80">
        <f t="shared" si="14"/>
        <v>2257934.89</v>
      </c>
      <c r="AC22" s="81">
        <v>345083.0</v>
      </c>
    </row>
    <row r="23" ht="37.5" customHeight="1">
      <c r="A23" s="35" t="s">
        <v>40</v>
      </c>
      <c r="B23" s="19">
        <f t="shared" si="38"/>
        <v>0</v>
      </c>
      <c r="C23" s="19">
        <f t="shared" si="39"/>
        <v>0</v>
      </c>
      <c r="D23" s="79" t="str">
        <f t="shared" si="40"/>
        <v>#DIV/0!</v>
      </c>
      <c r="E23" s="79" t="str">
        <f t="shared" ref="E23:G23" si="50">P21/$Q8</f>
        <v>#DIV/0!</v>
      </c>
      <c r="F23" s="79" t="str">
        <f t="shared" si="50"/>
        <v>#DIV/0!</v>
      </c>
      <c r="G23" s="63" t="str">
        <f t="shared" si="50"/>
        <v>#DIV/0!</v>
      </c>
      <c r="H23" s="76" t="str">
        <f t="shared" si="45"/>
        <v>#DIV/0!</v>
      </c>
      <c r="P23" s="9" t="s">
        <v>94</v>
      </c>
      <c r="Q23" s="4"/>
      <c r="R23" s="1"/>
      <c r="S23" s="1"/>
      <c r="T23" s="1"/>
      <c r="X23" s="40" t="s">
        <v>95</v>
      </c>
      <c r="Y23" s="47">
        <f t="shared" ref="Y23:AA23" si="51">Y18*Y$3*0.01</f>
        <v>0</v>
      </c>
      <c r="Z23" s="47">
        <f t="shared" si="51"/>
        <v>0</v>
      </c>
      <c r="AA23" s="22">
        <f t="shared" si="51"/>
        <v>0</v>
      </c>
      <c r="AB23" s="80">
        <f t="shared" si="14"/>
        <v>0</v>
      </c>
      <c r="AC23" s="81"/>
    </row>
    <row r="24" ht="37.5" customHeight="1">
      <c r="P24" s="15" t="s">
        <v>96</v>
      </c>
      <c r="Q24" s="15" t="s">
        <v>97</v>
      </c>
      <c r="R24" s="1"/>
      <c r="S24" s="1"/>
      <c r="T24" s="1"/>
    </row>
    <row r="25" ht="37.5" customHeight="1">
      <c r="B25" s="9" t="s">
        <v>98</v>
      </c>
      <c r="C25" s="3"/>
      <c r="D25" s="3"/>
      <c r="E25" s="3"/>
      <c r="F25" s="3"/>
      <c r="G25" s="4"/>
      <c r="O25" s="35" t="s">
        <v>34</v>
      </c>
      <c r="P25" s="60">
        <f t="shared" ref="P25:P28" si="52">($P$30*D12)+($P$30*E12)</f>
        <v>295942525.8</v>
      </c>
      <c r="Q25" s="60">
        <f t="shared" ref="Q25:Q28" si="53">$Q$30*D12+$Q$30*E12</f>
        <v>147971262.9</v>
      </c>
    </row>
    <row r="26" ht="37.5" customHeight="1">
      <c r="B26" s="15" t="s">
        <v>99</v>
      </c>
      <c r="C26" s="15" t="s">
        <v>100</v>
      </c>
      <c r="D26" s="15" t="s">
        <v>101</v>
      </c>
      <c r="E26" s="15" t="s">
        <v>102</v>
      </c>
      <c r="F26" s="15" t="s">
        <v>103</v>
      </c>
      <c r="G26" s="7" t="s">
        <v>104</v>
      </c>
      <c r="H26" s="83" t="s">
        <v>105</v>
      </c>
      <c r="I26" s="84" t="s">
        <v>106</v>
      </c>
      <c r="J26" s="84" t="s">
        <v>107</v>
      </c>
      <c r="O26" s="35" t="s">
        <v>36</v>
      </c>
      <c r="P26" s="60">
        <f t="shared" si="52"/>
        <v>284659120.6</v>
      </c>
      <c r="Q26" s="60">
        <f t="shared" si="53"/>
        <v>142329560.3</v>
      </c>
    </row>
    <row r="27" ht="37.5" customHeight="1">
      <c r="A27" s="35" t="s">
        <v>34</v>
      </c>
      <c r="B27" s="19">
        <f t="shared" ref="B27:B30" si="54">B20-(J4*365)</f>
        <v>15355838326</v>
      </c>
      <c r="C27" s="19">
        <f t="shared" ref="C27:C30" si="55">B27-B20</f>
        <v>-1984635369</v>
      </c>
      <c r="D27" s="19">
        <f t="shared" ref="D27:D30" si="56">B20+(P25*$AL$3)</f>
        <v>15268876014</v>
      </c>
      <c r="E27" s="19">
        <f t="shared" ref="E27:E30" si="57">D27-B20</f>
        <v>-2071597681</v>
      </c>
      <c r="F27" s="19">
        <f t="shared" ref="F27:F30" si="58">B20+(Q25*$AK$3)</f>
        <v>13641192122</v>
      </c>
      <c r="G27" s="85">
        <f t="shared" ref="G27:G30" si="59">F27-B20</f>
        <v>-3699281573</v>
      </c>
      <c r="H27" s="86">
        <f t="shared" ref="H27:H30" si="60">C27+E27+G27</f>
        <v>-7755514623</v>
      </c>
      <c r="I27" s="18">
        <f t="shared" ref="I27:I30" si="61">1-(B20+H27)/B20</f>
        <v>0.4472492943</v>
      </c>
      <c r="J27" s="18">
        <f t="shared" ref="J27:J30" si="62">1-(B20+C27)/(B20)</f>
        <v>0.1144510469</v>
      </c>
      <c r="O27" s="35" t="s">
        <v>38</v>
      </c>
      <c r="P27" s="60">
        <f t="shared" si="52"/>
        <v>278752733.7</v>
      </c>
      <c r="Q27" s="60">
        <f t="shared" si="53"/>
        <v>139376366.9</v>
      </c>
    </row>
    <row r="28" ht="37.5" customHeight="1">
      <c r="A28" s="35" t="s">
        <v>36</v>
      </c>
      <c r="B28" s="19">
        <f t="shared" si="54"/>
        <v>14045391870</v>
      </c>
      <c r="C28" s="19">
        <f t="shared" si="55"/>
        <v>-1973591891</v>
      </c>
      <c r="D28" s="19">
        <f t="shared" si="56"/>
        <v>14026369916</v>
      </c>
      <c r="E28" s="19">
        <f t="shared" si="57"/>
        <v>-1992613845</v>
      </c>
      <c r="F28" s="19">
        <f t="shared" si="58"/>
        <v>12460744753</v>
      </c>
      <c r="G28" s="85">
        <f t="shared" si="59"/>
        <v>-3558239008</v>
      </c>
      <c r="H28" s="86">
        <f t="shared" si="60"/>
        <v>-7524444743</v>
      </c>
      <c r="I28" s="18">
        <f t="shared" si="61"/>
        <v>0.4697204801</v>
      </c>
      <c r="J28" s="18">
        <f t="shared" si="62"/>
        <v>0.1232033143</v>
      </c>
      <c r="O28" s="35" t="s">
        <v>40</v>
      </c>
      <c r="P28" s="60">
        <f t="shared" si="52"/>
        <v>0</v>
      </c>
      <c r="Q28" s="60">
        <f t="shared" si="53"/>
        <v>0</v>
      </c>
    </row>
    <row r="29" ht="37.5" customHeight="1">
      <c r="A29" s="35" t="s">
        <v>38</v>
      </c>
      <c r="B29" s="19">
        <f t="shared" si="54"/>
        <v>15042892197</v>
      </c>
      <c r="C29" s="19">
        <f t="shared" si="55"/>
        <v>-1938391944</v>
      </c>
      <c r="D29" s="19">
        <f t="shared" si="56"/>
        <v>15030015005</v>
      </c>
      <c r="E29" s="19">
        <f t="shared" si="57"/>
        <v>-1951269136</v>
      </c>
      <c r="F29" s="19">
        <f t="shared" si="58"/>
        <v>13496874970</v>
      </c>
      <c r="G29" s="85">
        <f t="shared" si="59"/>
        <v>-3484409171</v>
      </c>
      <c r="H29" s="86">
        <f t="shared" si="60"/>
        <v>-7374070252</v>
      </c>
      <c r="I29" s="18">
        <f t="shared" si="61"/>
        <v>0.4342469151</v>
      </c>
      <c r="J29" s="18">
        <f t="shared" si="62"/>
        <v>0.1141487256</v>
      </c>
      <c r="P29" s="15" t="s">
        <v>108</v>
      </c>
      <c r="Q29" s="15" t="s">
        <v>109</v>
      </c>
    </row>
    <row r="30" ht="37.5" customHeight="1">
      <c r="A30" s="35" t="s">
        <v>40</v>
      </c>
      <c r="B30" s="19">
        <f t="shared" si="54"/>
        <v>0</v>
      </c>
      <c r="C30" s="19">
        <f t="shared" si="55"/>
        <v>0</v>
      </c>
      <c r="D30" s="19">
        <f t="shared" si="56"/>
        <v>0</v>
      </c>
      <c r="E30" s="19">
        <f t="shared" si="57"/>
        <v>0</v>
      </c>
      <c r="F30" s="19">
        <f t="shared" si="58"/>
        <v>0</v>
      </c>
      <c r="G30" s="85">
        <f t="shared" si="59"/>
        <v>0</v>
      </c>
      <c r="H30" s="86">
        <f t="shared" si="60"/>
        <v>0</v>
      </c>
      <c r="I30" s="18" t="str">
        <f t="shared" si="61"/>
        <v>#DIV/0!</v>
      </c>
      <c r="J30" s="18" t="str">
        <f t="shared" si="62"/>
        <v>#DIV/0!</v>
      </c>
      <c r="P30" s="87">
        <v>0.2</v>
      </c>
      <c r="Q30" s="87">
        <v>0.1</v>
      </c>
    </row>
  </sheetData>
  <mergeCells count="19">
    <mergeCell ref="T4:T8"/>
    <mergeCell ref="U4:U8"/>
    <mergeCell ref="AC9:AC18"/>
    <mergeCell ref="V11:V14"/>
    <mergeCell ref="Q13:U14"/>
    <mergeCell ref="P15:U15"/>
    <mergeCell ref="P23:Q23"/>
    <mergeCell ref="B1:J1"/>
    <mergeCell ref="B9:H9"/>
    <mergeCell ref="B17:G17"/>
    <mergeCell ref="B25:G25"/>
    <mergeCell ref="P1:V1"/>
    <mergeCell ref="Y1:AC1"/>
    <mergeCell ref="AG1:AI1"/>
    <mergeCell ref="P2:V2"/>
    <mergeCell ref="AC3:AE3"/>
    <mergeCell ref="R4:R8"/>
    <mergeCell ref="V4:V8"/>
    <mergeCell ref="P9:U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7" width="12.63"/>
    <col customWidth="1" min="24" max="24" width="15.25"/>
  </cols>
  <sheetData>
    <row r="1" ht="37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5"/>
      <c r="L1" s="5"/>
      <c r="M1" s="6" t="s">
        <v>1</v>
      </c>
      <c r="N1" s="5"/>
      <c r="P1" s="7" t="s">
        <v>2</v>
      </c>
      <c r="Q1" s="3"/>
      <c r="R1" s="3"/>
      <c r="S1" s="3"/>
      <c r="T1" s="3"/>
      <c r="U1" s="3"/>
      <c r="V1" s="4"/>
      <c r="W1" s="8"/>
      <c r="Y1" s="9" t="s">
        <v>3</v>
      </c>
      <c r="Z1" s="3"/>
      <c r="AA1" s="3"/>
      <c r="AB1" s="3"/>
      <c r="AC1" s="4"/>
      <c r="AD1" s="10"/>
      <c r="AF1" s="10"/>
      <c r="AG1" s="9" t="s">
        <v>4</v>
      </c>
      <c r="AH1" s="3"/>
      <c r="AI1" s="4"/>
    </row>
    <row r="2" ht="37.5" customHeight="1">
      <c r="A2" s="11"/>
      <c r="B2" s="12" t="s">
        <v>5</v>
      </c>
      <c r="C2" s="12" t="s">
        <v>6</v>
      </c>
      <c r="D2" s="12" t="s">
        <v>7</v>
      </c>
      <c r="E2" s="12" t="s">
        <v>8</v>
      </c>
      <c r="F2" s="13" t="s">
        <v>9</v>
      </c>
      <c r="G2" s="13" t="s">
        <v>10</v>
      </c>
      <c r="H2" s="13" t="s">
        <v>11</v>
      </c>
      <c r="I2" s="12" t="s">
        <v>12</v>
      </c>
      <c r="J2" s="12" t="s">
        <v>13</v>
      </c>
      <c r="K2" s="1"/>
      <c r="L2" s="1"/>
      <c r="M2" s="14" t="s">
        <v>14</v>
      </c>
      <c r="N2" s="1"/>
      <c r="P2" s="9" t="s">
        <v>0</v>
      </c>
      <c r="Q2" s="3"/>
      <c r="R2" s="3"/>
      <c r="S2" s="3"/>
      <c r="T2" s="3"/>
      <c r="U2" s="3"/>
      <c r="V2" s="4"/>
      <c r="W2" s="8"/>
      <c r="Y2" s="15" t="s">
        <v>15</v>
      </c>
      <c r="Z2" s="15" t="s">
        <v>16</v>
      </c>
      <c r="AA2" s="15" t="s">
        <v>17</v>
      </c>
      <c r="AC2" s="15" t="s">
        <v>18</v>
      </c>
      <c r="AD2" s="15" t="s">
        <v>19</v>
      </c>
      <c r="AE2" s="15" t="s">
        <v>20</v>
      </c>
      <c r="AF2" s="16"/>
      <c r="AG2" s="15" t="s">
        <v>15</v>
      </c>
      <c r="AH2" s="15" t="s">
        <v>16</v>
      </c>
      <c r="AI2" s="15" t="s">
        <v>17</v>
      </c>
      <c r="AJ2" s="15" t="s">
        <v>19</v>
      </c>
      <c r="AK2" s="7" t="s">
        <v>20</v>
      </c>
      <c r="AL2" s="15" t="s">
        <v>21</v>
      </c>
    </row>
    <row r="3" ht="37.5" customHeight="1">
      <c r="A3" s="17" t="s">
        <v>22</v>
      </c>
      <c r="B3" s="18">
        <f t="shared" ref="B3:B7" si="2">(P4)/(S4)</f>
        <v>0.1902867079</v>
      </c>
      <c r="C3" s="18">
        <f t="shared" ref="C3:C7" si="3">(P4)/AB4</f>
        <v>0.8663597248</v>
      </c>
      <c r="D3" s="19">
        <f t="shared" ref="D3:D7" si="4">AB19</f>
        <v>1977239.02</v>
      </c>
      <c r="E3" s="20">
        <f t="shared" ref="E3:E7" si="5">AB19/$Q4</f>
        <v>0.3444222551</v>
      </c>
      <c r="F3" s="18">
        <f t="shared" ref="F3:H3" si="1">Y19/Y9</f>
        <v>0.9893558207</v>
      </c>
      <c r="G3" s="18">
        <f t="shared" si="1"/>
        <v>0.2874870762</v>
      </c>
      <c r="H3" s="18">
        <f t="shared" si="1"/>
        <v>0.02314880795</v>
      </c>
      <c r="I3" s="21">
        <f t="shared" ref="I3:I7" si="7">(D3*$R$4)*$U$4*$T$4</f>
        <v>1453270.68</v>
      </c>
      <c r="J3" s="22">
        <f t="shared" ref="J3:J7" si="8">I3*$V$4</f>
        <v>4650466.175</v>
      </c>
      <c r="K3" s="23" t="s">
        <v>23</v>
      </c>
      <c r="L3" s="11"/>
      <c r="M3" s="24" t="s">
        <v>24</v>
      </c>
      <c r="N3" s="11"/>
      <c r="P3" s="15" t="s">
        <v>25</v>
      </c>
      <c r="Q3" s="15" t="s">
        <v>26</v>
      </c>
      <c r="R3" s="15" t="s">
        <v>27</v>
      </c>
      <c r="S3" s="15" t="s">
        <v>28</v>
      </c>
      <c r="T3" s="15" t="s">
        <v>29</v>
      </c>
      <c r="U3" s="15" t="s">
        <v>30</v>
      </c>
      <c r="V3" s="15" t="s">
        <v>31</v>
      </c>
      <c r="X3" s="25" t="s">
        <v>32</v>
      </c>
      <c r="Y3" s="26">
        <v>219.0</v>
      </c>
      <c r="Z3" s="26">
        <v>77.0</v>
      </c>
      <c r="AA3" s="27">
        <v>6.0</v>
      </c>
      <c r="AB3" s="28" t="s">
        <v>33</v>
      </c>
      <c r="AC3" s="29"/>
      <c r="AD3" s="3"/>
      <c r="AE3" s="4"/>
      <c r="AF3" s="30"/>
      <c r="AG3" s="31">
        <v>24.84</v>
      </c>
      <c r="AH3" s="31">
        <v>27.31</v>
      </c>
      <c r="AI3" s="31">
        <v>29.8</v>
      </c>
      <c r="AJ3" s="31">
        <v>45.31</v>
      </c>
      <c r="AK3" s="31">
        <v>-25.0</v>
      </c>
      <c r="AL3" s="32">
        <v>-7.0</v>
      </c>
    </row>
    <row r="4" ht="37.5" customHeight="1">
      <c r="A4" s="17" t="s">
        <v>34</v>
      </c>
      <c r="B4" s="18">
        <f t="shared" si="2"/>
        <v>0.1831992597</v>
      </c>
      <c r="C4" s="18">
        <f t="shared" si="3"/>
        <v>0.8695722907</v>
      </c>
      <c r="D4" s="19">
        <f t="shared" si="4"/>
        <v>2109993.86</v>
      </c>
      <c r="E4" s="20">
        <f t="shared" si="5"/>
        <v>0.3822991001</v>
      </c>
      <c r="F4" s="33">
        <f t="shared" ref="F4:H4" si="6">Y20/Y10</f>
        <v>0.9878731872</v>
      </c>
      <c r="G4" s="18">
        <f t="shared" si="6"/>
        <v>0.2885952854</v>
      </c>
      <c r="H4" s="18">
        <f t="shared" si="6"/>
        <v>0.02307440643</v>
      </c>
      <c r="I4" s="21">
        <f t="shared" si="7"/>
        <v>1550845.487</v>
      </c>
      <c r="J4" s="22">
        <f t="shared" si="8"/>
        <v>4962705.559</v>
      </c>
      <c r="K4" s="34">
        <f t="shared" ref="K4:K7" si="10">($J$3-J4)*365</f>
        <v>-113967375</v>
      </c>
      <c r="L4" s="11"/>
      <c r="M4" s="11"/>
      <c r="N4" s="11"/>
      <c r="O4" s="35" t="s">
        <v>22</v>
      </c>
      <c r="P4" s="36">
        <f t="shared" ref="P4:P8" si="11">AB14</f>
        <v>2271026</v>
      </c>
      <c r="Q4" s="19">
        <f t="shared" ref="Q4:Q8" si="12">AB9</f>
        <v>5740741.17</v>
      </c>
      <c r="R4" s="37">
        <v>0.7</v>
      </c>
      <c r="S4" s="38">
        <f t="shared" ref="S4:S8" si="13">12465477-AC4</f>
        <v>11934759</v>
      </c>
      <c r="T4" s="37">
        <v>3.0</v>
      </c>
      <c r="U4" s="39">
        <v>0.35</v>
      </c>
      <c r="V4" s="37">
        <v>3.2</v>
      </c>
      <c r="X4" s="40" t="s">
        <v>35</v>
      </c>
      <c r="Y4" s="48">
        <v>586048.0</v>
      </c>
      <c r="Z4" s="48">
        <v>1043830.0</v>
      </c>
      <c r="AA4" s="49">
        <v>991465.0</v>
      </c>
      <c r="AB4" s="43">
        <f t="shared" ref="AB4:AB23" si="14">SUM(Y4:AA4)</f>
        <v>2621343</v>
      </c>
      <c r="AC4" s="44">
        <v>530718.0</v>
      </c>
      <c r="AD4" s="44">
        <v>1115141.0</v>
      </c>
      <c r="AE4" s="45">
        <v>236292.0</v>
      </c>
    </row>
    <row r="5" ht="37.5" customHeight="1">
      <c r="A5" s="17" t="s">
        <v>36</v>
      </c>
      <c r="B5" s="18">
        <f t="shared" si="2"/>
        <v>0.1948422324</v>
      </c>
      <c r="C5" s="18">
        <f t="shared" si="3"/>
        <v>0.87180668</v>
      </c>
      <c r="D5" s="19">
        <f t="shared" si="4"/>
        <v>2077209.16</v>
      </c>
      <c r="E5" s="20">
        <f t="shared" si="5"/>
        <v>0.3539726529</v>
      </c>
      <c r="F5" s="33">
        <f t="shared" ref="F5:H5" si="9">Y21/Y11</f>
        <v>0.9897843415</v>
      </c>
      <c r="G5" s="18">
        <f t="shared" si="9"/>
        <v>0.2876685324</v>
      </c>
      <c r="H5" s="18">
        <f t="shared" si="9"/>
        <v>0.02347361243</v>
      </c>
      <c r="I5" s="21">
        <f t="shared" si="7"/>
        <v>1526748.733</v>
      </c>
      <c r="J5" s="22">
        <f t="shared" si="8"/>
        <v>4885595.944</v>
      </c>
      <c r="K5" s="34">
        <f t="shared" si="10"/>
        <v>-85822365.79</v>
      </c>
      <c r="L5" s="11"/>
      <c r="M5" s="11"/>
      <c r="N5" s="11"/>
      <c r="O5" s="35" t="s">
        <v>34</v>
      </c>
      <c r="P5" s="36">
        <f t="shared" si="11"/>
        <v>2191490</v>
      </c>
      <c r="Q5" s="19">
        <f t="shared" si="12"/>
        <v>5519222.67</v>
      </c>
      <c r="R5" s="46"/>
      <c r="S5" s="38">
        <f t="shared" si="13"/>
        <v>11962330</v>
      </c>
      <c r="T5" s="46"/>
      <c r="U5" s="46"/>
      <c r="V5" s="46"/>
      <c r="X5" s="40" t="s">
        <v>37</v>
      </c>
      <c r="Y5" s="48">
        <v>635204.0</v>
      </c>
      <c r="Z5" s="48">
        <v>1101501.0</v>
      </c>
      <c r="AA5" s="49">
        <v>783488.0</v>
      </c>
      <c r="AB5" s="43">
        <f t="shared" si="14"/>
        <v>2520193</v>
      </c>
      <c r="AC5" s="44">
        <v>503147.0</v>
      </c>
      <c r="AD5" s="44">
        <v>1217847.0</v>
      </c>
      <c r="AE5" s="45">
        <v>244120.0</v>
      </c>
    </row>
    <row r="6" ht="37.5" customHeight="1">
      <c r="A6" s="17" t="s">
        <v>38</v>
      </c>
      <c r="B6" s="18">
        <f t="shared" si="2"/>
        <v>0.1790751389</v>
      </c>
      <c r="C6" s="18">
        <f t="shared" si="3"/>
        <v>0.8697799967</v>
      </c>
      <c r="D6" s="19">
        <f t="shared" si="4"/>
        <v>2041320.94</v>
      </c>
      <c r="E6" s="20">
        <f t="shared" si="5"/>
        <v>0.3773295501</v>
      </c>
      <c r="F6" s="33">
        <f t="shared" ref="F6:H6" si="15">Y22/Y12</f>
        <v>0.9900415949</v>
      </c>
      <c r="G6" s="18">
        <f t="shared" si="15"/>
        <v>0.2876874115</v>
      </c>
      <c r="H6" s="18">
        <f t="shared" si="15"/>
        <v>0.02322791476</v>
      </c>
      <c r="I6" s="21">
        <f t="shared" si="7"/>
        <v>1500370.891</v>
      </c>
      <c r="J6" s="22">
        <f t="shared" si="8"/>
        <v>4801186.851</v>
      </c>
      <c r="K6" s="34">
        <f t="shared" si="10"/>
        <v>-55013046.68</v>
      </c>
      <c r="L6" s="11"/>
      <c r="M6" s="11"/>
      <c r="N6" s="11"/>
      <c r="O6" s="35" t="s">
        <v>36</v>
      </c>
      <c r="P6" s="36">
        <f t="shared" si="11"/>
        <v>2336074</v>
      </c>
      <c r="Q6" s="19">
        <f t="shared" si="12"/>
        <v>5868275.82</v>
      </c>
      <c r="R6" s="46"/>
      <c r="S6" s="38">
        <f t="shared" si="13"/>
        <v>11989567</v>
      </c>
      <c r="T6" s="46"/>
      <c r="U6" s="46"/>
      <c r="V6" s="46"/>
      <c r="X6" s="40" t="s">
        <v>39</v>
      </c>
      <c r="Y6" s="48">
        <v>618756.0</v>
      </c>
      <c r="Z6" s="48">
        <v>1088921.0</v>
      </c>
      <c r="AA6" s="49">
        <v>971901.0</v>
      </c>
      <c r="AB6" s="43">
        <f t="shared" si="14"/>
        <v>2679578</v>
      </c>
      <c r="AC6" s="44">
        <v>475910.0</v>
      </c>
      <c r="AD6" s="44">
        <v>1058462.0</v>
      </c>
      <c r="AE6" s="45">
        <v>271357.0</v>
      </c>
    </row>
    <row r="7" ht="37.5" customHeight="1">
      <c r="A7" s="17" t="s">
        <v>40</v>
      </c>
      <c r="B7" s="18">
        <f t="shared" si="2"/>
        <v>0</v>
      </c>
      <c r="C7" s="18" t="str">
        <f t="shared" si="3"/>
        <v>#DIV/0!</v>
      </c>
      <c r="D7" s="47">
        <f t="shared" si="4"/>
        <v>0</v>
      </c>
      <c r="E7" s="20" t="str">
        <f t="shared" si="5"/>
        <v>#DIV/0!</v>
      </c>
      <c r="F7" s="33" t="str">
        <f t="shared" ref="F7:H7" si="16">Y23/Y13</f>
        <v>#DIV/0!</v>
      </c>
      <c r="G7" s="18" t="str">
        <f t="shared" si="16"/>
        <v>#DIV/0!</v>
      </c>
      <c r="H7" s="18" t="str">
        <f t="shared" si="16"/>
        <v>#DIV/0!</v>
      </c>
      <c r="I7" s="21">
        <f t="shared" si="7"/>
        <v>0</v>
      </c>
      <c r="J7" s="22">
        <f t="shared" si="8"/>
        <v>0</v>
      </c>
      <c r="K7" s="34">
        <f t="shared" si="10"/>
        <v>1697420154</v>
      </c>
      <c r="O7" s="35" t="s">
        <v>38</v>
      </c>
      <c r="P7" s="36">
        <f t="shared" si="11"/>
        <v>2148601</v>
      </c>
      <c r="Q7" s="19">
        <f t="shared" si="12"/>
        <v>5409915.39</v>
      </c>
      <c r="R7" s="46"/>
      <c r="S7" s="38">
        <f t="shared" si="13"/>
        <v>11998321</v>
      </c>
      <c r="T7" s="46"/>
      <c r="U7" s="46"/>
      <c r="V7" s="46"/>
      <c r="X7" s="40" t="s">
        <v>41</v>
      </c>
      <c r="Y7" s="48">
        <v>607527.0</v>
      </c>
      <c r="Z7" s="48">
        <v>1086613.0</v>
      </c>
      <c r="AA7" s="49">
        <v>776141.0</v>
      </c>
      <c r="AB7" s="43">
        <f t="shared" si="14"/>
        <v>2470281</v>
      </c>
      <c r="AC7" s="44">
        <v>467156.0</v>
      </c>
      <c r="AD7" s="44">
        <v>1267759.0</v>
      </c>
      <c r="AE7" s="45">
        <v>280111.0</v>
      </c>
    </row>
    <row r="8" ht="37.5" customHeight="1">
      <c r="J8" s="78"/>
      <c r="K8" s="50"/>
      <c r="O8" s="35" t="s">
        <v>40</v>
      </c>
      <c r="P8" s="36">
        <f t="shared" si="11"/>
        <v>0</v>
      </c>
      <c r="Q8" s="19">
        <f t="shared" si="12"/>
        <v>0</v>
      </c>
      <c r="R8" s="51"/>
      <c r="S8" s="38">
        <f t="shared" si="13"/>
        <v>12465477</v>
      </c>
      <c r="T8" s="51"/>
      <c r="U8" s="51"/>
      <c r="V8" s="51"/>
      <c r="X8" s="40" t="s">
        <v>42</v>
      </c>
      <c r="Y8" s="41"/>
      <c r="Z8" s="41"/>
      <c r="AA8" s="42"/>
      <c r="AB8" s="43">
        <f t="shared" si="14"/>
        <v>0</v>
      </c>
      <c r="AC8" s="44"/>
      <c r="AD8" s="44"/>
      <c r="AE8" s="45"/>
    </row>
    <row r="9" ht="37.5" customHeight="1">
      <c r="A9" s="50"/>
      <c r="B9" s="9" t="s">
        <v>43</v>
      </c>
      <c r="C9" s="3"/>
      <c r="D9" s="3"/>
      <c r="E9" s="3"/>
      <c r="F9" s="3"/>
      <c r="G9" s="3"/>
      <c r="H9" s="4"/>
      <c r="I9" s="10"/>
      <c r="J9" s="10"/>
      <c r="K9" s="10"/>
      <c r="O9" s="11"/>
      <c r="P9" s="9" t="s">
        <v>43</v>
      </c>
      <c r="Q9" s="3"/>
      <c r="R9" s="3"/>
      <c r="S9" s="3"/>
      <c r="T9" s="3"/>
      <c r="U9" s="4"/>
      <c r="V9" s="10"/>
      <c r="X9" s="40" t="s">
        <v>44</v>
      </c>
      <c r="Y9" s="47">
        <f t="shared" ref="Y9:AA9" si="17">$Y$3*Y4*0.01</f>
        <v>1283445.12</v>
      </c>
      <c r="Z9" s="47">
        <f t="shared" si="17"/>
        <v>2285987.7</v>
      </c>
      <c r="AA9" s="22">
        <f t="shared" si="17"/>
        <v>2171308.35</v>
      </c>
      <c r="AB9" s="43">
        <f t="shared" si="14"/>
        <v>5740741.17</v>
      </c>
      <c r="AC9" s="52" t="s">
        <v>45</v>
      </c>
      <c r="AD9" s="11"/>
    </row>
    <row r="10" ht="37.5" customHeight="1">
      <c r="A10" s="11"/>
      <c r="B10" s="53" t="s">
        <v>46</v>
      </c>
      <c r="C10" s="53" t="s">
        <v>47</v>
      </c>
      <c r="D10" s="53" t="s">
        <v>48</v>
      </c>
      <c r="E10" s="53" t="s">
        <v>49</v>
      </c>
      <c r="F10" s="53" t="s">
        <v>50</v>
      </c>
      <c r="G10" s="53" t="s">
        <v>51</v>
      </c>
      <c r="H10" s="53" t="s">
        <v>52</v>
      </c>
      <c r="I10" s="50"/>
      <c r="J10" s="50"/>
      <c r="K10" s="1"/>
      <c r="O10" s="11"/>
      <c r="P10" s="54" t="s">
        <v>53</v>
      </c>
      <c r="Q10" s="54" t="s">
        <v>54</v>
      </c>
      <c r="R10" s="54" t="s">
        <v>55</v>
      </c>
      <c r="S10" s="55" t="s">
        <v>56</v>
      </c>
      <c r="T10" s="55" t="s">
        <v>57</v>
      </c>
      <c r="U10" s="56" t="s">
        <v>58</v>
      </c>
      <c r="V10" s="57" t="s">
        <v>59</v>
      </c>
      <c r="X10" s="40" t="s">
        <v>60</v>
      </c>
      <c r="Y10" s="47">
        <f t="shared" ref="Y10:AA10" si="18">$Y$3*Y5*0.01</f>
        <v>1391096.76</v>
      </c>
      <c r="Z10" s="47">
        <f t="shared" si="18"/>
        <v>2412287.19</v>
      </c>
      <c r="AA10" s="22">
        <f t="shared" si="18"/>
        <v>1715838.72</v>
      </c>
      <c r="AB10" s="43">
        <f t="shared" si="14"/>
        <v>5519222.67</v>
      </c>
      <c r="AC10" s="58"/>
      <c r="AD10" s="11"/>
      <c r="AE10" s="59" t="s">
        <v>61</v>
      </c>
    </row>
    <row r="11" ht="37.5" customHeight="1">
      <c r="A11" s="35" t="s">
        <v>22</v>
      </c>
      <c r="B11" s="47">
        <f t="shared" ref="B11:B15" si="20">($P$11*Y4+$Q$11*Z4+$R$11*AA4)</f>
        <v>1961728.264</v>
      </c>
      <c r="C11" s="47">
        <f t="shared" ref="C11:C15" si="21">($S$11*Y4+$T$11*Z4+$U$11*AA4)</f>
        <v>659614.7356</v>
      </c>
      <c r="D11" s="60">
        <f t="shared" ref="D11:D15" si="22">($P$11*Y4*$P$12+$Q$11*Z4*$Q$12+$R$11*AA4*$R$12)*100</f>
        <v>1040169883</v>
      </c>
      <c r="E11" s="61">
        <f t="shared" ref="E11:E15" si="23">($S$11*Y4*$S$12+$T$11*Z4*$T$12+$U$11*AA4*$U$12)*100</f>
        <v>133801447</v>
      </c>
      <c r="F11" s="62">
        <f t="shared" ref="F11:F15" si="24">D11+E11</f>
        <v>1173971330</v>
      </c>
      <c r="G11" s="62">
        <f t="shared" ref="G11:G15" si="25">F11/$P$14</f>
        <v>29349283.24</v>
      </c>
      <c r="H11" s="63">
        <f t="shared" ref="H11:H15" si="26">F11/Q4</f>
        <v>204.4982163</v>
      </c>
      <c r="I11" s="64" t="s">
        <v>62</v>
      </c>
      <c r="J11" s="65" t="s">
        <v>63</v>
      </c>
      <c r="K11" s="1"/>
      <c r="O11" s="15" t="s">
        <v>64</v>
      </c>
      <c r="P11" s="66">
        <v>0.9858</v>
      </c>
      <c r="Q11" s="66">
        <v>0.8599</v>
      </c>
      <c r="R11" s="66">
        <v>0.4906</v>
      </c>
      <c r="S11" s="67">
        <v>0.0142</v>
      </c>
      <c r="T11" s="67">
        <v>0.1401</v>
      </c>
      <c r="U11" s="68">
        <v>0.5094</v>
      </c>
      <c r="V11" s="69" t="s">
        <v>110</v>
      </c>
      <c r="X11" s="40" t="s">
        <v>66</v>
      </c>
      <c r="Y11" s="47">
        <f t="shared" ref="Y11:AA11" si="19">$Y$3*Y6*0.01</f>
        <v>1355075.64</v>
      </c>
      <c r="Z11" s="47">
        <f t="shared" si="19"/>
        <v>2384736.99</v>
      </c>
      <c r="AA11" s="22">
        <f t="shared" si="19"/>
        <v>2128463.19</v>
      </c>
      <c r="AB11" s="43">
        <f t="shared" si="14"/>
        <v>5868275.82</v>
      </c>
      <c r="AC11" s="58"/>
      <c r="AD11" s="11"/>
      <c r="AE11" s="45"/>
    </row>
    <row r="12" ht="37.5" customHeight="1">
      <c r="A12" s="35" t="s">
        <v>34</v>
      </c>
      <c r="B12" s="47">
        <f t="shared" si="20"/>
        <v>1957744.026</v>
      </c>
      <c r="C12" s="47">
        <f t="shared" si="21"/>
        <v>562448.9741</v>
      </c>
      <c r="D12" s="60">
        <f t="shared" si="22"/>
        <v>1044066563</v>
      </c>
      <c r="E12" s="61">
        <f t="shared" si="23"/>
        <v>114483992.6</v>
      </c>
      <c r="F12" s="62">
        <f t="shared" si="24"/>
        <v>1158550556</v>
      </c>
      <c r="G12" s="62">
        <f t="shared" si="25"/>
        <v>28963763.9</v>
      </c>
      <c r="H12" s="63">
        <f t="shared" si="26"/>
        <v>209.911907</v>
      </c>
      <c r="I12" s="70">
        <f t="shared" ref="I12:I15" si="28">H12-$H$11</f>
        <v>5.413690661</v>
      </c>
      <c r="J12" s="62">
        <f t="shared" ref="J12:J15" si="29">G12-$G$11</f>
        <v>-385519.3479</v>
      </c>
      <c r="O12" s="15" t="s">
        <v>67</v>
      </c>
      <c r="P12" s="45">
        <v>5.8</v>
      </c>
      <c r="Q12" s="45">
        <v>5.2</v>
      </c>
      <c r="R12" s="45">
        <v>4.9</v>
      </c>
      <c r="S12" s="45">
        <v>2.5</v>
      </c>
      <c r="T12" s="45">
        <v>2.1</v>
      </c>
      <c r="U12" s="71">
        <v>2.0</v>
      </c>
      <c r="V12" s="72"/>
      <c r="X12" s="40" t="s">
        <v>68</v>
      </c>
      <c r="Y12" s="47">
        <f t="shared" ref="Y12:AA12" si="27">$Y$3*Y7*0.01</f>
        <v>1330484.13</v>
      </c>
      <c r="Z12" s="47">
        <f t="shared" si="27"/>
        <v>2379682.47</v>
      </c>
      <c r="AA12" s="22">
        <f t="shared" si="27"/>
        <v>1699748.79</v>
      </c>
      <c r="AB12" s="43">
        <f t="shared" si="14"/>
        <v>5409915.39</v>
      </c>
      <c r="AC12" s="58"/>
      <c r="AD12" s="11"/>
    </row>
    <row r="13" ht="37.5" customHeight="1">
      <c r="A13" s="35" t="s">
        <v>36</v>
      </c>
      <c r="B13" s="47">
        <f t="shared" si="20"/>
        <v>2023147.463</v>
      </c>
      <c r="C13" s="47">
        <f t="shared" si="21"/>
        <v>656430.5367</v>
      </c>
      <c r="D13" s="60">
        <f t="shared" si="22"/>
        <v>1074330422</v>
      </c>
      <c r="E13" s="61">
        <f t="shared" si="23"/>
        <v>133251002.4</v>
      </c>
      <c r="F13" s="62">
        <f t="shared" si="24"/>
        <v>1207581424</v>
      </c>
      <c r="G13" s="62">
        <f t="shared" si="25"/>
        <v>30189535.61</v>
      </c>
      <c r="H13" s="63">
        <f t="shared" si="26"/>
        <v>205.7812995</v>
      </c>
      <c r="I13" s="70">
        <f t="shared" si="28"/>
        <v>1.283083198</v>
      </c>
      <c r="J13" s="62">
        <f t="shared" si="29"/>
        <v>840252.3639</v>
      </c>
      <c r="P13" s="15" t="s">
        <v>69</v>
      </c>
      <c r="Q13" s="73"/>
      <c r="V13" s="72"/>
      <c r="X13" s="40" t="s">
        <v>70</v>
      </c>
      <c r="Y13" s="47">
        <f t="shared" ref="Y13:AA13" si="30">$Y$3*Y8*0.01</f>
        <v>0</v>
      </c>
      <c r="Z13" s="47">
        <f t="shared" si="30"/>
        <v>0</v>
      </c>
      <c r="AA13" s="22">
        <f t="shared" si="30"/>
        <v>0</v>
      </c>
      <c r="AB13" s="43">
        <f t="shared" si="14"/>
        <v>0</v>
      </c>
      <c r="AC13" s="58"/>
      <c r="AD13" s="74"/>
    </row>
    <row r="14" ht="37.5" customHeight="1">
      <c r="A14" s="35" t="s">
        <v>38</v>
      </c>
      <c r="B14" s="47">
        <f t="shared" si="20"/>
        <v>1914053.41</v>
      </c>
      <c r="C14" s="47">
        <f t="shared" si="21"/>
        <v>556227.5901</v>
      </c>
      <c r="D14" s="60">
        <f t="shared" si="22"/>
        <v>1019818537</v>
      </c>
      <c r="E14" s="61">
        <f t="shared" si="23"/>
        <v>113199207</v>
      </c>
      <c r="F14" s="62">
        <f t="shared" si="24"/>
        <v>1133017744</v>
      </c>
      <c r="G14" s="62">
        <f t="shared" si="25"/>
        <v>28325443.6</v>
      </c>
      <c r="H14" s="63">
        <f t="shared" si="26"/>
        <v>209.4335423</v>
      </c>
      <c r="I14" s="70">
        <f t="shared" si="28"/>
        <v>4.935326001</v>
      </c>
      <c r="J14" s="62">
        <f t="shared" si="29"/>
        <v>-1023839.646</v>
      </c>
      <c r="P14" s="31">
        <v>40.0</v>
      </c>
      <c r="V14" s="75"/>
      <c r="X14" s="35" t="s">
        <v>71</v>
      </c>
      <c r="Y14" s="45">
        <v>579810.0</v>
      </c>
      <c r="Z14" s="45">
        <v>853496.0</v>
      </c>
      <c r="AA14" s="71">
        <v>837720.0</v>
      </c>
      <c r="AB14" s="76">
        <f t="shared" si="14"/>
        <v>2271026</v>
      </c>
      <c r="AC14" s="58"/>
      <c r="AD14" s="74"/>
    </row>
    <row r="15" ht="37.5" customHeight="1">
      <c r="A15" s="35" t="s">
        <v>40</v>
      </c>
      <c r="B15" s="47">
        <f t="shared" si="20"/>
        <v>0</v>
      </c>
      <c r="C15" s="47">
        <f t="shared" si="21"/>
        <v>0</v>
      </c>
      <c r="D15" s="60">
        <f t="shared" si="22"/>
        <v>0</v>
      </c>
      <c r="E15" s="61">
        <f t="shared" si="23"/>
        <v>0</v>
      </c>
      <c r="F15" s="62">
        <f t="shared" si="24"/>
        <v>0</v>
      </c>
      <c r="G15" s="62">
        <f t="shared" si="25"/>
        <v>0</v>
      </c>
      <c r="H15" s="63" t="str">
        <f t="shared" si="26"/>
        <v>#DIV/0!</v>
      </c>
      <c r="I15" s="76" t="str">
        <f t="shared" si="28"/>
        <v>#DIV/0!</v>
      </c>
      <c r="J15" s="62">
        <f t="shared" si="29"/>
        <v>-29349283.24</v>
      </c>
      <c r="O15" s="11"/>
      <c r="P15" s="9" t="s">
        <v>72</v>
      </c>
      <c r="Q15" s="3"/>
      <c r="R15" s="3"/>
      <c r="S15" s="3"/>
      <c r="T15" s="3"/>
      <c r="U15" s="4"/>
      <c r="V15" s="10"/>
      <c r="X15" s="35" t="s">
        <v>73</v>
      </c>
      <c r="Y15" s="48">
        <v>627501.0</v>
      </c>
      <c r="Z15" s="45">
        <v>904123.0</v>
      </c>
      <c r="AA15" s="71">
        <v>659866.0</v>
      </c>
      <c r="AB15" s="43">
        <f t="shared" si="14"/>
        <v>2191490</v>
      </c>
      <c r="AC15" s="58"/>
      <c r="AD15" s="74"/>
    </row>
    <row r="16" ht="37.5" customHeight="1">
      <c r="O16" s="11"/>
      <c r="P16" s="15" t="s">
        <v>74</v>
      </c>
      <c r="Q16" s="15" t="s">
        <v>75</v>
      </c>
      <c r="R16" s="15" t="s">
        <v>76</v>
      </c>
      <c r="S16" s="15" t="s">
        <v>77</v>
      </c>
      <c r="T16" s="15" t="s">
        <v>78</v>
      </c>
      <c r="U16" s="16"/>
      <c r="V16" s="16"/>
      <c r="X16" s="35" t="s">
        <v>79</v>
      </c>
      <c r="Y16" s="45">
        <v>612435.0</v>
      </c>
      <c r="Z16" s="45">
        <v>890927.0</v>
      </c>
      <c r="AA16" s="71">
        <v>832712.0</v>
      </c>
      <c r="AB16" s="76">
        <f t="shared" si="14"/>
        <v>2336074</v>
      </c>
      <c r="AC16" s="58"/>
    </row>
    <row r="17" ht="37.5" customHeight="1">
      <c r="A17" s="11"/>
      <c r="B17" s="9" t="s">
        <v>80</v>
      </c>
      <c r="C17" s="3"/>
      <c r="D17" s="3"/>
      <c r="E17" s="3"/>
      <c r="F17" s="3"/>
      <c r="G17" s="4"/>
      <c r="H17" s="77"/>
      <c r="O17" s="35" t="s">
        <v>22</v>
      </c>
      <c r="P17" s="19">
        <f t="shared" ref="P17:R17" si="31">(AG$3*Y4*100)</f>
        <v>1455743232</v>
      </c>
      <c r="Q17" s="19">
        <f t="shared" si="31"/>
        <v>2850699730</v>
      </c>
      <c r="R17" s="19">
        <f t="shared" si="31"/>
        <v>2954565700</v>
      </c>
      <c r="S17" s="19">
        <f t="shared" ref="S17:S21" si="33">(AJ$3*AD4*100)</f>
        <v>5052703871</v>
      </c>
      <c r="T17" s="19">
        <f t="shared" ref="T17:T21" si="34">(AE4*AK$3*100)</f>
        <v>-590730000</v>
      </c>
      <c r="U17" s="78"/>
      <c r="V17" s="78"/>
      <c r="X17" s="35" t="s">
        <v>81</v>
      </c>
      <c r="Y17" s="48">
        <v>601477.0</v>
      </c>
      <c r="Z17" s="45">
        <v>889097.0</v>
      </c>
      <c r="AA17" s="71">
        <v>658027.0</v>
      </c>
      <c r="AB17" s="43">
        <f t="shared" si="14"/>
        <v>2148601</v>
      </c>
      <c r="AC17" s="58"/>
    </row>
    <row r="18" ht="37.5" customHeight="1">
      <c r="A18" s="11"/>
      <c r="B18" s="15" t="s">
        <v>82</v>
      </c>
      <c r="C18" s="15" t="s">
        <v>83</v>
      </c>
      <c r="D18" s="15" t="s">
        <v>84</v>
      </c>
      <c r="E18" s="15" t="s">
        <v>85</v>
      </c>
      <c r="F18" s="15" t="s">
        <v>86</v>
      </c>
      <c r="G18" s="15" t="s">
        <v>87</v>
      </c>
      <c r="O18" s="35" t="s">
        <v>34</v>
      </c>
      <c r="P18" s="19">
        <f t="shared" ref="P18:R18" si="32">(AG$3*Y5*100)</f>
        <v>1577846736</v>
      </c>
      <c r="Q18" s="19">
        <f t="shared" si="32"/>
        <v>3008199231</v>
      </c>
      <c r="R18" s="19">
        <f t="shared" si="32"/>
        <v>2334794240</v>
      </c>
      <c r="S18" s="19">
        <f t="shared" si="33"/>
        <v>5518064757</v>
      </c>
      <c r="T18" s="19">
        <f t="shared" si="34"/>
        <v>-610300000</v>
      </c>
      <c r="U18" s="11"/>
      <c r="V18" s="11"/>
      <c r="X18" s="35" t="s">
        <v>88</v>
      </c>
      <c r="Y18" s="45"/>
      <c r="Z18" s="45"/>
      <c r="AA18" s="71"/>
      <c r="AB18" s="76">
        <f t="shared" si="14"/>
        <v>0</v>
      </c>
      <c r="AC18" s="58"/>
    </row>
    <row r="19" ht="37.5" customHeight="1">
      <c r="A19" s="35" t="s">
        <v>22</v>
      </c>
      <c r="B19" s="19">
        <f t="shared" ref="B19:B23" si="38">P17+Q17+R17+S17-T17</f>
        <v>12904442533</v>
      </c>
      <c r="C19" s="19">
        <f t="shared" ref="C19:C23" si="39">P17+Q17+R17</f>
        <v>7261008662</v>
      </c>
      <c r="D19" s="79">
        <f t="shared" ref="D19:D23" si="40">C19/Q4</f>
        <v>1264.820769</v>
      </c>
      <c r="E19" s="79">
        <f t="shared" ref="E19:G19" si="35">P17/$Q4</f>
        <v>253.5810602</v>
      </c>
      <c r="F19" s="79">
        <f t="shared" si="35"/>
        <v>496.5734642</v>
      </c>
      <c r="G19" s="63">
        <f t="shared" si="35"/>
        <v>514.6662447</v>
      </c>
      <c r="H19" s="64" t="s">
        <v>89</v>
      </c>
      <c r="O19" s="35" t="s">
        <v>36</v>
      </c>
      <c r="P19" s="19">
        <f t="shared" ref="P19:R19" si="36">(AG$3*Y6*100)</f>
        <v>1536989904</v>
      </c>
      <c r="Q19" s="19">
        <f t="shared" si="36"/>
        <v>2973843251</v>
      </c>
      <c r="R19" s="19">
        <f t="shared" si="36"/>
        <v>2896264980</v>
      </c>
      <c r="S19" s="19">
        <f t="shared" si="33"/>
        <v>4795891322</v>
      </c>
      <c r="T19" s="19">
        <f t="shared" si="34"/>
        <v>-678392500</v>
      </c>
      <c r="U19" s="11"/>
      <c r="V19" s="11"/>
      <c r="X19" s="40" t="s">
        <v>90</v>
      </c>
      <c r="Y19" s="47">
        <f t="shared" ref="Y19:AA19" si="37">Y14*Y$3*0.01</f>
        <v>1269783.9</v>
      </c>
      <c r="Z19" s="47">
        <f t="shared" si="37"/>
        <v>657191.92</v>
      </c>
      <c r="AA19" s="22">
        <f t="shared" si="37"/>
        <v>50263.2</v>
      </c>
      <c r="AB19" s="80">
        <f t="shared" si="14"/>
        <v>1977239.02</v>
      </c>
      <c r="AC19" s="81">
        <v>378820.0</v>
      </c>
    </row>
    <row r="20" ht="37.5" customHeight="1">
      <c r="A20" s="35" t="s">
        <v>34</v>
      </c>
      <c r="B20" s="19">
        <f t="shared" si="38"/>
        <v>13049204964</v>
      </c>
      <c r="C20" s="19">
        <f t="shared" si="39"/>
        <v>6920840207</v>
      </c>
      <c r="D20" s="79">
        <f t="shared" si="40"/>
        <v>1253.951982</v>
      </c>
      <c r="E20" s="79">
        <f t="shared" ref="E20:G20" si="41">P18/$Q5</f>
        <v>285.8820581</v>
      </c>
      <c r="F20" s="79">
        <f t="shared" si="41"/>
        <v>545.0403817</v>
      </c>
      <c r="G20" s="63">
        <f t="shared" si="41"/>
        <v>423.0295423</v>
      </c>
      <c r="H20" s="70">
        <f t="shared" ref="H20:H23" si="45">D20-$D$19</f>
        <v>-10.86878697</v>
      </c>
      <c r="O20" s="35" t="s">
        <v>38</v>
      </c>
      <c r="P20" s="19">
        <f t="shared" ref="P20:R20" si="42">(AG$3*Y7*100)</f>
        <v>1509097068</v>
      </c>
      <c r="Q20" s="19">
        <f t="shared" si="42"/>
        <v>2967540103</v>
      </c>
      <c r="R20" s="19">
        <f t="shared" si="42"/>
        <v>2312900180</v>
      </c>
      <c r="S20" s="19">
        <f t="shared" si="33"/>
        <v>5744216029</v>
      </c>
      <c r="T20" s="19">
        <f t="shared" si="34"/>
        <v>-700277500</v>
      </c>
      <c r="X20" s="40" t="s">
        <v>91</v>
      </c>
      <c r="Y20" s="47">
        <f t="shared" ref="Y20:AA20" si="43">Y15*Y$3*0.01</f>
        <v>1374227.19</v>
      </c>
      <c r="Z20" s="47">
        <f t="shared" si="43"/>
        <v>696174.71</v>
      </c>
      <c r="AA20" s="22">
        <f t="shared" si="43"/>
        <v>39591.96</v>
      </c>
      <c r="AB20" s="80">
        <f t="shared" si="14"/>
        <v>2109993.86</v>
      </c>
      <c r="AC20" s="81">
        <v>368374.0</v>
      </c>
    </row>
    <row r="21" ht="37.5" customHeight="1">
      <c r="A21" s="35" t="s">
        <v>36</v>
      </c>
      <c r="B21" s="19">
        <f t="shared" si="38"/>
        <v>12881381957</v>
      </c>
      <c r="C21" s="19">
        <f t="shared" si="39"/>
        <v>7407098135</v>
      </c>
      <c r="D21" s="79">
        <f t="shared" si="40"/>
        <v>1262.227333</v>
      </c>
      <c r="E21" s="79">
        <f t="shared" ref="E21:G21" si="44">P19/$Q6</f>
        <v>261.9150754</v>
      </c>
      <c r="F21" s="79">
        <f t="shared" si="44"/>
        <v>506.7661</v>
      </c>
      <c r="G21" s="63">
        <f t="shared" si="44"/>
        <v>493.5461571</v>
      </c>
      <c r="H21" s="70">
        <f t="shared" si="45"/>
        <v>-2.593436568</v>
      </c>
      <c r="K21" s="82"/>
      <c r="O21" s="35" t="s">
        <v>40</v>
      </c>
      <c r="P21" s="19">
        <f t="shared" ref="P21:R21" si="46">(AG$3*Y8*100)</f>
        <v>0</v>
      </c>
      <c r="Q21" s="19">
        <f t="shared" si="46"/>
        <v>0</v>
      </c>
      <c r="R21" s="19">
        <f t="shared" si="46"/>
        <v>0</v>
      </c>
      <c r="S21" s="19">
        <f t="shared" si="33"/>
        <v>0</v>
      </c>
      <c r="T21" s="19">
        <f t="shared" si="34"/>
        <v>0</v>
      </c>
      <c r="U21" s="1"/>
      <c r="X21" s="40" t="s">
        <v>92</v>
      </c>
      <c r="Y21" s="47">
        <f t="shared" ref="Y21:AA21" si="47">Y16*Y$3*0.01</f>
        <v>1341232.65</v>
      </c>
      <c r="Z21" s="47">
        <f t="shared" si="47"/>
        <v>686013.79</v>
      </c>
      <c r="AA21" s="22">
        <f t="shared" si="47"/>
        <v>49962.72</v>
      </c>
      <c r="AB21" s="80">
        <f t="shared" si="14"/>
        <v>2077209.16</v>
      </c>
      <c r="AC21" s="81">
        <v>341439.0</v>
      </c>
    </row>
    <row r="22" ht="37.5" customHeight="1">
      <c r="A22" s="35" t="s">
        <v>38</v>
      </c>
      <c r="B22" s="19">
        <f t="shared" si="38"/>
        <v>13234030880</v>
      </c>
      <c r="C22" s="19">
        <f t="shared" si="39"/>
        <v>6789537351</v>
      </c>
      <c r="D22" s="79">
        <f t="shared" si="40"/>
        <v>1255.01729</v>
      </c>
      <c r="E22" s="79">
        <f t="shared" ref="E22:G22" si="48">P20/$Q7</f>
        <v>278.9502163</v>
      </c>
      <c r="F22" s="79">
        <f t="shared" si="48"/>
        <v>548.5372486</v>
      </c>
      <c r="G22" s="63">
        <f t="shared" si="48"/>
        <v>427.529825</v>
      </c>
      <c r="H22" s="70">
        <f t="shared" si="45"/>
        <v>-9.803479291</v>
      </c>
      <c r="K22" s="82"/>
      <c r="R22" s="1"/>
      <c r="S22" s="1"/>
      <c r="T22" s="1"/>
      <c r="U22" s="16"/>
      <c r="X22" s="40" t="s">
        <v>93</v>
      </c>
      <c r="Y22" s="47">
        <f t="shared" ref="Y22:AA22" si="49">Y17*Y$3*0.01</f>
        <v>1317234.63</v>
      </c>
      <c r="Z22" s="47">
        <f t="shared" si="49"/>
        <v>684604.69</v>
      </c>
      <c r="AA22" s="22">
        <f t="shared" si="49"/>
        <v>39481.62</v>
      </c>
      <c r="AB22" s="80">
        <f t="shared" si="14"/>
        <v>2041320.94</v>
      </c>
      <c r="AC22" s="81">
        <v>332709.0</v>
      </c>
    </row>
    <row r="23" ht="37.5" customHeight="1">
      <c r="A23" s="35" t="s">
        <v>40</v>
      </c>
      <c r="B23" s="19">
        <f t="shared" si="38"/>
        <v>0</v>
      </c>
      <c r="C23" s="19">
        <f t="shared" si="39"/>
        <v>0</v>
      </c>
      <c r="D23" s="79" t="str">
        <f t="shared" si="40"/>
        <v>#DIV/0!</v>
      </c>
      <c r="E23" s="79" t="str">
        <f t="shared" ref="E23:G23" si="50">P21/$Q8</f>
        <v>#DIV/0!</v>
      </c>
      <c r="F23" s="79" t="str">
        <f t="shared" si="50"/>
        <v>#DIV/0!</v>
      </c>
      <c r="G23" s="63" t="str">
        <f t="shared" si="50"/>
        <v>#DIV/0!</v>
      </c>
      <c r="H23" s="76" t="str">
        <f t="shared" si="45"/>
        <v>#DIV/0!</v>
      </c>
      <c r="P23" s="9" t="s">
        <v>94</v>
      </c>
      <c r="Q23" s="4"/>
      <c r="R23" s="1"/>
      <c r="S23" s="1"/>
      <c r="T23" s="1"/>
      <c r="X23" s="40" t="s">
        <v>95</v>
      </c>
      <c r="Y23" s="47">
        <f t="shared" ref="Y23:AA23" si="51">Y18*Y$3*0.01</f>
        <v>0</v>
      </c>
      <c r="Z23" s="47">
        <f t="shared" si="51"/>
        <v>0</v>
      </c>
      <c r="AA23" s="22">
        <f t="shared" si="51"/>
        <v>0</v>
      </c>
      <c r="AB23" s="80">
        <f t="shared" si="14"/>
        <v>0</v>
      </c>
      <c r="AC23" s="81"/>
    </row>
    <row r="24" ht="37.5" customHeight="1">
      <c r="P24" s="15" t="s">
        <v>96</v>
      </c>
      <c r="Q24" s="15" t="s">
        <v>97</v>
      </c>
      <c r="R24" s="1"/>
      <c r="S24" s="1"/>
      <c r="T24" s="1"/>
    </row>
    <row r="25" ht="37.5" customHeight="1">
      <c r="B25" s="9" t="s">
        <v>98</v>
      </c>
      <c r="C25" s="3"/>
      <c r="D25" s="3"/>
      <c r="E25" s="3"/>
      <c r="F25" s="3"/>
      <c r="G25" s="4"/>
      <c r="O25" s="35" t="s">
        <v>34</v>
      </c>
      <c r="P25" s="60">
        <f t="shared" ref="P25:P28" si="52">($P$30*D12)+($P$30*E12)</f>
        <v>231710111.2</v>
      </c>
      <c r="Q25" s="60">
        <f t="shared" ref="Q25:Q28" si="53">$Q$30*D12+$Q$30*E12</f>
        <v>115855055.6</v>
      </c>
    </row>
    <row r="26" ht="37.5" customHeight="1">
      <c r="B26" s="15" t="s">
        <v>99</v>
      </c>
      <c r="C26" s="15" t="s">
        <v>100</v>
      </c>
      <c r="D26" s="15" t="s">
        <v>101</v>
      </c>
      <c r="E26" s="15" t="s">
        <v>102</v>
      </c>
      <c r="F26" s="15" t="s">
        <v>103</v>
      </c>
      <c r="G26" s="7" t="s">
        <v>104</v>
      </c>
      <c r="H26" s="83" t="s">
        <v>105</v>
      </c>
      <c r="I26" s="84" t="s">
        <v>106</v>
      </c>
      <c r="J26" s="84" t="s">
        <v>107</v>
      </c>
      <c r="O26" s="35" t="s">
        <v>36</v>
      </c>
      <c r="P26" s="60">
        <f t="shared" si="52"/>
        <v>241516284.9</v>
      </c>
      <c r="Q26" s="60">
        <f t="shared" si="53"/>
        <v>120758142.4</v>
      </c>
    </row>
    <row r="27" ht="37.5" customHeight="1">
      <c r="A27" s="35" t="s">
        <v>34</v>
      </c>
      <c r="B27" s="19">
        <f t="shared" ref="B27:B30" si="54">B20-(J4*365)</f>
        <v>11237817435</v>
      </c>
      <c r="C27" s="19">
        <f t="shared" ref="C27:C30" si="55">B27-B20</f>
        <v>-1811387529</v>
      </c>
      <c r="D27" s="19">
        <f t="shared" ref="D27:D30" si="56">B20+(P25*$AL$3)</f>
        <v>11427234186</v>
      </c>
      <c r="E27" s="19">
        <f t="shared" ref="E27:E30" si="57">D27-B20</f>
        <v>-1621970778</v>
      </c>
      <c r="F27" s="19">
        <f t="shared" ref="F27:F30" si="58">B20+(Q25*$AK$3)</f>
        <v>10152828574</v>
      </c>
      <c r="G27" s="85">
        <f t="shared" ref="G27:G30" si="59">F27-B20</f>
        <v>-2896376390</v>
      </c>
      <c r="H27" s="86">
        <f t="shared" ref="H27:H30" si="60">C27+E27+G27</f>
        <v>-6329734697</v>
      </c>
      <c r="I27" s="18">
        <f t="shared" ref="I27:I30" si="61">1-(B20+H27)/B20</f>
        <v>0.4850666929</v>
      </c>
      <c r="J27" s="18">
        <f t="shared" ref="J27:J30" si="62">1-(B20+C27)/(B20)</f>
        <v>0.1388120988</v>
      </c>
      <c r="O27" s="35" t="s">
        <v>38</v>
      </c>
      <c r="P27" s="60">
        <f t="shared" si="52"/>
        <v>226603548.8</v>
      </c>
      <c r="Q27" s="60">
        <f t="shared" si="53"/>
        <v>113301774.4</v>
      </c>
    </row>
    <row r="28" ht="37.5" customHeight="1">
      <c r="A28" s="35" t="s">
        <v>36</v>
      </c>
      <c r="B28" s="19">
        <f t="shared" si="54"/>
        <v>11098139437</v>
      </c>
      <c r="C28" s="19">
        <f t="shared" si="55"/>
        <v>-1783242520</v>
      </c>
      <c r="D28" s="19">
        <f t="shared" si="56"/>
        <v>11190767963</v>
      </c>
      <c r="E28" s="19">
        <f t="shared" si="57"/>
        <v>-1690613994</v>
      </c>
      <c r="F28" s="19">
        <f t="shared" si="58"/>
        <v>9862428396</v>
      </c>
      <c r="G28" s="85">
        <f t="shared" si="59"/>
        <v>-3018953561</v>
      </c>
      <c r="H28" s="86">
        <f t="shared" si="60"/>
        <v>-6492810074</v>
      </c>
      <c r="I28" s="18">
        <f t="shared" si="61"/>
        <v>0.5040460795</v>
      </c>
      <c r="J28" s="18">
        <f t="shared" si="62"/>
        <v>0.1384356528</v>
      </c>
      <c r="O28" s="35" t="s">
        <v>40</v>
      </c>
      <c r="P28" s="60">
        <f t="shared" si="52"/>
        <v>0</v>
      </c>
      <c r="Q28" s="60">
        <f t="shared" si="53"/>
        <v>0</v>
      </c>
    </row>
    <row r="29" ht="37.5" customHeight="1">
      <c r="A29" s="35" t="s">
        <v>38</v>
      </c>
      <c r="B29" s="19">
        <f t="shared" si="54"/>
        <v>11481597679</v>
      </c>
      <c r="C29" s="19">
        <f t="shared" si="55"/>
        <v>-1752433201</v>
      </c>
      <c r="D29" s="19">
        <f t="shared" si="56"/>
        <v>11647806039</v>
      </c>
      <c r="E29" s="19">
        <f t="shared" si="57"/>
        <v>-1586224841</v>
      </c>
      <c r="F29" s="19">
        <f t="shared" si="58"/>
        <v>10401486520</v>
      </c>
      <c r="G29" s="85">
        <f t="shared" si="59"/>
        <v>-2832544360</v>
      </c>
      <c r="H29" s="86">
        <f t="shared" si="60"/>
        <v>-6171202402</v>
      </c>
      <c r="I29" s="18">
        <f t="shared" si="61"/>
        <v>0.466313133</v>
      </c>
      <c r="J29" s="18">
        <f t="shared" si="62"/>
        <v>0.1324187027</v>
      </c>
      <c r="P29" s="15" t="s">
        <v>108</v>
      </c>
      <c r="Q29" s="15" t="s">
        <v>109</v>
      </c>
    </row>
    <row r="30" ht="37.5" customHeight="1">
      <c r="A30" s="35" t="s">
        <v>40</v>
      </c>
      <c r="B30" s="19">
        <f t="shared" si="54"/>
        <v>0</v>
      </c>
      <c r="C30" s="19">
        <f t="shared" si="55"/>
        <v>0</v>
      </c>
      <c r="D30" s="19">
        <f t="shared" si="56"/>
        <v>0</v>
      </c>
      <c r="E30" s="19">
        <f t="shared" si="57"/>
        <v>0</v>
      </c>
      <c r="F30" s="19">
        <f t="shared" si="58"/>
        <v>0</v>
      </c>
      <c r="G30" s="85">
        <f t="shared" si="59"/>
        <v>0</v>
      </c>
      <c r="H30" s="86">
        <f t="shared" si="60"/>
        <v>0</v>
      </c>
      <c r="I30" s="18" t="str">
        <f t="shared" si="61"/>
        <v>#DIV/0!</v>
      </c>
      <c r="J30" s="18" t="str">
        <f t="shared" si="62"/>
        <v>#DIV/0!</v>
      </c>
      <c r="P30" s="87">
        <v>0.2</v>
      </c>
      <c r="Q30" s="87">
        <v>0.1</v>
      </c>
    </row>
  </sheetData>
  <mergeCells count="19">
    <mergeCell ref="T4:T8"/>
    <mergeCell ref="U4:U8"/>
    <mergeCell ref="AC9:AC18"/>
    <mergeCell ref="V11:V14"/>
    <mergeCell ref="Q13:U14"/>
    <mergeCell ref="P15:U15"/>
    <mergeCell ref="P23:Q23"/>
    <mergeCell ref="B1:J1"/>
    <mergeCell ref="B9:H9"/>
    <mergeCell ref="B17:G17"/>
    <mergeCell ref="B25:G25"/>
    <mergeCell ref="P1:V1"/>
    <mergeCell ref="Y1:AC1"/>
    <mergeCell ref="AG1:AI1"/>
    <mergeCell ref="P2:V2"/>
    <mergeCell ref="AC3:AE3"/>
    <mergeCell ref="R4:R8"/>
    <mergeCell ref="V4:V8"/>
    <mergeCell ref="P9:U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