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rksoro/git-projects/Business-Analytics/Introduction-to-Data/L8-Excel-Modeling/Misc/"/>
    </mc:Choice>
  </mc:AlternateContent>
  <xr:revisionPtr revIDLastSave="0" documentId="13_ncr:1_{D459925B-0907-2145-9089-E38FCC58EDC3}" xr6:coauthVersionLast="45" xr6:coauthVersionMax="45" xr10:uidLastSave="{00000000-0000-0000-0000-000000000000}"/>
  <bookViews>
    <workbookView xWindow="800" yWindow="920" windowWidth="31400" windowHeight="18860" activeTab="1" xr2:uid="{00000000-000D-0000-FFFF-FFFF00000000}"/>
  </bookViews>
  <sheets>
    <sheet name="Forecast" sheetId="9" r:id="rId1"/>
    <sheet name="Dataset" sheetId="1" r:id="rId2"/>
    <sheet name="Index_intro" sheetId="7" r:id="rId3"/>
    <sheet name="Pivot" sheetId="4" r:id="rId4"/>
    <sheet name="Match_intro" sheetId="8" r:id="rId5"/>
    <sheet name="Data Validation" sheetId="5" r:id="rId6"/>
  </sheets>
  <definedNames>
    <definedName name="cases">Forecast!$C$22:$C$25</definedName>
    <definedName name="company_list">Pivot!$C$4:$C$7</definedName>
    <definedName name="cost_of_revenue">Dataset!$F$2:$F$13</definedName>
    <definedName name="gross_margin">Dataset!$K$2:$K$13</definedName>
    <definedName name="gross_profit">Dataset!$I$2:$I$13</definedName>
    <definedName name="operating_margin">Dataset!$L$2:$L$13</definedName>
    <definedName name="operating_profit_operating_income__ebit">Dataset!$J$2:$J$13</definedName>
    <definedName name="other_operating_items">Dataset!$H$2:$H$13</definedName>
    <definedName name="period_ending">Dataset!$D$2:$D$13</definedName>
    <definedName name="_xlnm.Print_Area" localSheetId="0">Forecast!$A$1:$G$35</definedName>
    <definedName name="_xlnm.Print_Area" localSheetId="2">Index_intro!$A$1:$G$35</definedName>
    <definedName name="sga">Dataset!$G$2:$G$13</definedName>
    <definedName name="ticker_symbol">Match_intro!$B$2:$B$13</definedName>
    <definedName name="total_revenue">Dataset!$E$2:$E$13</definedName>
    <definedName name="years">Match_intro!$C$2:$C$13</definedName>
  </definedNames>
  <calcPr calcId="191029"/>
  <pivotCaches>
    <pivotCache cacheId="6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" i="1" l="1"/>
  <c r="J18" i="9"/>
  <c r="J7" i="9" s="1"/>
  <c r="H18" i="9" l="1"/>
  <c r="J26" i="9"/>
  <c r="J27" i="9"/>
  <c r="F18" i="9"/>
  <c r="K2" i="1"/>
  <c r="I2" i="1"/>
  <c r="N12" i="8" a="1"/>
  <c r="N12" i="8" s="1"/>
  <c r="N4" i="8"/>
  <c r="N5" i="8"/>
  <c r="H20" i="9"/>
  <c r="I18" i="9"/>
  <c r="I20" i="9"/>
  <c r="I19" i="9"/>
  <c r="H19" i="9"/>
  <c r="F20" i="9" a="1"/>
  <c r="F20" i="9" s="1"/>
  <c r="G20" i="9" a="1"/>
  <c r="G20" i="9" s="1"/>
  <c r="E20" i="9" a="1"/>
  <c r="E20" i="9" s="1"/>
  <c r="G19" i="9" a="1"/>
  <c r="G19" i="9" s="1"/>
  <c r="F19" i="9" a="1"/>
  <c r="F19" i="9" s="1"/>
  <c r="E19" i="9" a="1"/>
  <c r="E19" i="9" s="1"/>
  <c r="L3" i="1"/>
  <c r="L4" i="1"/>
  <c r="L5" i="1"/>
  <c r="L6" i="1"/>
  <c r="L7" i="1"/>
  <c r="L8" i="1"/>
  <c r="L9" i="1"/>
  <c r="L10" i="1"/>
  <c r="L11" i="1"/>
  <c r="L12" i="1"/>
  <c r="L13" i="1"/>
  <c r="K13" i="1"/>
  <c r="K3" i="1"/>
  <c r="K4" i="1"/>
  <c r="K5" i="1"/>
  <c r="K6" i="1"/>
  <c r="K7" i="1"/>
  <c r="K8" i="1"/>
  <c r="K9" i="1"/>
  <c r="K10" i="1"/>
  <c r="K11" i="1"/>
  <c r="K12" i="1"/>
  <c r="J3" i="1"/>
  <c r="J4" i="1"/>
  <c r="J5" i="1"/>
  <c r="J6" i="1"/>
  <c r="J7" i="1"/>
  <c r="J8" i="1"/>
  <c r="J9" i="1"/>
  <c r="J10" i="1"/>
  <c r="J11" i="1"/>
  <c r="J12" i="1"/>
  <c r="J13" i="1"/>
  <c r="J2" i="1"/>
  <c r="I3" i="1"/>
  <c r="I4" i="1"/>
  <c r="I5" i="1"/>
  <c r="I6" i="1"/>
  <c r="I7" i="1"/>
  <c r="I8" i="1"/>
  <c r="I9" i="1"/>
  <c r="I10" i="1"/>
  <c r="I11" i="1"/>
  <c r="I12" i="1"/>
  <c r="I13" i="1"/>
  <c r="G11" i="9" a="1"/>
  <c r="G11" i="9" s="1"/>
  <c r="F11" i="9" a="1"/>
  <c r="F11" i="9" s="1"/>
  <c r="E11" i="9" a="1"/>
  <c r="E11" i="9" s="1"/>
  <c r="G10" i="9" a="1"/>
  <c r="G10" i="9" s="1"/>
  <c r="F10" i="9" a="1"/>
  <c r="F10" i="9" s="1"/>
  <c r="E10" i="9" a="1"/>
  <c r="E10" i="9" s="1"/>
  <c r="G8" i="9" a="1"/>
  <c r="G8" i="9" s="1"/>
  <c r="F8" i="9" a="1"/>
  <c r="F8" i="9" s="1"/>
  <c r="E8" i="9" a="1"/>
  <c r="E8" i="9" s="1"/>
  <c r="G7" i="9" a="1"/>
  <c r="G7" i="9" s="1"/>
  <c r="F7" i="9" a="1"/>
  <c r="F7" i="9" s="1"/>
  <c r="E7" i="9" a="1"/>
  <c r="E7" i="9" s="1"/>
  <c r="E11" i="7" a="1"/>
  <c r="E11" i="7" s="1"/>
  <c r="E10" i="7" a="1"/>
  <c r="E10" i="7" s="1"/>
  <c r="E8" i="7" a="1"/>
  <c r="E8" i="7" s="1"/>
  <c r="E7" i="7" a="1"/>
  <c r="E7" i="7" s="1"/>
  <c r="F11" i="7" a="1"/>
  <c r="F11" i="7" s="1"/>
  <c r="F10" i="7" a="1"/>
  <c r="F10" i="7" s="1"/>
  <c r="F8" i="7" a="1"/>
  <c r="F8" i="7" s="1"/>
  <c r="F7" i="7" a="1"/>
  <c r="F7" i="7" s="1"/>
  <c r="G11" i="7" a="1"/>
  <c r="G11" i="7" s="1"/>
  <c r="G10" i="7" a="1"/>
  <c r="G10" i="7" s="1"/>
  <c r="G8" i="7" a="1"/>
  <c r="G8" i="7" s="1"/>
  <c r="N10" i="8" a="1"/>
  <c r="N10" i="8" s="1"/>
  <c r="N6" i="8"/>
  <c r="G7" i="7" a="1"/>
  <c r="G7" i="7" s="1"/>
  <c r="H7" i="9" l="1"/>
  <c r="I7" i="9" s="1"/>
  <c r="I13" i="9" s="1"/>
  <c r="G9" i="9"/>
  <c r="J35" i="9"/>
  <c r="K31" i="9"/>
  <c r="K30" i="9"/>
  <c r="K35" i="9"/>
  <c r="J32" i="9"/>
  <c r="K32" i="9"/>
  <c r="K34" i="9"/>
  <c r="K36" i="9"/>
  <c r="J30" i="9"/>
  <c r="J31" i="9"/>
  <c r="J34" i="9"/>
  <c r="J36" i="9"/>
  <c r="J20" i="9" s="1"/>
  <c r="J13" i="9" s="1"/>
  <c r="G18" i="9"/>
  <c r="E9" i="9"/>
  <c r="E12" i="9"/>
  <c r="F9" i="9"/>
  <c r="E12" i="7"/>
  <c r="F12" i="9"/>
  <c r="G12" i="9"/>
  <c r="E9" i="7"/>
  <c r="F9" i="7"/>
  <c r="F12" i="7"/>
  <c r="G12" i="7"/>
  <c r="G9" i="7"/>
  <c r="E13" i="7" l="1"/>
  <c r="H13" i="9"/>
  <c r="K26" i="9"/>
  <c r="K19" i="9"/>
  <c r="K20" i="9"/>
  <c r="J19" i="9"/>
  <c r="J9" i="9" s="1"/>
  <c r="K27" i="9"/>
  <c r="K28" i="9"/>
  <c r="K18" i="9" s="1"/>
  <c r="K7" i="9" s="1"/>
  <c r="J28" i="9"/>
  <c r="F13" i="9"/>
  <c r="E13" i="9"/>
  <c r="G13" i="9"/>
  <c r="F13" i="7"/>
  <c r="G13" i="7"/>
  <c r="K13" i="9" l="1"/>
  <c r="I9" i="9"/>
  <c r="H9" i="9"/>
  <c r="K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<sst xmlns="http://schemas.openxmlformats.org/spreadsheetml/2006/main" count="165" uniqueCount="67">
  <si>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</si>
  <si>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</si>
  <si>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</si>
  <si>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</si>
  <si>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</si>
  <si>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</si>
  <si>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</si>
  <si>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NAVI</t>
  </si>
  <si>
    <t>Year 1</t>
  </si>
  <si>
    <t>Year 2</t>
  </si>
  <si>
    <t>Year 3</t>
  </si>
  <si>
    <t>PYPL</t>
  </si>
  <si>
    <t>QRVO</t>
  </si>
  <si>
    <t>WRK</t>
  </si>
  <si>
    <t>Row Labels</t>
  </si>
  <si>
    <t>Grand Total</t>
  </si>
  <si>
    <t>Income Statement</t>
  </si>
  <si>
    <t>Historical</t>
  </si>
  <si>
    <t>Revenue</t>
  </si>
  <si>
    <t>COGS</t>
  </si>
  <si>
    <t>Gross Profit</t>
  </si>
  <si>
    <t>Other operating expenses</t>
  </si>
  <si>
    <t>Total operating expenses</t>
  </si>
  <si>
    <t>Operating income/EBIT</t>
  </si>
  <si>
    <t>Formula</t>
  </si>
  <si>
    <t>=INDEX(total_revenue,1)</t>
  </si>
  <si>
    <t>=INDEX(cost_of_revenue,1)</t>
  </si>
  <si>
    <t>Revenue - Cogs</t>
  </si>
  <si>
    <t>=INDEX(sga,1)</t>
  </si>
  <si>
    <t>=INDEX(other_operating_items,1)</t>
  </si>
  <si>
    <t>Sum(SGA, OOE)</t>
  </si>
  <si>
    <t>One criterion</t>
  </si>
  <si>
    <t>Need location of ticker symbol in K2</t>
  </si>
  <si>
    <t>=match(k2,ticker_symbol,0)</t>
  </si>
  <si>
    <t>Returned Value</t>
  </si>
  <si>
    <t>=index(total_revenue,1)</t>
  </si>
  <si>
    <t>=INDEX(total_revenue,MATCH(K2,ticker_symbol,0))</t>
  </si>
  <si>
    <t>multiple criterion</t>
  </si>
  <si>
    <t>Year</t>
  </si>
  <si>
    <t>=INDEX(total_revenue,MATCH(1,(K2=ticker_symbol)*(K3=years),0))</t>
  </si>
  <si>
    <t>Need location of ticker symbol in K2 and year in K3</t>
  </si>
  <si>
    <t>Gross profit - total oprating expense</t>
  </si>
  <si>
    <t>Cost of Revenue/Cost of Sales/Cost of Goods Sold</t>
  </si>
  <si>
    <t>Operating Profit/Operating Income /EBIT</t>
  </si>
  <si>
    <t>Gross Margin (Total Sales Revenue - COGS)/Total Sales Revenue</t>
  </si>
  <si>
    <t>Operating Margin(Operating Income/Total Revenue)</t>
  </si>
  <si>
    <t>Year 4</t>
  </si>
  <si>
    <t>Year 5</t>
  </si>
  <si>
    <t>Operating Statistics</t>
  </si>
  <si>
    <t>Revenue growth (%)</t>
  </si>
  <si>
    <t>Gross Margin</t>
  </si>
  <si>
    <t>Operating Margin</t>
  </si>
  <si>
    <t>(Current Period Revenue - Prior Period revenue) / Prior period revenue</t>
  </si>
  <si>
    <t>Scenario</t>
  </si>
  <si>
    <t>Strong case</t>
  </si>
  <si>
    <t>Base case</t>
  </si>
  <si>
    <t>Weak case</t>
  </si>
  <si>
    <t>Operating Scenarios - Sensitivity Analysis</t>
  </si>
  <si>
    <t>My Forecast</t>
  </si>
  <si>
    <t>Udacity's Forecast</t>
  </si>
  <si>
    <t>Year4</t>
  </si>
  <si>
    <t>=H7*(1+I18) Prior Year Revenue*(1+assumption year growth)</t>
  </si>
  <si>
    <t>=I7*I19 forecast year Revenue* assumption gross margin</t>
  </si>
  <si>
    <t>=I7*I20 forecast year revenue*assumption operating margin</t>
  </si>
  <si>
    <t>My Assumptions</t>
  </si>
  <si>
    <t>Udacity's Assumptions</t>
  </si>
  <si>
    <t>=MATCH(1,(K2=ticker_symbol)*(K3=years),0)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</si>
</sst>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[$$-409]* #,##0.00_);_([$$-409]* \(#,##0.00\);_([$$-409]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3">
    <xf numFmtId="0" fontId="0" fillId="0" borderId="0" xfId="0"/>
    <xf numFmtId="14" fontId="0" fillId="0" borderId="0" xfId="1" applyNumberFormat="1" applyFont="1"/>
    <xf numFmtId="0" fontId="3" fillId="0" borderId="0" xfId="0" applyFont="1" applyBorder="1" applyAlignment="1">
      <alignment wrapText="1"/>
    </xf>
    <xf numFmtId="14" fontId="3" fillId="0" borderId="0" xfId="1" applyNumberFormat="1" applyFont="1" applyBorder="1" applyAlignment="1">
      <alignment wrapText="1"/>
    </xf>
    <xf numFmtId="164" fontId="3" fillId="0" borderId="0" xfId="1" applyNumberFormat="1" applyFont="1" applyBorder="1" applyAlignment="1">
      <alignment wrapText="1"/>
    </xf>
    <xf numFmtId="164" fontId="0" fillId="0" borderId="0" xfId="1" applyNumberFormat="1" applyFont="1" applyAlignment="1">
      <alignment horizontal="left" vertical="top"/>
    </xf>
    <xf numFmtId="164" fontId="2" fillId="0" borderId="0" xfId="1" applyNumberFormat="1" applyFont="1" applyBorder="1" applyAlignment="1">
      <alignment horizontal="left" vertical="top" wrapText="1"/>
    </xf>
    <xf numFmtId="164" fontId="0" fillId="0" borderId="0" xfId="1" applyNumberFormat="1" applyFont="1" applyBorder="1" applyAlignment="1">
      <alignment horizontal="left" vertical="top" wrapText="1"/>
    </xf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left" indent="2"/>
    </xf>
    <xf numFmtId="0" fontId="0" fillId="0" borderId="0" xfId="0" applyAlignment="1">
      <alignment horizontal="left" vertical="center" indent="2"/>
    </xf>
    <xf numFmtId="0" fontId="5" fillId="0" borderId="0" xfId="0" applyFont="1" applyAlignment="1">
      <alignment horizontal="left" vertical="center" indent="2"/>
    </xf>
    <xf numFmtId="0" fontId="3" fillId="3" borderId="0" xfId="0" applyFont="1" applyFill="1"/>
    <xf numFmtId="0" fontId="0" fillId="3" borderId="0" xfId="0" applyFill="1"/>
    <xf numFmtId="44" fontId="0" fillId="0" borderId="0" xfId="1" applyFont="1"/>
    <xf numFmtId="165" fontId="0" fillId="0" borderId="0" xfId="1" applyNumberFormat="1" applyFont="1"/>
    <xf numFmtId="165" fontId="0" fillId="0" borderId="0" xfId="0" applyNumberFormat="1"/>
    <xf numFmtId="165" fontId="0" fillId="3" borderId="0" xfId="0" applyNumberFormat="1" applyFill="1"/>
    <xf numFmtId="165" fontId="6" fillId="0" borderId="0" xfId="0" applyNumberFormat="1" applyFont="1"/>
    <xf numFmtId="0" fontId="0" fillId="4" borderId="0" xfId="0" applyFill="1"/>
    <xf numFmtId="0" fontId="0" fillId="0" borderId="0" xfId="0" quotePrefix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quotePrefix="1" applyAlignment="1"/>
    <xf numFmtId="44" fontId="0" fillId="0" borderId="0" xfId="1" quotePrefix="1" applyFont="1"/>
    <xf numFmtId="164" fontId="3" fillId="0" borderId="0" xfId="1" applyNumberFormat="1" applyFont="1" applyFill="1" applyBorder="1" applyAlignment="1">
      <alignment wrapText="1"/>
    </xf>
    <xf numFmtId="2" fontId="6" fillId="0" borderId="0" xfId="2" applyNumberFormat="1" applyFont="1"/>
    <xf numFmtId="164" fontId="6" fillId="0" borderId="0" xfId="0" applyNumberFormat="1" applyFont="1"/>
    <xf numFmtId="164" fontId="3" fillId="5" borderId="0" xfId="1" applyNumberFormat="1" applyFont="1" applyFill="1" applyBorder="1" applyAlignment="1">
      <alignment wrapText="1"/>
    </xf>
    <xf numFmtId="0" fontId="3" fillId="5" borderId="0" xfId="0" applyFont="1" applyFill="1" applyAlignment="1">
      <alignment wrapText="1"/>
    </xf>
    <xf numFmtId="2" fontId="6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0" fillId="0" borderId="5" xfId="0" quotePrefix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3" fillId="0" borderId="0" xfId="0" applyFont="1" applyBorder="1"/>
    <xf numFmtId="0" fontId="3" fillId="2" borderId="2" xfId="0" applyFont="1" applyFill="1" applyBorder="1"/>
    <xf numFmtId="0" fontId="0" fillId="2" borderId="11" xfId="0" applyFill="1" applyBorder="1"/>
    <xf numFmtId="44" fontId="0" fillId="2" borderId="11" xfId="1" quotePrefix="1" applyFont="1" applyFill="1" applyBorder="1"/>
    <xf numFmtId="0" fontId="0" fillId="2" borderId="3" xfId="0" applyFill="1" applyBorder="1"/>
    <xf numFmtId="10" fontId="6" fillId="0" borderId="0" xfId="2" applyNumberFormat="1" applyFont="1" applyBorder="1"/>
    <xf numFmtId="2" fontId="0" fillId="0" borderId="0" xfId="0" applyNumberFormat="1" applyBorder="1"/>
    <xf numFmtId="0" fontId="0" fillId="0" borderId="10" xfId="0" applyBorder="1"/>
    <xf numFmtId="2" fontId="0" fillId="0" borderId="10" xfId="0" applyNumberFormat="1" applyBorder="1"/>
    <xf numFmtId="0" fontId="0" fillId="0" borderId="7" xfId="0" applyBorder="1"/>
    <xf numFmtId="165" fontId="0" fillId="0" borderId="0" xfId="1" applyNumberFormat="1" applyFont="1" applyBorder="1"/>
    <xf numFmtId="0" fontId="0" fillId="0" borderId="4" xfId="0" applyBorder="1" applyAlignment="1">
      <alignment horizontal="left" indent="2"/>
    </xf>
    <xf numFmtId="165" fontId="6" fillId="0" borderId="0" xfId="0" applyNumberFormat="1" applyFont="1" applyBorder="1"/>
    <xf numFmtId="0" fontId="0" fillId="0" borderId="0" xfId="0" applyBorder="1" applyAlignment="1">
      <alignment horizontal="left" indent="2"/>
    </xf>
    <xf numFmtId="0" fontId="0" fillId="0" borderId="0" xfId="0" applyBorder="1" applyAlignment="1"/>
    <xf numFmtId="44" fontId="0" fillId="0" borderId="0" xfId="1" applyFont="1" applyBorder="1"/>
    <xf numFmtId="0" fontId="5" fillId="0" borderId="4" xfId="0" applyFont="1" applyBorder="1" applyAlignment="1">
      <alignment horizontal="left" vertical="center" indent="2"/>
    </xf>
    <xf numFmtId="0" fontId="0" fillId="0" borderId="0" xfId="0" applyBorder="1" applyAlignment="1">
      <alignment horizontal="left" vertical="center" indent="2"/>
    </xf>
    <xf numFmtId="0" fontId="0" fillId="0" borderId="0" xfId="0" applyBorder="1" applyAlignment="1">
      <alignment vertical="center"/>
    </xf>
    <xf numFmtId="165" fontId="0" fillId="0" borderId="0" xfId="0" applyNumberFormat="1" applyBorder="1"/>
    <xf numFmtId="0" fontId="3" fillId="3" borderId="6" xfId="0" applyFont="1" applyFill="1" applyBorder="1"/>
    <xf numFmtId="0" fontId="0" fillId="3" borderId="10" xfId="0" applyFill="1" applyBorder="1"/>
    <xf numFmtId="165" fontId="0" fillId="3" borderId="10" xfId="0" applyNumberFormat="1" applyFill="1" applyBorder="1"/>
    <xf numFmtId="0" fontId="0" fillId="0" borderId="0" xfId="0" applyFill="1"/>
    <xf numFmtId="0" fontId="0" fillId="0" borderId="0" xfId="0" applyFill="1" applyBorder="1"/>
    <xf numFmtId="44" fontId="0" fillId="0" borderId="0" xfId="1" quotePrefix="1" applyFont="1" applyFill="1" applyBorder="1"/>
    <xf numFmtId="0" fontId="6" fillId="0" borderId="0" xfId="0" applyFont="1" applyFill="1" applyBorder="1"/>
    <xf numFmtId="0" fontId="6" fillId="0" borderId="10" xfId="0" applyFont="1" applyBorder="1"/>
    <xf numFmtId="0" fontId="0" fillId="7" borderId="2" xfId="0" applyFill="1" applyBorder="1"/>
    <xf numFmtId="0" fontId="0" fillId="6" borderId="11" xfId="0" applyFill="1" applyBorder="1"/>
    <xf numFmtId="0" fontId="0" fillId="0" borderId="11" xfId="0" applyBorder="1"/>
    <xf numFmtId="0" fontId="0" fillId="0" borderId="3" xfId="0" applyBorder="1"/>
    <xf numFmtId="0" fontId="0" fillId="0" borderId="5" xfId="0" applyFill="1" applyBorder="1"/>
    <xf numFmtId="0" fontId="3" fillId="0" borderId="4" xfId="0" applyFont="1" applyFill="1" applyBorder="1"/>
    <xf numFmtId="0" fontId="3" fillId="0" borderId="6" xfId="0" applyFont="1" applyFill="1" applyBorder="1"/>
    <xf numFmtId="0" fontId="0" fillId="0" borderId="4" xfId="0" applyFill="1" applyBorder="1" applyAlignment="1">
      <alignment horizontal="left" indent="2"/>
    </xf>
    <xf numFmtId="10" fontId="6" fillId="0" borderId="0" xfId="0" applyNumberFormat="1" applyFont="1" applyBorder="1"/>
    <xf numFmtId="10" fontId="0" fillId="0" borderId="0" xfId="0" applyNumberFormat="1" applyBorder="1"/>
    <xf numFmtId="0" fontId="6" fillId="0" borderId="0" xfId="0" applyFont="1" applyBorder="1"/>
    <xf numFmtId="2" fontId="6" fillId="0" borderId="0" xfId="0" applyNumberFormat="1" applyFont="1" applyBorder="1"/>
    <xf numFmtId="0" fontId="3" fillId="0" borderId="6" xfId="0" applyFont="1" applyFill="1" applyBorder="1" applyAlignment="1">
      <alignment horizontal="left"/>
    </xf>
    <xf numFmtId="0" fontId="0" fillId="0" borderId="6" xfId="0" applyFill="1" applyBorder="1" applyAlignment="1">
      <alignment horizontal="left" indent="2"/>
    </xf>
    <xf numFmtId="2" fontId="6" fillId="0" borderId="10" xfId="0" applyNumberFormat="1" applyFont="1" applyBorder="1"/>
    <xf numFmtId="0" fontId="0" fillId="7" borderId="8" xfId="0" applyFill="1" applyBorder="1"/>
    <xf numFmtId="0" fontId="0" fillId="6" borderId="9" xfId="0" applyFill="1" applyBorder="1"/>
    <xf numFmtId="2" fontId="6" fillId="0" borderId="5" xfId="0" applyNumberFormat="1" applyFont="1" applyBorder="1"/>
    <xf numFmtId="2" fontId="6" fillId="0" borderId="7" xfId="0" applyNumberFormat="1" applyFont="1" applyBorder="1"/>
    <xf numFmtId="10" fontId="6" fillId="0" borderId="5" xfId="0" applyNumberFormat="1" applyFont="1" applyBorder="1"/>
    <xf numFmtId="44" fontId="6" fillId="0" borderId="0" xfId="0" applyNumberFormat="1" applyFont="1" applyBorder="1"/>
    <xf numFmtId="44" fontId="6" fillId="0" borderId="0" xfId="1" applyFont="1" applyBorder="1"/>
    <xf numFmtId="0" fontId="0" fillId="0" borderId="0" xfId="0" quotePrefix="1" applyFont="1"/>
    <xf numFmtId="0" fontId="0" fillId="0" borderId="0" xfId="0" applyFont="1"/>
    <xf numFmtId="0" fontId="4" fillId="0" borderId="0" xfId="0" applyFont="1"/>
    <xf numFmtId="165" fontId="6" fillId="0" borderId="0" xfId="1" applyNumberFormat="1" applyFont="1" applyBorder="1"/>
    <xf numFmtId="0" fontId="6" fillId="0" borderId="0" xfId="2" applyNumberFormat="1" applyFont="1" applyBorder="1"/>
    <xf numFmtId="0" fontId="6" fillId="0" borderId="10" xfId="2" applyNumberFormat="1" applyFont="1" applyBorder="1"/>
    <xf numFmtId="44" fontId="6" fillId="0" borderId="5" xfId="1" applyFont="1" applyBorder="1"/>
    <xf numFmtId="0" fontId="6" fillId="0" borderId="5" xfId="0" quotePrefix="1" applyFont="1" applyBorder="1"/>
    <xf numFmtId="44" fontId="6" fillId="0" borderId="5" xfId="0" applyNumberFormat="1" applyFont="1" applyBorder="1"/>
    <xf numFmtId="165" fontId="6" fillId="3" borderId="10" xfId="0" applyNumberFormat="1" applyFont="1" applyFill="1" applyBorder="1"/>
    <xf numFmtId="165" fontId="6" fillId="3" borderId="7" xfId="0" applyNumberFormat="1" applyFont="1" applyFill="1" applyBorder="1"/>
    <xf numFmtId="0" fontId="0" fillId="2" borderId="2" xfId="0" applyFill="1" applyBorder="1"/>
    <xf numFmtId="44" fontId="0" fillId="2" borderId="2" xfId="1" quotePrefix="1" applyFont="1" applyFill="1" applyBorder="1"/>
    <xf numFmtId="0" fontId="3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morso" refreshedDate="44128.715731481483" createdVersion="6" refreshedVersion="6" minRefreshableVersion="3" recordCount="12" xr:uid="{C54071A5-3A8C-D540-8CBE-574E16CDE2B7}">
  <cacheSource type="worksheet">
    <worksheetSource ref="B1:B13" sheet="Dataset"/>
  </cacheSource>
  <cacheFields count="1">
    <cacheField name="Ticker Symbol" numFmtId="0">
      <sharedItems count="4">
        <s v="NAVI"/>
        <s v="PYPL"/>
        <s v="QRVO"/>
        <s v="WR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</r>
  <r>
    <x v="0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A32EB5-F74F-8849-A502-BA0A0E07A1A9}" name="PivotTable2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8" firstHeaderRow="1" firstDataRow="1" firstDataCol="1"/>
  <pivotFields count="1">
    <pivotField axis="axisRow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F10B1-0D3F-4C4F-903F-413CB94F752A}">
  <dimension ref="B1:M36"/>
  <sheetViews>
    <sheetView zoomScale="120" zoomScaleNormal="120" workbookViewId="0">
      <selection activeCell="J14" sqref="J14"/>
    </sheetView>
  </sheetViews>
  <sheetFormatPr baseColWidth="10" defaultRowHeight="15" x14ac:dyDescent="0.2"/>
  <cols>
    <col min="2" max="2" width="23.1640625" bestFit="1" customWidth="1"/>
    <col min="3" max="3" width="8.83203125" bestFit="1" customWidth="1"/>
    <col min="4" max="4" width="12.1640625" bestFit="1" customWidth="1"/>
    <col min="5" max="5" width="19.33203125" bestFit="1" customWidth="1"/>
    <col min="6" max="7" width="20.5" bestFit="1" customWidth="1"/>
    <col min="8" max="9" width="18.33203125" customWidth="1"/>
    <col min="10" max="11" width="20.5" bestFit="1" customWidth="1"/>
    <col min="13" max="13" width="67.83203125" bestFit="1" customWidth="1"/>
  </cols>
  <sheetData>
    <row r="1" spans="2:13" ht="16" thickBot="1" x14ac:dyDescent="0.25"/>
    <row r="2" spans="2:13" ht="16" thickBot="1" x14ac:dyDescent="0.25">
      <c r="B2" s="89" t="s">
        <v>0</v>
      </c>
      <c r="C2" s="90" t="s">
        <v>13</v>
      </c>
      <c r="D2" s="69"/>
    </row>
    <row r="3" spans="2:13" ht="16" thickBot="1" x14ac:dyDescent="0.25"/>
    <row r="4" spans="2:13" x14ac:dyDescent="0.2">
      <c r="B4" s="47" t="s">
        <v>16</v>
      </c>
      <c r="C4" s="48"/>
      <c r="D4" s="48"/>
      <c r="E4" s="107"/>
      <c r="F4" s="48"/>
      <c r="G4" s="48"/>
      <c r="H4" s="107"/>
      <c r="I4" s="50"/>
      <c r="J4" s="48"/>
      <c r="K4" s="50"/>
    </row>
    <row r="5" spans="2:13" ht="16" thickBot="1" x14ac:dyDescent="0.25">
      <c r="B5" s="42"/>
      <c r="C5" s="45"/>
      <c r="D5" s="45"/>
      <c r="E5" s="109" t="s">
        <v>17</v>
      </c>
      <c r="F5" s="110"/>
      <c r="G5" s="110"/>
      <c r="H5" s="109" t="s">
        <v>59</v>
      </c>
      <c r="I5" s="111"/>
      <c r="J5" s="110" t="s">
        <v>58</v>
      </c>
      <c r="K5" s="111"/>
    </row>
    <row r="6" spans="2:13" x14ac:dyDescent="0.2">
      <c r="B6" s="42"/>
      <c r="C6" s="45"/>
      <c r="D6" s="45"/>
      <c r="E6" s="46" t="s">
        <v>8</v>
      </c>
      <c r="F6" s="46" t="s">
        <v>9</v>
      </c>
      <c r="G6" s="46" t="s">
        <v>10</v>
      </c>
      <c r="H6" s="46" t="s">
        <v>60</v>
      </c>
      <c r="I6" s="46" t="s">
        <v>47</v>
      </c>
      <c r="J6" s="46" t="s">
        <v>46</v>
      </c>
      <c r="K6" s="40" t="s">
        <v>47</v>
      </c>
    </row>
    <row r="7" spans="2:13" x14ac:dyDescent="0.2">
      <c r="B7" s="39" t="s">
        <v>18</v>
      </c>
      <c r="C7" s="45"/>
      <c r="D7" s="45"/>
      <c r="E7" s="56" cm="1">
        <f t="array" ref="E7">INDEX(total_revenue,MATCH(1,($C$2=ticker_symbol)*($E$6=years),0))</f>
        <v>9895100000</v>
      </c>
      <c r="F7" s="56" cm="1">
        <f t="array" ref="F7">INDEX(total_revenue,MATCH(1,(C2=ticker_symbol)*(F6=years),0))</f>
        <v>11124800000</v>
      </c>
      <c r="G7" s="56" cm="1">
        <f t="array" ref="G7">INDEX(total_revenue,MATCH(1,(C2=ticker_symbol)*(G6=years),0))</f>
        <v>14171800000</v>
      </c>
      <c r="H7" s="99">
        <f ca="1">G7*(1+H18)</f>
        <v>16368429000</v>
      </c>
      <c r="I7" s="99">
        <f ca="1">H7*(1+I18)</f>
        <v>18905535495</v>
      </c>
      <c r="J7" s="95">
        <f ca="1">G7*(1+J18)</f>
        <v>16993165839.332415</v>
      </c>
      <c r="K7" s="102">
        <f ca="1">J7*(1+K18)</f>
        <v>20376217928.777863</v>
      </c>
      <c r="M7" s="96" t="s">
        <v>61</v>
      </c>
    </row>
    <row r="8" spans="2:13" x14ac:dyDescent="0.2">
      <c r="B8" s="57" t="s">
        <v>19</v>
      </c>
      <c r="C8" s="45"/>
      <c r="D8" s="45"/>
      <c r="E8" s="56" cm="1">
        <f t="array" ref="E8">INDEX(cost_of_revenue,MATCH(1,($C$2=ticker_symbol)*($E$6=years),0))</f>
        <v>7961500000</v>
      </c>
      <c r="F8" s="56" cm="1">
        <f t="array" ref="F8">INDEX(cost_of_revenue,MATCH(1,(C2=ticker_symbol)*(F6=years),0))</f>
        <v>8986500000</v>
      </c>
      <c r="G8" s="56" cm="1">
        <f t="array" ref="G8">INDEX(cost_of_revenue,MATCH(1,(C2=ticker_symbol)*(G6=years),0))</f>
        <v>11413200000</v>
      </c>
      <c r="H8" s="99"/>
      <c r="I8" s="99"/>
      <c r="J8" s="84"/>
      <c r="K8" s="103"/>
      <c r="M8" s="97"/>
    </row>
    <row r="9" spans="2:13" x14ac:dyDescent="0.2">
      <c r="B9" s="39" t="s">
        <v>20</v>
      </c>
      <c r="C9" s="45"/>
      <c r="D9" s="45"/>
      <c r="E9" s="56">
        <f>E7-E8</f>
        <v>1933600000</v>
      </c>
      <c r="F9" s="58">
        <f>F7-F8</f>
        <v>2138300000</v>
      </c>
      <c r="G9" s="58">
        <f>G7-G8</f>
        <v>2758600000</v>
      </c>
      <c r="H9" s="58">
        <f ca="1">H7*H19</f>
        <v>15058954680</v>
      </c>
      <c r="I9" s="58">
        <f ca="1">I7*I19</f>
        <v>17393092655.400002</v>
      </c>
      <c r="J9" s="94">
        <f ca="1">J7*J19</f>
        <v>3287025193.3371768</v>
      </c>
      <c r="K9" s="104">
        <f ca="1">K7*K19</f>
        <v>3941416349.965589</v>
      </c>
      <c r="M9" s="96" t="s">
        <v>62</v>
      </c>
    </row>
    <row r="10" spans="2:13" x14ac:dyDescent="0.2">
      <c r="B10" s="57" t="s">
        <v>5</v>
      </c>
      <c r="C10" s="59"/>
      <c r="D10" s="60"/>
      <c r="E10" s="56" cm="1">
        <f t="array" ref="E10">INDEX(sga,MATCH(1,($C$2=ticker_symbol)*($E$6=years),0))</f>
        <v>937600000</v>
      </c>
      <c r="F10" s="61" cm="1">
        <f t="array" ref="F10">INDEX(sga,MATCH(1,(C2=ticker_symbol)*(F6=years),0))</f>
        <v>1026100000</v>
      </c>
      <c r="G10" s="61" cm="1">
        <f t="array" ref="G10">INDEX(sga,MATCH(1,(C2=ticker_symbol)*(G6=years),0))</f>
        <v>1750100000</v>
      </c>
      <c r="H10" s="95"/>
      <c r="I10" s="95"/>
      <c r="J10" s="84"/>
      <c r="K10" s="41"/>
      <c r="M10" s="97"/>
    </row>
    <row r="11" spans="2:13" x14ac:dyDescent="0.2">
      <c r="B11" s="57" t="s">
        <v>21</v>
      </c>
      <c r="C11" s="59"/>
      <c r="D11" s="60"/>
      <c r="E11" s="56" cm="1">
        <f t="array" ref="E11">INDEX(other_operating_items,MATCH(1,($C$2=ticker_symbol)*($E$6=years),0))</f>
        <v>86000000</v>
      </c>
      <c r="F11" s="61" cm="1">
        <f t="array" ref="F11">INDEX(other_operating_items,MATCH(1,(C2=ticker_symbol)*(F6=years),0))</f>
        <v>118900000</v>
      </c>
      <c r="G11" s="61" cm="1">
        <f t="array" ref="G11">INDEX(other_operating_items,MATCH(1,(C2=ticker_symbol)*(G6=years),0))</f>
        <v>211800000</v>
      </c>
      <c r="H11" s="95"/>
      <c r="I11" s="95"/>
      <c r="J11" s="84"/>
      <c r="K11" s="41"/>
      <c r="M11" s="97"/>
    </row>
    <row r="12" spans="2:13" x14ac:dyDescent="0.2">
      <c r="B12" s="62" t="s">
        <v>22</v>
      </c>
      <c r="C12" s="63"/>
      <c r="D12" s="64"/>
      <c r="E12" s="56">
        <f>SUM(E10:E11)</f>
        <v>1023600000</v>
      </c>
      <c r="F12" s="65">
        <f>SUM(F10:F11)</f>
        <v>1145000000</v>
      </c>
      <c r="G12" s="65">
        <f>SUM(G10:G11)</f>
        <v>1961900000</v>
      </c>
      <c r="H12" s="58"/>
      <c r="I12" s="58"/>
      <c r="J12" s="84"/>
      <c r="K12" s="43"/>
      <c r="M12" s="97"/>
    </row>
    <row r="13" spans="2:13" ht="16" thickBot="1" x14ac:dyDescent="0.25">
      <c r="B13" s="66" t="s">
        <v>23</v>
      </c>
      <c r="C13" s="67"/>
      <c r="D13" s="67"/>
      <c r="E13" s="68">
        <f>E9-E12</f>
        <v>910000000</v>
      </c>
      <c r="F13" s="68">
        <f>F9-F12</f>
        <v>993300000</v>
      </c>
      <c r="G13" s="68">
        <f>G9-G12</f>
        <v>796700000</v>
      </c>
      <c r="H13" s="105">
        <f ca="1">H7*H20</f>
        <v>2455264350</v>
      </c>
      <c r="I13" s="105">
        <f ca="1">I7*I20</f>
        <v>2835830324.25</v>
      </c>
      <c r="J13" s="105">
        <f ca="1">J7*J20</f>
        <v>1236289137.5442309</v>
      </c>
      <c r="K13" s="106">
        <f ca="1">K7*K20</f>
        <v>1482413408.2935379</v>
      </c>
      <c r="M13" s="96" t="s">
        <v>63</v>
      </c>
    </row>
    <row r="14" spans="2:13" x14ac:dyDescent="0.2">
      <c r="F14" s="45"/>
      <c r="G14" s="45"/>
      <c r="H14" s="45"/>
      <c r="I14" s="45"/>
      <c r="M14" s="97"/>
    </row>
    <row r="15" spans="2:13" ht="16" thickBot="1" x14ac:dyDescent="0.25">
      <c r="F15" s="45"/>
      <c r="G15" s="45"/>
      <c r="H15" s="45"/>
      <c r="I15" s="45"/>
      <c r="J15" s="45"/>
      <c r="K15" s="45"/>
      <c r="L15" s="45"/>
      <c r="M15" s="97"/>
    </row>
    <row r="16" spans="2:13" x14ac:dyDescent="0.2">
      <c r="B16" s="47" t="s">
        <v>48</v>
      </c>
      <c r="C16" s="48"/>
      <c r="D16" s="48"/>
      <c r="E16" s="108"/>
      <c r="F16" s="48"/>
      <c r="G16" s="48"/>
      <c r="H16" s="107"/>
      <c r="I16" s="50"/>
      <c r="J16" s="48"/>
      <c r="K16" s="50"/>
      <c r="L16" s="45"/>
      <c r="M16" s="97"/>
    </row>
    <row r="17" spans="2:13" ht="16" thickBot="1" x14ac:dyDescent="0.25">
      <c r="B17" s="42"/>
      <c r="C17" s="45"/>
      <c r="D17" s="45"/>
      <c r="E17" s="109" t="s">
        <v>17</v>
      </c>
      <c r="F17" s="110"/>
      <c r="G17" s="110"/>
      <c r="H17" s="109" t="s">
        <v>65</v>
      </c>
      <c r="I17" s="111"/>
      <c r="J17" s="110" t="s">
        <v>64</v>
      </c>
      <c r="K17" s="111"/>
      <c r="L17" s="45"/>
      <c r="M17" s="97"/>
    </row>
    <row r="18" spans="2:13" x14ac:dyDescent="0.2">
      <c r="B18" s="42" t="s">
        <v>49</v>
      </c>
      <c r="C18" s="45"/>
      <c r="D18" s="45"/>
      <c r="E18" s="51"/>
      <c r="F18" s="51">
        <f>(F7-E7)/E7</f>
        <v>0.12427363038271468</v>
      </c>
      <c r="G18" s="51">
        <f>(G7-F7)/F7</f>
        <v>0.27389256436070764</v>
      </c>
      <c r="H18" s="51">
        <f ca="1">OFFSET(H25,MATCH($C$22,B26:B28,0),0)</f>
        <v>0.155</v>
      </c>
      <c r="I18" s="51">
        <f ca="1">OFFSET(I25,MATCH($C$22,B26:B28,0),0)</f>
        <v>0.155</v>
      </c>
      <c r="J18" s="82">
        <f ca="1">OFFSET(J25,MATCH($C$22,B26:B28,0),0)</f>
        <v>0.19908309737171115</v>
      </c>
      <c r="K18" s="93">
        <f ca="1">OFFSET(K25,MATCH(C22,B26:B28,0),0)</f>
        <v>0.19908309737171115</v>
      </c>
      <c r="L18" s="45"/>
      <c r="M18" s="98" t="s">
        <v>52</v>
      </c>
    </row>
    <row r="19" spans="2:13" x14ac:dyDescent="0.2">
      <c r="B19" s="42" t="s">
        <v>50</v>
      </c>
      <c r="C19" s="45"/>
      <c r="D19" s="45"/>
      <c r="E19" s="52" cm="1">
        <f t="array" ref="E19">INDEX(gross_margin,MATCH(1,(E$6=years)*($C$2=ticker_symbol),0))</f>
        <v>0.19540984931936009</v>
      </c>
      <c r="F19" s="52" cm="1">
        <f t="array" ref="F19">INDEX(gross_margin,MATCH(1,(F$6=years)*($C$2=ticker_symbol),0))</f>
        <v>0.19221019703725012</v>
      </c>
      <c r="G19" s="52" cm="1">
        <f t="array" ref="G19">INDEX(gross_margin,MATCH(1,(G$6=years)*($C$2=ticker_symbol),0))</f>
        <v>0.19465417237048221</v>
      </c>
      <c r="H19" s="100">
        <f ca="1">OFFSET(H29,MATCH($C$22,B30:B32,0),0)</f>
        <v>0.92</v>
      </c>
      <c r="I19" s="85">
        <f ca="1">OFFSET(I29,MATCH(C22,B30:B32,0),0)</f>
        <v>0.92</v>
      </c>
      <c r="J19" s="85">
        <f ca="1">OFFSET(J29,MATCH($C$22,B30:B32,0),0)</f>
        <v>0.19343218470386617</v>
      </c>
      <c r="K19" s="91">
        <f ca="1">OFFSET(K29,MATCH(C22,B30:B32,0),0)</f>
        <v>0.19343218470386617</v>
      </c>
      <c r="L19" s="45"/>
      <c r="M19" s="97"/>
    </row>
    <row r="20" spans="2:13" ht="16" thickBot="1" x14ac:dyDescent="0.25">
      <c r="B20" s="44" t="s">
        <v>51</v>
      </c>
      <c r="C20" s="53"/>
      <c r="D20" s="53"/>
      <c r="E20" s="54" cm="1">
        <f t="array" ref="E20">INDEX(operating_margin,MATCH(1,(E$6=years)*($C$2=ticker_symbol),0))</f>
        <v>9.1964709805863507E-2</v>
      </c>
      <c r="F20" s="54" cm="1">
        <f t="array" ref="F20">INDEX(operating_margin,MATCH(1,(F$6=years)*($C$2=ticker_symbol),0))</f>
        <v>8.9286998417949084E-2</v>
      </c>
      <c r="G20" s="54" cm="1">
        <f t="array" ref="G20">INDEX(operating_margin,MATCH(1,(G$6=years)*($C$2=ticker_symbol),0))</f>
        <v>5.6217276563315884E-2</v>
      </c>
      <c r="H20" s="101">
        <f ca="1">OFFSET(H33,MATCH($C$22,B34:B36,0),0)</f>
        <v>0.15</v>
      </c>
      <c r="I20" s="88">
        <f ca="1">OFFSET(I33,MATCH(C22,B34:B36,0),0)</f>
        <v>0.15</v>
      </c>
      <c r="J20" s="88">
        <f ca="1">OFFSET(J33,MATCH($C$22,B34:B36,0),0)</f>
        <v>7.2752137490632487E-2</v>
      </c>
      <c r="K20" s="92">
        <f ca="1">OFFSET(K33,MATCH(C22,B34:B36,0),0)</f>
        <v>7.2752137490632487E-2</v>
      </c>
    </row>
    <row r="21" spans="2:13" ht="16" thickBot="1" x14ac:dyDescent="0.25">
      <c r="G21" s="45"/>
      <c r="H21" s="45"/>
      <c r="I21" s="45"/>
      <c r="J21" s="45"/>
      <c r="K21" s="45"/>
    </row>
    <row r="22" spans="2:13" ht="16" thickBot="1" x14ac:dyDescent="0.25">
      <c r="B22" s="74" t="s">
        <v>53</v>
      </c>
      <c r="C22" s="75" t="s">
        <v>55</v>
      </c>
      <c r="D22" s="76"/>
      <c r="E22" s="76"/>
      <c r="F22" s="76"/>
      <c r="G22" s="76"/>
      <c r="H22" s="76"/>
      <c r="I22" s="76"/>
      <c r="J22" s="76"/>
      <c r="K22" s="77"/>
      <c r="L22" s="45"/>
    </row>
    <row r="23" spans="2:13" x14ac:dyDescent="0.2">
      <c r="B23" s="47" t="s">
        <v>57</v>
      </c>
      <c r="C23" s="48"/>
      <c r="D23" s="48"/>
      <c r="E23" s="49"/>
      <c r="F23" s="48"/>
      <c r="G23" s="48"/>
      <c r="H23" s="48"/>
      <c r="I23" s="48"/>
      <c r="J23" s="48"/>
      <c r="K23" s="50"/>
    </row>
    <row r="24" spans="2:13" x14ac:dyDescent="0.2">
      <c r="B24" s="79"/>
      <c r="C24" s="70"/>
      <c r="D24" s="70"/>
      <c r="E24" s="71"/>
      <c r="F24" s="70"/>
      <c r="G24" s="70"/>
      <c r="H24" s="70"/>
      <c r="I24" s="70"/>
      <c r="J24" s="72"/>
      <c r="K24" s="78"/>
    </row>
    <row r="25" spans="2:13" ht="16" thickBot="1" x14ac:dyDescent="0.25">
      <c r="B25" s="80" t="s">
        <v>49</v>
      </c>
      <c r="C25" s="53"/>
      <c r="D25" s="53"/>
      <c r="E25" s="53"/>
      <c r="F25" s="53"/>
      <c r="G25" s="53"/>
      <c r="H25" s="53"/>
      <c r="I25" s="53"/>
      <c r="J25" s="73"/>
      <c r="K25" s="55"/>
      <c r="L25" s="45"/>
    </row>
    <row r="26" spans="2:13" x14ac:dyDescent="0.2">
      <c r="B26" s="81" t="s">
        <v>54</v>
      </c>
      <c r="C26" s="45"/>
      <c r="D26" s="45"/>
      <c r="E26" s="45"/>
      <c r="F26" s="45"/>
      <c r="G26" s="82"/>
      <c r="H26" s="82">
        <v>0.16</v>
      </c>
      <c r="I26" s="82">
        <v>0.17</v>
      </c>
      <c r="J26" s="82">
        <f>((AVERAGE(F18,G18))+0.02)</f>
        <v>0.21908309737171114</v>
      </c>
      <c r="K26" s="93">
        <f>AVERAGE(F18,G18)+0.03</f>
        <v>0.22908309737171115</v>
      </c>
      <c r="L26" s="45"/>
    </row>
    <row r="27" spans="2:13" x14ac:dyDescent="0.2">
      <c r="B27" s="81" t="s">
        <v>55</v>
      </c>
      <c r="C27" s="45"/>
      <c r="D27" s="45"/>
      <c r="E27" s="45"/>
      <c r="F27" s="83"/>
      <c r="G27" s="82"/>
      <c r="H27" s="82">
        <v>0.155</v>
      </c>
      <c r="I27" s="82">
        <v>0.155</v>
      </c>
      <c r="J27" s="82">
        <f>AVERAGE(F18,G18)</f>
        <v>0.19908309737171115</v>
      </c>
      <c r="K27" s="93">
        <f>AVERAGE(F18,G18)</f>
        <v>0.19908309737171115</v>
      </c>
      <c r="L27" s="45"/>
    </row>
    <row r="28" spans="2:13" x14ac:dyDescent="0.2">
      <c r="B28" s="81" t="s">
        <v>56</v>
      </c>
      <c r="C28" s="45"/>
      <c r="D28" s="45"/>
      <c r="E28" s="45"/>
      <c r="F28" s="45"/>
      <c r="G28" s="82"/>
      <c r="H28" s="82">
        <v>0.14000000000000001</v>
      </c>
      <c r="I28" s="82">
        <v>0.14000000000000001</v>
      </c>
      <c r="J28" s="82">
        <f>((AVERAGE(F18,G18))-0.02)</f>
        <v>0.17908309737171116</v>
      </c>
      <c r="K28" s="93">
        <f>AVERAGE(F18,G18)-0.03</f>
        <v>0.16908309737171115</v>
      </c>
    </row>
    <row r="29" spans="2:13" ht="16" thickBot="1" x14ac:dyDescent="0.25">
      <c r="B29" s="80" t="s">
        <v>50</v>
      </c>
      <c r="C29" s="53"/>
      <c r="D29" s="53"/>
      <c r="E29" s="53"/>
      <c r="F29" s="53"/>
      <c r="G29" s="73"/>
      <c r="H29" s="73"/>
      <c r="I29" s="73"/>
      <c r="J29" s="73"/>
      <c r="K29" s="92"/>
    </row>
    <row r="30" spans="2:13" x14ac:dyDescent="0.2">
      <c r="B30" s="81" t="s">
        <v>54</v>
      </c>
      <c r="C30" s="45"/>
      <c r="D30" s="45"/>
      <c r="E30" s="45"/>
      <c r="F30" s="45"/>
      <c r="G30" s="84"/>
      <c r="H30" s="84">
        <v>0.93</v>
      </c>
      <c r="I30" s="84">
        <v>0.93</v>
      </c>
      <c r="J30" s="85">
        <f>AVERAGE(F19,G19)+0.02</f>
        <v>0.21343218470386616</v>
      </c>
      <c r="K30" s="91">
        <f>AVERAGE(F19,G19)+0.03</f>
        <v>0.22343218470386617</v>
      </c>
    </row>
    <row r="31" spans="2:13" x14ac:dyDescent="0.2">
      <c r="B31" s="81" t="s">
        <v>55</v>
      </c>
      <c r="C31" s="45"/>
      <c r="D31" s="45"/>
      <c r="E31" s="45"/>
      <c r="F31" s="45"/>
      <c r="G31" s="84"/>
      <c r="H31" s="84">
        <v>0.92</v>
      </c>
      <c r="I31" s="84">
        <v>0.92</v>
      </c>
      <c r="J31" s="85">
        <f>AVERAGE(F19,G19)</f>
        <v>0.19343218470386617</v>
      </c>
      <c r="K31" s="91">
        <f>AVERAGE(F19,G19)</f>
        <v>0.19343218470386617</v>
      </c>
    </row>
    <row r="32" spans="2:13" x14ac:dyDescent="0.2">
      <c r="B32" s="81" t="s">
        <v>56</v>
      </c>
      <c r="C32" s="45"/>
      <c r="D32" s="45"/>
      <c r="E32" s="45"/>
      <c r="F32" s="45"/>
      <c r="G32" s="84"/>
      <c r="H32" s="85">
        <v>0.9</v>
      </c>
      <c r="I32" s="85">
        <v>0.9</v>
      </c>
      <c r="J32" s="85">
        <f>AVERAGE(F19,G19)-0.02</f>
        <v>0.17343218470386618</v>
      </c>
      <c r="K32" s="91">
        <f>AVERAGE(F19,G19)-0.03</f>
        <v>0.16343218470386617</v>
      </c>
    </row>
    <row r="33" spans="2:11" ht="16" thickBot="1" x14ac:dyDescent="0.25">
      <c r="B33" s="86" t="s">
        <v>51</v>
      </c>
      <c r="C33" s="53"/>
      <c r="D33" s="53"/>
      <c r="E33" s="53"/>
      <c r="F33" s="53"/>
      <c r="G33" s="73"/>
      <c r="H33" s="73"/>
      <c r="I33" s="73"/>
      <c r="J33" s="73"/>
      <c r="K33" s="55"/>
    </row>
    <row r="34" spans="2:11" x14ac:dyDescent="0.2">
      <c r="B34" s="81" t="s">
        <v>54</v>
      </c>
      <c r="C34" s="45"/>
      <c r="D34" s="45"/>
      <c r="E34" s="45"/>
      <c r="F34" s="45"/>
      <c r="G34" s="84"/>
      <c r="H34" s="84">
        <v>0.17</v>
      </c>
      <c r="I34" s="84">
        <v>0.17</v>
      </c>
      <c r="J34" s="85">
        <f>AVERAGE(F20,G20)+0.02</f>
        <v>9.2752137490632491E-2</v>
      </c>
      <c r="K34" s="91">
        <f>AVERAGE(F20,G20)+0.03</f>
        <v>0.10275213749063249</v>
      </c>
    </row>
    <row r="35" spans="2:11" x14ac:dyDescent="0.2">
      <c r="B35" s="81" t="s">
        <v>55</v>
      </c>
      <c r="C35" s="45"/>
      <c r="D35" s="45"/>
      <c r="E35" s="45"/>
      <c r="F35" s="45"/>
      <c r="G35" s="84"/>
      <c r="H35" s="84">
        <v>0.15</v>
      </c>
      <c r="I35" s="84">
        <v>0.15</v>
      </c>
      <c r="J35" s="85">
        <f>AVERAGE(F20,G20)</f>
        <v>7.2752137490632487E-2</v>
      </c>
      <c r="K35" s="91">
        <f>AVERAGE(F20,G20)</f>
        <v>7.2752137490632487E-2</v>
      </c>
    </row>
    <row r="36" spans="2:11" ht="16" thickBot="1" x14ac:dyDescent="0.25">
      <c r="B36" s="87" t="s">
        <v>56</v>
      </c>
      <c r="C36" s="53"/>
      <c r="D36" s="53"/>
      <c r="E36" s="53"/>
      <c r="F36" s="53"/>
      <c r="G36" s="73"/>
      <c r="H36" s="73">
        <v>0.14000000000000001</v>
      </c>
      <c r="I36" s="73">
        <v>0.14000000000000001</v>
      </c>
      <c r="J36" s="88">
        <f>AVERAGE(F20,G20)-0.02</f>
        <v>5.2752137490632484E-2</v>
      </c>
      <c r="K36" s="92">
        <f>AVERAGE(F20,G20)-0.03</f>
        <v>4.2752137490632489E-2</v>
      </c>
    </row>
  </sheetData>
  <mergeCells count="6">
    <mergeCell ref="E5:G5"/>
    <mergeCell ref="J5:K5"/>
    <mergeCell ref="J17:K17"/>
    <mergeCell ref="E17:G17"/>
    <mergeCell ref="H5:I5"/>
    <mergeCell ref="H17:I17"/>
  </mergeCells>
  <dataValidations count="1">
    <dataValidation type="list" allowBlank="1" showInputMessage="1" showErrorMessage="1" sqref="C2" xr:uid="{2883792D-E5F0-B14D-82BB-9BACF56D2378}">
      <formula1>company_list</formula1>
    </dataValidation>
  </dataValidations>
  <pageMargins left="0.7" right="0.7" top="0.75" bottom="0.75" header="0.3" footer="0.3"/>
  <pageSetup scale="83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CC85D4-CF7B-C94D-A2A7-2E864858C3C4}">
          <x14:formula1>
            <xm:f>'Data Validation'!$C$4:$C$6</xm:f>
          </x14:formula1>
          <xm:sqref>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120" zoomScaleNormal="120" workbookViewId="0">
      <selection activeCell="L2" sqref="L2"/>
    </sheetView>
  </sheetViews>
  <sheetFormatPr baseColWidth="10" defaultColWidth="8.83203125" defaultRowHeight="15" x14ac:dyDescent="0.2"/>
  <cols>
    <col min="4" max="4" width="15.6640625" customWidth="1"/>
    <col min="5" max="5" width="20.1640625" customWidth="1"/>
    <col min="6" max="6" width="17.5" customWidth="1"/>
    <col min="7" max="7" width="21.83203125" customWidth="1"/>
    <col min="8" max="8" width="19.33203125" customWidth="1"/>
    <col min="9" max="9" width="15.6640625" bestFit="1" customWidth="1"/>
    <col min="10" max="10" width="14.83203125" bestFit="1" customWidth="1"/>
    <col min="11" max="11" width="14.83203125" customWidth="1"/>
    <col min="12" max="12" width="15.33203125" customWidth="1"/>
  </cols>
  <sheetData>
    <row r="1" spans="1:12" ht="80" x14ac:dyDescent="0.2">
      <c r="B1" s="2" t="s">
        <v>0</v>
      </c>
      <c r="C1" s="2" t="s">
        <v>1</v>
      </c>
      <c r="D1" s="3" t="s">
        <v>2</v>
      </c>
      <c r="E1" s="4" t="s">
        <v>3</v>
      </c>
      <c r="F1" s="4" t="s">
        <v>42</v>
      </c>
      <c r="G1" s="4" t="s">
        <v>5</v>
      </c>
      <c r="H1" s="4" t="s">
        <v>6</v>
      </c>
      <c r="I1" s="33" t="s">
        <v>20</v>
      </c>
      <c r="J1" s="33" t="s">
        <v>43</v>
      </c>
      <c r="K1" s="36" t="s">
        <v>44</v>
      </c>
      <c r="L1" s="37" t="s">
        <v>45</v>
      </c>
    </row>
    <row r="2" spans="1:12" x14ac:dyDescent="0.2">
      <c r="A2">
        <v>1</v>
      </c>
      <c r="B2" t="s">
        <v>7</v>
      </c>
      <c r="C2" t="s">
        <v>8</v>
      </c>
      <c r="D2" s="1">
        <v>41639</v>
      </c>
      <c r="E2" s="5">
        <v>5015000000</v>
      </c>
      <c r="F2" s="5">
        <v>1844000000</v>
      </c>
      <c r="G2" s="5">
        <v>446000000</v>
      </c>
      <c r="H2" s="5">
        <v>104000000</v>
      </c>
      <c r="I2" s="35">
        <f>E2-F2</f>
        <v>3171000000</v>
      </c>
      <c r="J2" s="35">
        <f>I2-(G2+H2)</f>
        <v>2621000000</v>
      </c>
      <c r="K2" s="34">
        <f>((E2-F2)/E2)</f>
        <v>0.63230309072781654</v>
      </c>
      <c r="L2" s="38">
        <f>J2/E2</f>
        <v>0.5226321036889332</v>
      </c>
    </row>
    <row r="3" spans="1:12" x14ac:dyDescent="0.2">
      <c r="A3">
        <v>2</v>
      </c>
      <c r="B3" t="s">
        <v>7</v>
      </c>
      <c r="C3" t="s">
        <v>9</v>
      </c>
      <c r="D3" s="1">
        <v>42004</v>
      </c>
      <c r="E3" s="5">
        <v>5115000000</v>
      </c>
      <c r="F3" s="5">
        <v>1945000000</v>
      </c>
      <c r="G3" s="5">
        <v>495000000</v>
      </c>
      <c r="H3" s="5">
        <v>122000000</v>
      </c>
      <c r="I3" s="35">
        <f t="shared" ref="I3:I13" si="0">E3-F3</f>
        <v>3170000000</v>
      </c>
      <c r="J3" s="35">
        <f t="shared" ref="J3:J13" si="1">I3-(G3+H3)</f>
        <v>2553000000</v>
      </c>
      <c r="K3" s="34">
        <f t="shared" ref="K3:K13" si="2">(E3-F3)/E3</f>
        <v>0.61974584555229717</v>
      </c>
      <c r="L3" s="38">
        <f t="shared" ref="L3:L13" si="3">J3/E3</f>
        <v>0.49912023460410559</v>
      </c>
    </row>
    <row r="4" spans="1:12" x14ac:dyDescent="0.2">
      <c r="A4">
        <v>3</v>
      </c>
      <c r="B4" t="s">
        <v>7</v>
      </c>
      <c r="C4" t="s">
        <v>10</v>
      </c>
      <c r="D4" s="1">
        <v>42369</v>
      </c>
      <c r="E4" s="5">
        <v>4183000000</v>
      </c>
      <c r="F4" s="5">
        <v>1479000000</v>
      </c>
      <c r="G4" s="5">
        <v>545000000</v>
      </c>
      <c r="H4" s="5">
        <v>137000000</v>
      </c>
      <c r="I4" s="35">
        <f t="shared" si="0"/>
        <v>2704000000</v>
      </c>
      <c r="J4" s="35">
        <f t="shared" si="1"/>
        <v>2022000000</v>
      </c>
      <c r="K4" s="34">
        <f t="shared" si="2"/>
        <v>0.64642601004064071</v>
      </c>
      <c r="L4" s="38">
        <f t="shared" si="3"/>
        <v>0.48338513028926605</v>
      </c>
    </row>
    <row r="5" spans="1:12" x14ac:dyDescent="0.2">
      <c r="A5">
        <v>4</v>
      </c>
      <c r="B5" t="s">
        <v>11</v>
      </c>
      <c r="C5" t="s">
        <v>8</v>
      </c>
      <c r="D5" s="1">
        <v>42004</v>
      </c>
      <c r="E5" s="6">
        <v>8025000000</v>
      </c>
      <c r="F5" s="6">
        <v>747000000</v>
      </c>
      <c r="G5" s="6">
        <v>5494000000</v>
      </c>
      <c r="H5" s="7">
        <v>516000000</v>
      </c>
      <c r="I5" s="35">
        <f t="shared" si="0"/>
        <v>7278000000</v>
      </c>
      <c r="J5" s="35">
        <f t="shared" si="1"/>
        <v>1268000000</v>
      </c>
      <c r="K5" s="34">
        <f t="shared" si="2"/>
        <v>0.90691588785046728</v>
      </c>
      <c r="L5" s="38">
        <f t="shared" si="3"/>
        <v>0.158006230529595</v>
      </c>
    </row>
    <row r="6" spans="1:12" x14ac:dyDescent="0.2">
      <c r="A6">
        <v>5</v>
      </c>
      <c r="B6" t="s">
        <v>11</v>
      </c>
      <c r="C6" t="s">
        <v>9</v>
      </c>
      <c r="D6" s="1">
        <v>42369</v>
      </c>
      <c r="E6" s="6">
        <v>9248000000</v>
      </c>
      <c r="F6" s="6">
        <v>792000000</v>
      </c>
      <c r="G6" s="6">
        <v>6339000000</v>
      </c>
      <c r="H6" s="7">
        <v>608000000</v>
      </c>
      <c r="I6" s="35">
        <f t="shared" si="0"/>
        <v>8456000000</v>
      </c>
      <c r="J6" s="35">
        <f t="shared" si="1"/>
        <v>1509000000</v>
      </c>
      <c r="K6" s="34">
        <f t="shared" si="2"/>
        <v>0.91435986159169547</v>
      </c>
      <c r="L6" s="38">
        <f t="shared" si="3"/>
        <v>0.16317041522491349</v>
      </c>
    </row>
    <row r="7" spans="1:12" x14ac:dyDescent="0.2">
      <c r="A7">
        <v>6</v>
      </c>
      <c r="B7" t="s">
        <v>11</v>
      </c>
      <c r="C7" t="s">
        <v>10</v>
      </c>
      <c r="D7" s="1">
        <v>42735</v>
      </c>
      <c r="E7" s="6">
        <v>10842000000</v>
      </c>
      <c r="F7" s="6">
        <v>834000000</v>
      </c>
      <c r="G7" s="6">
        <v>7698000000</v>
      </c>
      <c r="H7" s="7">
        <v>724000000</v>
      </c>
      <c r="I7" s="35">
        <f t="shared" si="0"/>
        <v>10008000000</v>
      </c>
      <c r="J7" s="35">
        <f t="shared" si="1"/>
        <v>1586000000</v>
      </c>
      <c r="K7" s="34">
        <f t="shared" si="2"/>
        <v>0.92307692307692313</v>
      </c>
      <c r="L7" s="38">
        <f t="shared" si="3"/>
        <v>0.14628297362110312</v>
      </c>
    </row>
    <row r="8" spans="1:12" x14ac:dyDescent="0.2">
      <c r="A8">
        <v>7</v>
      </c>
      <c r="B8" t="s">
        <v>12</v>
      </c>
      <c r="C8" t="s">
        <v>8</v>
      </c>
      <c r="D8" s="1">
        <v>41727</v>
      </c>
      <c r="E8" s="6">
        <v>1148231000</v>
      </c>
      <c r="F8" s="6">
        <v>940573000</v>
      </c>
      <c r="G8" s="6">
        <v>180317000</v>
      </c>
      <c r="H8" s="7">
        <v>0</v>
      </c>
      <c r="I8" s="35">
        <f t="shared" si="0"/>
        <v>207658000</v>
      </c>
      <c r="J8" s="35">
        <f t="shared" si="1"/>
        <v>27341000</v>
      </c>
      <c r="K8" s="34">
        <f t="shared" si="2"/>
        <v>0.18085036895885934</v>
      </c>
      <c r="L8" s="38">
        <f t="shared" si="3"/>
        <v>2.3811410770132491E-2</v>
      </c>
    </row>
    <row r="9" spans="1:12" x14ac:dyDescent="0.2">
      <c r="A9">
        <v>8</v>
      </c>
      <c r="B9" t="s">
        <v>12</v>
      </c>
      <c r="C9" t="s">
        <v>9</v>
      </c>
      <c r="D9" s="1">
        <v>42091</v>
      </c>
      <c r="E9" s="6">
        <v>1710966000</v>
      </c>
      <c r="F9" s="6">
        <v>1279152000</v>
      </c>
      <c r="G9" s="6">
        <v>309348000</v>
      </c>
      <c r="H9" s="7">
        <v>0</v>
      </c>
      <c r="I9" s="35">
        <f t="shared" si="0"/>
        <v>431814000</v>
      </c>
      <c r="J9" s="35">
        <f t="shared" si="1"/>
        <v>122466000</v>
      </c>
      <c r="K9" s="34">
        <f t="shared" si="2"/>
        <v>0.25238023432376799</v>
      </c>
      <c r="L9" s="38">
        <f t="shared" si="3"/>
        <v>7.1577109071717382E-2</v>
      </c>
    </row>
    <row r="10" spans="1:12" x14ac:dyDescent="0.2">
      <c r="A10">
        <v>9</v>
      </c>
      <c r="B10" t="s">
        <v>12</v>
      </c>
      <c r="C10" t="s">
        <v>10</v>
      </c>
      <c r="D10" s="1">
        <v>42462</v>
      </c>
      <c r="E10" s="6">
        <v>2610726000</v>
      </c>
      <c r="F10" s="6">
        <v>2009936000</v>
      </c>
      <c r="G10" s="6">
        <v>588822000</v>
      </c>
      <c r="H10" s="7">
        <v>0</v>
      </c>
      <c r="I10" s="35">
        <f t="shared" si="0"/>
        <v>600790000</v>
      </c>
      <c r="J10" s="35">
        <f t="shared" si="1"/>
        <v>11968000</v>
      </c>
      <c r="K10" s="34">
        <f t="shared" si="2"/>
        <v>0.23012372803580305</v>
      </c>
      <c r="L10" s="38">
        <f t="shared" si="3"/>
        <v>4.5841654773423179E-3</v>
      </c>
    </row>
    <row r="11" spans="1:12" x14ac:dyDescent="0.2">
      <c r="A11">
        <v>10</v>
      </c>
      <c r="B11" t="s">
        <v>13</v>
      </c>
      <c r="C11" t="s">
        <v>8</v>
      </c>
      <c r="D11" s="1">
        <v>41912</v>
      </c>
      <c r="E11" s="6">
        <v>9895100000</v>
      </c>
      <c r="F11" s="6">
        <v>7961500000</v>
      </c>
      <c r="G11" s="6">
        <v>937600000</v>
      </c>
      <c r="H11" s="7">
        <v>86000000</v>
      </c>
      <c r="I11" s="35">
        <f t="shared" si="0"/>
        <v>1933600000</v>
      </c>
      <c r="J11" s="35">
        <f t="shared" si="1"/>
        <v>910000000</v>
      </c>
      <c r="K11" s="34">
        <f t="shared" si="2"/>
        <v>0.19540984931936009</v>
      </c>
      <c r="L11" s="38">
        <f t="shared" si="3"/>
        <v>9.1964709805863507E-2</v>
      </c>
    </row>
    <row r="12" spans="1:12" x14ac:dyDescent="0.2">
      <c r="A12">
        <v>11</v>
      </c>
      <c r="B12" t="s">
        <v>13</v>
      </c>
      <c r="C12" t="s">
        <v>9</v>
      </c>
      <c r="D12" s="1">
        <v>42277</v>
      </c>
      <c r="E12" s="6">
        <v>11124800000</v>
      </c>
      <c r="F12" s="6">
        <v>8986500000</v>
      </c>
      <c r="G12" s="6">
        <v>1026100000</v>
      </c>
      <c r="H12" s="7">
        <v>118900000</v>
      </c>
      <c r="I12" s="35">
        <f t="shared" si="0"/>
        <v>2138300000</v>
      </c>
      <c r="J12" s="35">
        <f t="shared" si="1"/>
        <v>993300000</v>
      </c>
      <c r="K12" s="34">
        <f t="shared" si="2"/>
        <v>0.19221019703725012</v>
      </c>
      <c r="L12" s="38">
        <f t="shared" si="3"/>
        <v>8.9286998417949084E-2</v>
      </c>
    </row>
    <row r="13" spans="1:12" x14ac:dyDescent="0.2">
      <c r="A13">
        <v>12</v>
      </c>
      <c r="B13" t="s">
        <v>13</v>
      </c>
      <c r="C13" t="s">
        <v>10</v>
      </c>
      <c r="D13" s="1">
        <v>42643</v>
      </c>
      <c r="E13" s="6">
        <v>14171800000</v>
      </c>
      <c r="F13" s="6">
        <v>11413200000</v>
      </c>
      <c r="G13" s="6">
        <v>1750100000</v>
      </c>
      <c r="H13" s="7">
        <v>211800000</v>
      </c>
      <c r="I13" s="35">
        <f t="shared" si="0"/>
        <v>2758600000</v>
      </c>
      <c r="J13" s="35">
        <f t="shared" si="1"/>
        <v>796700000</v>
      </c>
      <c r="K13" s="34">
        <f t="shared" si="2"/>
        <v>0.19465417237048221</v>
      </c>
      <c r="L13" s="38">
        <f t="shared" si="3"/>
        <v>5.6217276563315884E-2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B2E1-73AC-6646-A830-A2C4F0D896BD}">
  <dimension ref="B2:I16"/>
  <sheetViews>
    <sheetView zoomScale="129" zoomScaleNormal="129" workbookViewId="0">
      <selection activeCell="G12" sqref="G12"/>
    </sheetView>
  </sheetViews>
  <sheetFormatPr baseColWidth="10" defaultRowHeight="15" x14ac:dyDescent="0.2"/>
  <cols>
    <col min="2" max="2" width="23.1640625" bestFit="1" customWidth="1"/>
    <col min="3" max="3" width="4.83203125" bestFit="1" customWidth="1"/>
    <col min="4" max="4" width="12.1640625" bestFit="1" customWidth="1"/>
    <col min="5" max="6" width="17.33203125" bestFit="1" customWidth="1"/>
    <col min="7" max="7" width="18.33203125" bestFit="1" customWidth="1"/>
    <col min="8" max="8" width="17.33203125" bestFit="1" customWidth="1"/>
    <col min="9" max="9" width="11.1640625" bestFit="1" customWidth="1"/>
  </cols>
  <sheetData>
    <row r="2" spans="2:9" x14ac:dyDescent="0.2">
      <c r="B2" s="25" t="s">
        <v>0</v>
      </c>
      <c r="C2" t="s">
        <v>7</v>
      </c>
      <c r="D2" s="25"/>
    </row>
    <row r="4" spans="2:9" ht="16" thickBot="1" x14ac:dyDescent="0.25">
      <c r="B4" s="11" t="s">
        <v>16</v>
      </c>
      <c r="C4" s="12"/>
      <c r="D4" s="12"/>
      <c r="E4" s="12"/>
      <c r="F4" s="12"/>
      <c r="G4" s="12"/>
    </row>
    <row r="5" spans="2:9" ht="17" thickTop="1" thickBot="1" x14ac:dyDescent="0.25">
      <c r="E5" s="112" t="s">
        <v>17</v>
      </c>
      <c r="F5" s="112"/>
      <c r="G5" s="112"/>
      <c r="I5" t="s">
        <v>24</v>
      </c>
    </row>
    <row r="6" spans="2:9" ht="16" thickTop="1" x14ac:dyDescent="0.2">
      <c r="E6" s="10" t="s">
        <v>8</v>
      </c>
      <c r="F6" s="10" t="s">
        <v>9</v>
      </c>
      <c r="G6" s="10" t="s">
        <v>10</v>
      </c>
    </row>
    <row r="7" spans="2:9" x14ac:dyDescent="0.2">
      <c r="B7" s="10" t="s">
        <v>18</v>
      </c>
      <c r="E7" s="21" cm="1">
        <f t="array" ref="E7">INDEX(total_revenue,MATCH(1,($C$2=ticker_symbol)*($E$6=years),0))</f>
        <v>5015000000</v>
      </c>
      <c r="F7" s="21" cm="1">
        <f t="array" ref="F7">INDEX(total_revenue,MATCH(1,(C2=ticker_symbol)*(F6=years),0))</f>
        <v>5115000000</v>
      </c>
      <c r="G7" s="21" cm="1">
        <f t="array" ref="G7">INDEX(total_revenue,MATCH(1,(C2=ticker_symbol)*(G6=years),0))</f>
        <v>4183000000</v>
      </c>
      <c r="H7" s="20"/>
      <c r="I7" s="26" t="s">
        <v>25</v>
      </c>
    </row>
    <row r="8" spans="2:9" x14ac:dyDescent="0.2">
      <c r="B8" s="15" t="s">
        <v>19</v>
      </c>
      <c r="E8" s="21" cm="1">
        <f t="array" ref="E8">INDEX(cost_of_revenue,MATCH(1,($C$2=ticker_symbol)*($E$6=years),0))</f>
        <v>1844000000</v>
      </c>
      <c r="F8" s="21" cm="1">
        <f t="array" ref="F8">INDEX(cost_of_revenue,MATCH(1,(C2=ticker_symbol)*(F6=years),0))</f>
        <v>1945000000</v>
      </c>
      <c r="G8" s="21" cm="1">
        <f t="array" ref="G8">INDEX(cost_of_revenue,MATCH(1,(C2=ticker_symbol)*(G6=years),0))</f>
        <v>1479000000</v>
      </c>
      <c r="I8" s="26" t="s">
        <v>26</v>
      </c>
    </row>
    <row r="9" spans="2:9" x14ac:dyDescent="0.2">
      <c r="B9" s="10" t="s">
        <v>20</v>
      </c>
      <c r="E9" s="21">
        <f>E7-E8</f>
        <v>3171000000</v>
      </c>
      <c r="F9" s="24">
        <f>F7-F8</f>
        <v>3170000000</v>
      </c>
      <c r="G9" s="24">
        <f>G7-G8</f>
        <v>2704000000</v>
      </c>
      <c r="I9" s="27" t="s">
        <v>27</v>
      </c>
    </row>
    <row r="10" spans="2:9" x14ac:dyDescent="0.2">
      <c r="B10" s="15" t="s">
        <v>5</v>
      </c>
      <c r="C10" s="15"/>
      <c r="D10" s="13"/>
      <c r="E10" s="21" cm="1">
        <f t="array" ref="E10">INDEX(sga,MATCH(1,($C$2=ticker_symbol)*($E$6=years),0))</f>
        <v>446000000</v>
      </c>
      <c r="F10" s="20" cm="1">
        <f t="array" ref="F10">INDEX(sga,MATCH(1,(C2=ticker_symbol)*(F6=years),0))</f>
        <v>495000000</v>
      </c>
      <c r="G10" s="20" cm="1">
        <f t="array" ref="G10">INDEX(sga,MATCH(1,(C2=ticker_symbol)*(G6=years),0))</f>
        <v>545000000</v>
      </c>
      <c r="I10" s="26" t="s">
        <v>28</v>
      </c>
    </row>
    <row r="11" spans="2:9" x14ac:dyDescent="0.2">
      <c r="B11" s="15" t="s">
        <v>21</v>
      </c>
      <c r="C11" s="15"/>
      <c r="D11" s="13"/>
      <c r="E11" s="21" cm="1">
        <f t="array" ref="E11">INDEX(other_operating_items,MATCH(1,($C$2=ticker_symbol)*($E$6=years),0))</f>
        <v>104000000</v>
      </c>
      <c r="F11" s="20" cm="1">
        <f t="array" ref="F11">INDEX(other_operating_items,MATCH(1,(C2=ticker_symbol)*(F6=years),0))</f>
        <v>122000000</v>
      </c>
      <c r="G11" s="20" cm="1">
        <f t="array" ref="G11">INDEX(other_operating_items,MATCH(1,(C2=ticker_symbol)*(G6=years),0))</f>
        <v>137000000</v>
      </c>
      <c r="I11" s="26" t="s">
        <v>29</v>
      </c>
    </row>
    <row r="12" spans="2:9" x14ac:dyDescent="0.2">
      <c r="B12" s="17" t="s">
        <v>22</v>
      </c>
      <c r="C12" s="16"/>
      <c r="D12" s="14"/>
      <c r="E12" s="21">
        <f>SUM(E10:E11)</f>
        <v>550000000</v>
      </c>
      <c r="F12" s="22">
        <f>SUM(F10:F11)</f>
        <v>617000000</v>
      </c>
      <c r="G12" s="22">
        <f>SUM(G10:G11)</f>
        <v>682000000</v>
      </c>
      <c r="I12" t="s">
        <v>30</v>
      </c>
    </row>
    <row r="13" spans="2:9" x14ac:dyDescent="0.2">
      <c r="B13" s="18" t="s">
        <v>23</v>
      </c>
      <c r="C13" s="19"/>
      <c r="D13" s="19"/>
      <c r="E13" s="23">
        <f>E9-E12</f>
        <v>2621000000</v>
      </c>
      <c r="F13" s="23">
        <f>F9-F12</f>
        <v>2553000000</v>
      </c>
      <c r="G13" s="23">
        <f>G9-G12</f>
        <v>2022000000</v>
      </c>
      <c r="I13" s="27" t="s">
        <v>41</v>
      </c>
    </row>
    <row r="16" spans="2:9" x14ac:dyDescent="0.2">
      <c r="E16" s="32"/>
    </row>
  </sheetData>
  <mergeCells count="1">
    <mergeCell ref="E5:G5"/>
  </mergeCells>
  <dataValidations count="1">
    <dataValidation type="list" allowBlank="1" showInputMessage="1" showErrorMessage="1" sqref="C2" xr:uid="{D215F0F7-B5F0-5548-BC9D-9BDEE0D783E0}">
      <formula1>company_list</formula1>
    </dataValidation>
  </dataValidations>
  <pageMargins left="0.7" right="0.7" top="0.75" bottom="0.75" header="0.3" footer="0.3"/>
  <pageSetup scale="83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C08CE-C7E8-6943-8E59-ACE0BDAD8687}">
  <dimension ref="A3:C8"/>
  <sheetViews>
    <sheetView workbookViewId="0">
      <selection activeCell="C4" sqref="C4"/>
    </sheetView>
  </sheetViews>
  <sheetFormatPr baseColWidth="10" defaultRowHeight="15" x14ac:dyDescent="0.2"/>
  <cols>
    <col min="1" max="1" width="12.1640625" bestFit="1" customWidth="1"/>
  </cols>
  <sheetData>
    <row r="3" spans="1:3" x14ac:dyDescent="0.2">
      <c r="A3" s="8" t="s">
        <v>14</v>
      </c>
    </row>
    <row r="4" spans="1:3" x14ac:dyDescent="0.2">
      <c r="A4" s="9" t="s">
        <v>7</v>
      </c>
      <c r="C4" s="9" t="s">
        <v>7</v>
      </c>
    </row>
    <row r="5" spans="1:3" x14ac:dyDescent="0.2">
      <c r="A5" s="9" t="s">
        <v>11</v>
      </c>
      <c r="C5" s="9" t="s">
        <v>11</v>
      </c>
    </row>
    <row r="6" spans="1:3" x14ac:dyDescent="0.2">
      <c r="A6" s="9" t="s">
        <v>12</v>
      </c>
      <c r="C6" s="9" t="s">
        <v>12</v>
      </c>
    </row>
    <row r="7" spans="1:3" x14ac:dyDescent="0.2">
      <c r="A7" s="9" t="s">
        <v>13</v>
      </c>
      <c r="C7" s="9" t="s">
        <v>13</v>
      </c>
    </row>
    <row r="8" spans="1:3" x14ac:dyDescent="0.2">
      <c r="A8" s="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0679-BDD2-BD4A-9919-150E67FD34AD}">
  <dimension ref="A1:N13"/>
  <sheetViews>
    <sheetView topLeftCell="H1" zoomScale="150" zoomScaleNormal="150" workbookViewId="0">
      <selection activeCell="M12" sqref="M12"/>
    </sheetView>
  </sheetViews>
  <sheetFormatPr baseColWidth="10" defaultColWidth="8.83203125" defaultRowHeight="15" x14ac:dyDescent="0.2"/>
  <cols>
    <col min="1" max="1" width="3.1640625" bestFit="1" customWidth="1"/>
    <col min="2" max="2" width="6.83203125" bestFit="1" customWidth="1"/>
    <col min="3" max="3" width="5.6640625" customWidth="1"/>
    <col min="4" max="4" width="11.83203125" customWidth="1"/>
    <col min="5" max="5" width="15.33203125" bestFit="1" customWidth="1"/>
    <col min="6" max="6" width="15.33203125" customWidth="1"/>
    <col min="7" max="7" width="21.83203125" customWidth="1"/>
    <col min="8" max="8" width="18.83203125" customWidth="1"/>
    <col min="10" max="10" width="11.6640625" bestFit="1" customWidth="1"/>
    <col min="11" max="11" width="21.33203125" customWidth="1"/>
    <col min="12" max="12" width="21.1640625" customWidth="1"/>
    <col min="13" max="13" width="53.6640625" bestFit="1" customWidth="1"/>
    <col min="14" max="14" width="18.33203125" bestFit="1" customWidth="1"/>
  </cols>
  <sheetData>
    <row r="1" spans="1:14" ht="32" x14ac:dyDescent="0.2"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14" x14ac:dyDescent="0.2">
      <c r="A2">
        <v>1</v>
      </c>
      <c r="B2" t="s">
        <v>7</v>
      </c>
      <c r="C2" t="s">
        <v>8</v>
      </c>
      <c r="D2" s="1">
        <v>41639</v>
      </c>
      <c r="E2" s="5">
        <v>5015000000</v>
      </c>
      <c r="F2" s="5">
        <v>1844000000</v>
      </c>
      <c r="G2" s="5">
        <v>446000000</v>
      </c>
      <c r="H2" s="5">
        <v>104000000</v>
      </c>
      <c r="J2" s="28" t="s">
        <v>0</v>
      </c>
      <c r="K2" t="s">
        <v>12</v>
      </c>
    </row>
    <row r="3" spans="1:14" x14ac:dyDescent="0.2">
      <c r="A3">
        <v>2</v>
      </c>
      <c r="B3" t="s">
        <v>7</v>
      </c>
      <c r="C3" t="s">
        <v>9</v>
      </c>
      <c r="D3" s="1">
        <v>42004</v>
      </c>
      <c r="E3" s="5">
        <v>5115000000</v>
      </c>
      <c r="F3" s="5">
        <v>1945000000</v>
      </c>
      <c r="G3" s="5">
        <v>495000000</v>
      </c>
      <c r="H3" s="5">
        <v>122000000</v>
      </c>
      <c r="J3" s="28" t="s">
        <v>38</v>
      </c>
      <c r="K3" t="s">
        <v>10</v>
      </c>
      <c r="M3" s="10" t="s">
        <v>24</v>
      </c>
      <c r="N3" s="10" t="s">
        <v>34</v>
      </c>
    </row>
    <row r="4" spans="1:14" ht="32" x14ac:dyDescent="0.2">
      <c r="A4">
        <v>3</v>
      </c>
      <c r="B4" t="s">
        <v>7</v>
      </c>
      <c r="C4" t="s">
        <v>10</v>
      </c>
      <c r="D4" s="1">
        <v>42369</v>
      </c>
      <c r="E4" s="5">
        <v>4183000000</v>
      </c>
      <c r="F4" s="5">
        <v>1479000000</v>
      </c>
      <c r="G4" s="5">
        <v>545000000</v>
      </c>
      <c r="H4" s="5">
        <v>137000000</v>
      </c>
      <c r="K4" s="19" t="s">
        <v>31</v>
      </c>
      <c r="L4" s="30" t="s">
        <v>32</v>
      </c>
      <c r="M4" s="31" t="s">
        <v>33</v>
      </c>
      <c r="N4">
        <f>MATCH(K2,ticker_symbol,0)</f>
        <v>7</v>
      </c>
    </row>
    <row r="5" spans="1:14" x14ac:dyDescent="0.2">
      <c r="A5">
        <v>4</v>
      </c>
      <c r="B5" t="s">
        <v>11</v>
      </c>
      <c r="C5" t="s">
        <v>8</v>
      </c>
      <c r="D5" s="1">
        <v>42004</v>
      </c>
      <c r="E5" s="6">
        <v>8025000000</v>
      </c>
      <c r="F5" s="6">
        <v>747000000</v>
      </c>
      <c r="G5" s="6">
        <v>5494000000</v>
      </c>
      <c r="H5" s="7">
        <v>516000000</v>
      </c>
      <c r="M5" s="26" t="s">
        <v>35</v>
      </c>
      <c r="N5" s="20">
        <f>INDEX(total_revenue,1)</f>
        <v>5015000000</v>
      </c>
    </row>
    <row r="6" spans="1:14" x14ac:dyDescent="0.2">
      <c r="A6">
        <v>5</v>
      </c>
      <c r="B6" t="s">
        <v>11</v>
      </c>
      <c r="C6" t="s">
        <v>9</v>
      </c>
      <c r="D6" s="1">
        <v>42369</v>
      </c>
      <c r="E6" s="6">
        <v>9248000000</v>
      </c>
      <c r="F6" s="6">
        <v>792000000</v>
      </c>
      <c r="G6" s="6">
        <v>6339000000</v>
      </c>
      <c r="H6" s="7">
        <v>608000000</v>
      </c>
      <c r="M6" s="26" t="s">
        <v>36</v>
      </c>
      <c r="N6" s="32">
        <f>INDEX(total_revenue,MATCH(K2,ticker_symbol,0))</f>
        <v>1148231000</v>
      </c>
    </row>
    <row r="7" spans="1:14" x14ac:dyDescent="0.2">
      <c r="A7">
        <v>6</v>
      </c>
      <c r="B7" t="s">
        <v>11</v>
      </c>
      <c r="C7" t="s">
        <v>10</v>
      </c>
      <c r="D7" s="1">
        <v>42735</v>
      </c>
      <c r="E7" s="6">
        <v>10842000000</v>
      </c>
      <c r="F7" s="6">
        <v>834000000</v>
      </c>
      <c r="G7" s="6">
        <v>7698000000</v>
      </c>
      <c r="H7" s="7">
        <v>724000000</v>
      </c>
    </row>
    <row r="8" spans="1:14" ht="48" x14ac:dyDescent="0.2">
      <c r="A8">
        <v>7</v>
      </c>
      <c r="B8" t="s">
        <v>12</v>
      </c>
      <c r="C8" t="s">
        <v>8</v>
      </c>
      <c r="D8" s="1">
        <v>41727</v>
      </c>
      <c r="E8" s="6">
        <v>1148231000</v>
      </c>
      <c r="F8" s="6">
        <v>940573000</v>
      </c>
      <c r="G8" s="6">
        <v>180317000</v>
      </c>
      <c r="H8" s="7">
        <v>0</v>
      </c>
      <c r="K8" s="19" t="s">
        <v>37</v>
      </c>
      <c r="L8" s="29" t="s">
        <v>40</v>
      </c>
    </row>
    <row r="9" spans="1:14" x14ac:dyDescent="0.2">
      <c r="A9">
        <v>8</v>
      </c>
      <c r="B9" t="s">
        <v>12</v>
      </c>
      <c r="C9" t="s">
        <v>9</v>
      </c>
      <c r="D9" s="1">
        <v>42091</v>
      </c>
      <c r="E9" s="6">
        <v>1710966000</v>
      </c>
      <c r="F9" s="6">
        <v>1279152000</v>
      </c>
      <c r="G9" s="6">
        <v>309348000</v>
      </c>
      <c r="H9" s="7">
        <v>0</v>
      </c>
    </row>
    <row r="10" spans="1:14" x14ac:dyDescent="0.2">
      <c r="A10">
        <v>9</v>
      </c>
      <c r="B10" t="s">
        <v>12</v>
      </c>
      <c r="C10" t="s">
        <v>10</v>
      </c>
      <c r="D10" s="1">
        <v>42462</v>
      </c>
      <c r="E10" s="6">
        <v>2610726000</v>
      </c>
      <c r="F10" s="6">
        <v>2009936000</v>
      </c>
      <c r="G10" s="6">
        <v>588822000</v>
      </c>
      <c r="H10" s="7">
        <v>0</v>
      </c>
      <c r="M10" s="26" t="s">
        <v>39</v>
      </c>
      <c r="N10" s="32" cm="1">
        <f t="array" ref="N10">INDEX(total_revenue,MATCH(1,(K2=ticker_symbol)*(K3=years),0))</f>
        <v>2610726000</v>
      </c>
    </row>
    <row r="11" spans="1:14" x14ac:dyDescent="0.2">
      <c r="A11">
        <v>10</v>
      </c>
      <c r="B11" t="s">
        <v>13</v>
      </c>
      <c r="C11" t="s">
        <v>8</v>
      </c>
      <c r="D11" s="1">
        <v>41912</v>
      </c>
      <c r="E11" s="6">
        <v>9895100000</v>
      </c>
      <c r="F11" s="6">
        <v>7961500000</v>
      </c>
      <c r="G11" s="6">
        <v>937600000</v>
      </c>
      <c r="H11" s="7">
        <v>86000000</v>
      </c>
    </row>
    <row r="12" spans="1:14" x14ac:dyDescent="0.2">
      <c r="A12">
        <v>11</v>
      </c>
      <c r="B12" t="s">
        <v>13</v>
      </c>
      <c r="C12" t="s">
        <v>9</v>
      </c>
      <c r="D12" s="1">
        <v>42277</v>
      </c>
      <c r="E12" s="6">
        <v>11124800000</v>
      </c>
      <c r="F12" s="6">
        <v>8986500000</v>
      </c>
      <c r="G12" s="6">
        <v>1026100000</v>
      </c>
      <c r="H12" s="7">
        <v>118900000</v>
      </c>
      <c r="K12" s="20"/>
      <c r="M12" s="26" t="s">
        <v>66</v>
      </c>
      <c r="N12" cm="1">
        <f t="array" ref="N12">MATCH(1,(K2=ticker_symbol)*(K3=years),0)</f>
        <v>9</v>
      </c>
    </row>
    <row r="13" spans="1:14" x14ac:dyDescent="0.2">
      <c r="A13">
        <v>12</v>
      </c>
      <c r="B13" t="s">
        <v>13</v>
      </c>
      <c r="C13" t="s">
        <v>10</v>
      </c>
      <c r="D13" s="1">
        <v>42643</v>
      </c>
      <c r="E13" s="6">
        <v>14171800000</v>
      </c>
      <c r="F13" s="6">
        <v>11413200000</v>
      </c>
      <c r="G13" s="6">
        <v>1750100000</v>
      </c>
      <c r="H13" s="7">
        <v>211800000</v>
      </c>
    </row>
  </sheetData>
  <dataValidations count="2">
    <dataValidation type="list" allowBlank="1" showInputMessage="1" showErrorMessage="1" sqref="K2" xr:uid="{AFB3F80A-75B9-7148-A64E-9242A9DD3D43}">
      <formula1>company_list</formula1>
    </dataValidation>
    <dataValidation type="list" allowBlank="1" showInputMessage="1" showErrorMessage="1" sqref="K3" xr:uid="{5E6EE680-B2A4-0D45-86E7-400A61A3E3F5}">
      <formula1>$C$5:$C$7</formula1>
    </dataValidation>
  </dataValidation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7C27-7E5D-AE47-B4F5-064673F2AAD5}">
  <dimension ref="B2:C6"/>
  <sheetViews>
    <sheetView zoomScale="120" zoomScaleNormal="120" workbookViewId="0">
      <selection activeCell="D9" sqref="D9"/>
    </sheetView>
  </sheetViews>
  <sheetFormatPr baseColWidth="10" defaultRowHeight="15" x14ac:dyDescent="0.2"/>
  <cols>
    <col min="2" max="2" width="12" customWidth="1"/>
  </cols>
  <sheetData>
    <row r="2" spans="2:3" x14ac:dyDescent="0.2">
      <c r="B2" t="s">
        <v>0</v>
      </c>
      <c r="C2" t="s">
        <v>7</v>
      </c>
    </row>
    <row r="4" spans="2:3" x14ac:dyDescent="0.2">
      <c r="B4" t="s">
        <v>53</v>
      </c>
      <c r="C4" t="s">
        <v>54</v>
      </c>
    </row>
    <row r="5" spans="2:3" x14ac:dyDescent="0.2">
      <c r="C5" t="s">
        <v>55</v>
      </c>
    </row>
    <row r="6" spans="2:3" x14ac:dyDescent="0.2">
      <c r="C6" t="s">
        <v>56</v>
      </c>
    </row>
  </sheetData>
  <dataValidations count="1">
    <dataValidation type="list" allowBlank="1" showInputMessage="1" showErrorMessage="1" sqref="C2" xr:uid="{284E746C-E073-3044-9776-045DC7E66B79}">
      <formula1>company_list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15</vt:i4>
      </vt:variant>
    </vt:vector>
  </HeadingPairs>
  <TitlesOfParts>
    <vt:vector size="21" baseType="lpstr">
      <vt:lpstr>Forecast</vt:lpstr>
      <vt:lpstr>Dataset</vt:lpstr>
      <vt:lpstr>Index_intro</vt:lpstr>
      <vt:lpstr>Pivot</vt:lpstr>
      <vt:lpstr>Match_intro</vt:lpstr>
      <vt:lpstr>Data Validation</vt:lpstr>
      <vt:lpstr>cases</vt:lpstr>
      <vt:lpstr>company_list</vt:lpstr>
      <vt:lpstr>cost_of_revenue</vt:lpstr>
      <vt:lpstr>gross_margin</vt:lpstr>
      <vt:lpstr>gross_profit</vt:lpstr>
      <vt:lpstr>operating_margin</vt:lpstr>
      <vt:lpstr>operating_profit_operating_income__ebit</vt:lpstr>
      <vt:lpstr>other_operating_items</vt:lpstr>
      <vt:lpstr>period_ending</vt:lpstr>
      <vt:lpstr>Forecast!Print_Area</vt:lpstr>
      <vt:lpstr>Index_intro!Print_Area</vt:lpstr>
      <vt:lpstr>sga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Mark Soro</cp:lastModifiedBy>
  <dcterms:created xsi:type="dcterms:W3CDTF">2018-11-12T02:46:02Z</dcterms:created>
  <dcterms:modified xsi:type="dcterms:W3CDTF">2020-10-29T01:26:35Z</dcterms:modified>
</cp:coreProperties>
</file>