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Араббой Тухтабой\Уч чинор файз\"/>
    </mc:Choice>
  </mc:AlternateContent>
  <xr:revisionPtr revIDLastSave="0" documentId="13_ncr:1_{2BBAD027-96CA-40C3-BEA9-96BFC0DE4B9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Жадвал" sheetId="1" r:id="rId1"/>
    <sheet name="3." sheetId="2" r:id="rId2"/>
    <sheet name="4" sheetId="6" r:id="rId3"/>
  </sheets>
  <externalReferences>
    <externalReference r:id="rId4"/>
  </externalReference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6" l="1"/>
  <c r="X15" i="6"/>
  <c r="W15" i="6"/>
  <c r="P15" i="6"/>
  <c r="R15" i="6" s="1"/>
  <c r="U15" i="6" s="1"/>
  <c r="O15" i="6"/>
  <c r="N15" i="6"/>
  <c r="M15" i="6"/>
  <c r="L15" i="6"/>
  <c r="K15" i="6"/>
  <c r="J15" i="6"/>
  <c r="I15" i="6"/>
  <c r="H15" i="6"/>
  <c r="Y13" i="6"/>
  <c r="X13" i="6"/>
  <c r="W13" i="6"/>
  <c r="P13" i="6"/>
  <c r="O13" i="6"/>
  <c r="N13" i="6"/>
  <c r="M13" i="6"/>
  <c r="L13" i="6"/>
  <c r="K13" i="6"/>
  <c r="J13" i="6"/>
  <c r="I13" i="6"/>
  <c r="H13" i="6"/>
  <c r="Y12" i="6"/>
  <c r="X12" i="6"/>
  <c r="W12" i="6"/>
  <c r="P12" i="6"/>
  <c r="R12" i="6" s="1"/>
  <c r="U12" i="6" s="1"/>
  <c r="O12" i="6"/>
  <c r="N12" i="6"/>
  <c r="S12" i="6" s="1"/>
  <c r="V12" i="6" s="1"/>
  <c r="M12" i="6"/>
  <c r="L12" i="6"/>
  <c r="K12" i="6"/>
  <c r="J12" i="6"/>
  <c r="I12" i="6"/>
  <c r="H12" i="6"/>
  <c r="Y9" i="6"/>
  <c r="X9" i="6"/>
  <c r="W9" i="6"/>
  <c r="P9" i="6"/>
  <c r="O9" i="6"/>
  <c r="N9" i="6"/>
  <c r="S9" i="6" s="1"/>
  <c r="V9" i="6" s="1"/>
  <c r="M9" i="6"/>
  <c r="L9" i="6"/>
  <c r="K9" i="6"/>
  <c r="J9" i="6"/>
  <c r="I9" i="6"/>
  <c r="H9" i="6"/>
  <c r="Y14" i="6"/>
  <c r="X14" i="6"/>
  <c r="W14" i="6"/>
  <c r="R14" i="6"/>
  <c r="U14" i="6" s="1"/>
  <c r="O14" i="6"/>
  <c r="M14" i="6"/>
  <c r="L14" i="6"/>
  <c r="J14" i="6"/>
  <c r="I14" i="6"/>
  <c r="S14" i="6" s="1"/>
  <c r="V14" i="6" s="1"/>
  <c r="H14" i="6"/>
  <c r="Y11" i="6"/>
  <c r="X11" i="6"/>
  <c r="W11" i="6"/>
  <c r="O11" i="6"/>
  <c r="M11" i="6"/>
  <c r="L11" i="6"/>
  <c r="J11" i="6"/>
  <c r="I11" i="6"/>
  <c r="S11" i="6" s="1"/>
  <c r="V11" i="6" s="1"/>
  <c r="H11" i="6"/>
  <c r="R11" i="6" s="1"/>
  <c r="U11" i="6" s="1"/>
  <c r="Y10" i="6"/>
  <c r="X10" i="6"/>
  <c r="W10" i="6"/>
  <c r="O10" i="6"/>
  <c r="M10" i="6"/>
  <c r="L10" i="6"/>
  <c r="J10" i="6"/>
  <c r="I10" i="6"/>
  <c r="S10" i="6" s="1"/>
  <c r="V10" i="6" s="1"/>
  <c r="H10" i="6"/>
  <c r="R10" i="6" s="1"/>
  <c r="U10" i="6" s="1"/>
  <c r="C17" i="6"/>
  <c r="I15" i="1"/>
  <c r="I14" i="1"/>
  <c r="I13" i="1"/>
  <c r="I12" i="1"/>
  <c r="I11" i="1"/>
  <c r="I10" i="1"/>
  <c r="I9" i="1"/>
  <c r="F15" i="1"/>
  <c r="F14" i="1"/>
  <c r="F13" i="1"/>
  <c r="F12" i="1"/>
  <c r="F11" i="1"/>
  <c r="F10" i="1"/>
  <c r="F9" i="1"/>
  <c r="Q14" i="6" l="1"/>
  <c r="T14" i="6" s="1"/>
  <c r="Q13" i="6"/>
  <c r="T13" i="6" s="1"/>
  <c r="Q12" i="6"/>
  <c r="T12" i="6" s="1"/>
  <c r="S13" i="6"/>
  <c r="V13" i="6" s="1"/>
  <c r="S15" i="6"/>
  <c r="V15" i="6" s="1"/>
  <c r="Q10" i="6"/>
  <c r="T10" i="6" s="1"/>
  <c r="Q11" i="6"/>
  <c r="T11" i="6" s="1"/>
  <c r="R9" i="6"/>
  <c r="U9" i="6" s="1"/>
  <c r="Q15" i="6"/>
  <c r="T15" i="6" s="1"/>
  <c r="Q9" i="6"/>
  <c r="T9" i="6" s="1"/>
  <c r="R13" i="6"/>
  <c r="U13" i="6" s="1"/>
  <c r="C17" i="1"/>
  <c r="E18" i="1"/>
  <c r="E19" i="1" s="1"/>
  <c r="A21" i="2" l="1"/>
  <c r="A11" i="2"/>
  <c r="M11" i="1" l="1"/>
  <c r="O11" i="1" s="1"/>
  <c r="R11" i="1" s="1"/>
  <c r="N11" i="1"/>
  <c r="Q11" i="1" s="1"/>
  <c r="S11" i="1"/>
  <c r="U11" i="1" s="1"/>
  <c r="X11" i="1" s="1"/>
  <c r="M12" i="1"/>
  <c r="P12" i="1" s="1"/>
  <c r="N12" i="1"/>
  <c r="Q12" i="1" s="1"/>
  <c r="O12" i="1"/>
  <c r="R12" i="1" s="1"/>
  <c r="S12" i="1"/>
  <c r="U12" i="1" s="1"/>
  <c r="X12" i="1" s="1"/>
  <c r="M13" i="1"/>
  <c r="O13" i="1" s="1"/>
  <c r="R13" i="1" s="1"/>
  <c r="S13" i="1"/>
  <c r="U13" i="1" s="1"/>
  <c r="X13" i="1" s="1"/>
  <c r="M14" i="1"/>
  <c r="N14" i="1" s="1"/>
  <c r="Q14" i="1" s="1"/>
  <c r="S14" i="1"/>
  <c r="U14" i="1" s="1"/>
  <c r="X14" i="1" s="1"/>
  <c r="M15" i="1"/>
  <c r="O15" i="1" s="1"/>
  <c r="R15" i="1" s="1"/>
  <c r="N15" i="1"/>
  <c r="Q15" i="1" s="1"/>
  <c r="S15" i="1"/>
  <c r="U15" i="1" s="1"/>
  <c r="X15" i="1" s="1"/>
  <c r="T13" i="1" l="1"/>
  <c r="W13" i="1" s="1"/>
  <c r="T12" i="1"/>
  <c r="W12" i="1" s="1"/>
  <c r="P14" i="1"/>
  <c r="O14" i="1"/>
  <c r="R14" i="1" s="1"/>
  <c r="T15" i="1"/>
  <c r="W15" i="1" s="1"/>
  <c r="T14" i="1"/>
  <c r="W14" i="1" s="1"/>
  <c r="N13" i="1"/>
  <c r="Q13" i="1" s="1"/>
  <c r="T11" i="1"/>
  <c r="W11" i="1" s="1"/>
  <c r="P15" i="1"/>
  <c r="P13" i="1"/>
  <c r="P11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8" i="1" l="1"/>
  <c r="K19" i="1" s="1"/>
  <c r="M29" i="2" l="1"/>
  <c r="F9" i="2" l="1"/>
  <c r="B29" i="2"/>
  <c r="B19" i="2"/>
  <c r="L19" i="2" s="1"/>
  <c r="H18" i="1"/>
  <c r="H19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<sst xmlns="http://schemas.openxmlformats.org/spreadsheetml/2006/main" count="195" uniqueCount="75">
  <si>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</si>
  <si>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</si>
  <si>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</si>
  <si>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</si>
  <si>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</si>
  <si>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</si>
  <si>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</si>
  <si>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</si>
  <si>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</si>
  <si>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</si>
  <si>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</si>
  <si>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</si>
  <si>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</si>
  <si>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</si>
  <si>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</si>
  <si>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</si>
  <si>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</si>
  <si>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</si>
  <si>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</si>
  <si>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</si>
  <si>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</si>
  <si>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</si>
  <si>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</si>
  <si>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</si>
  <si>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</si>
  <si>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</si>
  <si>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</si>
  <si>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</si>
  <si>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</si>
  <si>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</si>
  <si>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</si>
  <si>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</si>
  <si>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</si>
  <si>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</si>
  <si>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</si>
  <si>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</si>
  <si>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</si>
  <si>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</si>
  <si>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</si>
  <si>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</si>
  <si>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</si>
  <si>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</si>
  <si>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</si>
  <si>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</si>
  <si>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</si>
  <si>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</si>
  <si>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</si>
  <si>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</si>
  <si>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</si>
  <si>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</si>
  <si>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</si>
  <si>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</si>
  <si>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</si>
  <si>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</si>
  <si>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</si>
  <si>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</si>
  <si>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</si>
  <si>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</si>
  <si>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</si>
  <si>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</si>
  <si>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</si>
  <si>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</si>
  <si>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</si>
  <si>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</si>
  <si>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</si>
  <si>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</si>
  <si>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</si>
  <si>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</si>
  <si>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</si>
  <si>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</si>
  <si>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</si>
  <si>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</si>
  <si>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Тошлоқ тумани Араббой Тухтабой худуди Уч чинор файз фермер хўжалиги томонидан суғорилиб экиладиган </t>
  </si>
  <si>
    <t>1736-1737</t>
  </si>
  <si>
    <t>1766-1768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</si>
</sst>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/>
    <xf numFmtId="0" fontId="18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5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 xr:uid="{00000000-0005-0000-0000-000001000000}"/>
    <cellStyle name="Обычный 10 2" xfId="3" xr:uid="{00000000-0005-0000-0000-000002000000}"/>
    <cellStyle name="Обычный 10 4" xfId="4" xr:uid="{00000000-0005-0000-0000-000003000000}"/>
    <cellStyle name="Обычный 2" xfId="5" xr:uid="{00000000-0005-0000-0000-000004000000}"/>
    <cellStyle name="Обычный 2 2" xfId="6" xr:uid="{00000000-0005-0000-0000-000005000000}"/>
    <cellStyle name="Обычный 2 2 2" xfId="7" xr:uid="{00000000-0005-0000-0000-000006000000}"/>
    <cellStyle name="Обычный 2 2 3" xfId="8" xr:uid="{00000000-0005-0000-0000-000007000000}"/>
    <cellStyle name="Обычный 2 4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6" xfId="12" xr:uid="{00000000-0005-0000-0000-00000B000000}"/>
    <cellStyle name="Обычный 61" xfId="13" xr:uid="{00000000-0005-0000-0000-00000C000000}"/>
    <cellStyle name="Обычный 66" xfId="14" xr:uid="{00000000-0005-0000-0000-00000D000000}"/>
    <cellStyle name="Обычный 7" xfId="15" xr:uid="{00000000-0005-0000-0000-00000E000000}"/>
    <cellStyle name="Обычный_Бахытлы" xfId="1" xr:uid="{00000000-0005-0000-0000-00000F000000}"/>
    <cellStyle name="Финансовый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1081;&#1080;&#1083;\&#1040;&#1075;&#1088;&#1086;-&#1090;&#1072;&#1093;&#1083;&#1080;&#1083;\&#1092;&#1086;&#1089;&#1092;&#1086;&#1088;,%20&#1082;&#1072;&#1083;&#1080;&#1081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3)"/>
      <sheetName val="фосфор"/>
      <sheetName val="калий"/>
    </sheetNames>
    <sheetDataSet>
      <sheetData sheetId="0"/>
      <sheetData sheetId="1">
        <row r="2">
          <cell r="B2">
            <v>1.25</v>
          </cell>
        </row>
        <row r="13">
          <cell r="B13">
            <v>1.2309000000000001</v>
          </cell>
        </row>
        <row r="30">
          <cell r="B30">
            <v>1.2027333333333332</v>
          </cell>
        </row>
        <row r="45">
          <cell r="E45">
            <v>1.0861333333333332</v>
          </cell>
        </row>
        <row r="47">
          <cell r="E47">
            <v>1.0824222222222222</v>
          </cell>
        </row>
        <row r="52">
          <cell r="E52">
            <v>1.075</v>
          </cell>
        </row>
        <row r="86">
          <cell r="B86">
            <v>1.0175777777777777</v>
          </cell>
        </row>
      </sheetData>
      <sheetData sheetId="2">
        <row r="2">
          <cell r="B2">
            <v>1.25</v>
          </cell>
        </row>
        <row r="38">
          <cell r="E38">
            <v>0.984375</v>
          </cell>
        </row>
        <row r="61">
          <cell r="E61">
            <v>0.92500000000000004</v>
          </cell>
        </row>
        <row r="68">
          <cell r="E68">
            <v>0.90937500000000004</v>
          </cell>
        </row>
        <row r="83">
          <cell r="B83">
            <v>0.87187499999999996</v>
          </cell>
        </row>
        <row r="88">
          <cell r="B88">
            <v>0.859375</v>
          </cell>
        </row>
        <row r="123">
          <cell r="B123">
            <v>0.77187499999999998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78"/>
  <sheetViews>
    <sheetView topLeftCell="A4" zoomScale="85" zoomScaleNormal="85" zoomScaleSheetLayoutView="95" workbookViewId="0">
      <selection activeCell="C9" sqref="C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9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1" t="s">
        <v>15</v>
      </c>
      <c r="N6" s="51"/>
      <c r="O6" s="51"/>
      <c r="P6" s="51" t="s">
        <v>16</v>
      </c>
      <c r="Q6" s="51"/>
      <c r="R6" s="51"/>
      <c r="S6" s="51" t="s">
        <v>15</v>
      </c>
      <c r="T6" s="51"/>
      <c r="U6" s="51"/>
      <c r="V6" s="51" t="s">
        <v>16</v>
      </c>
      <c r="W6" s="51"/>
      <c r="X6" s="51"/>
    </row>
    <row r="7" spans="1:33" ht="60" customHeight="1">
      <c r="A7" s="51"/>
      <c r="B7" s="50"/>
      <c r="C7" s="50"/>
      <c r="D7" s="50"/>
      <c r="E7" s="50"/>
      <c r="F7" s="50"/>
      <c r="G7" s="59"/>
      <c r="H7" s="50"/>
      <c r="I7" s="50"/>
      <c r="J7" s="50"/>
      <c r="K7" s="50"/>
      <c r="L7" s="50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3" ht="22.5" customHeight="1">
      <c r="A8" s="51"/>
      <c r="B8" s="50"/>
      <c r="C8" s="50"/>
      <c r="D8" s="50"/>
      <c r="E8" s="50"/>
      <c r="F8" s="50"/>
      <c r="G8" s="59"/>
      <c r="H8" s="50"/>
      <c r="I8" s="50"/>
      <c r="J8" s="50"/>
      <c r="K8" s="50"/>
      <c r="L8" s="50"/>
      <c r="M8" s="5">
        <v>6</v>
      </c>
      <c r="N8" s="5"/>
      <c r="O8" s="6"/>
      <c r="P8" s="52" t="s">
        <v>20</v>
      </c>
      <c r="Q8" s="52"/>
      <c r="R8" s="52"/>
      <c r="S8" s="5">
        <v>3.77</v>
      </c>
      <c r="T8" s="5"/>
      <c r="U8" s="6"/>
      <c r="V8" s="52" t="s">
        <v>58</v>
      </c>
      <c r="W8" s="52"/>
      <c r="X8" s="52"/>
    </row>
    <row r="9" spans="1:33" s="10" customFormat="1">
      <c r="A9" s="6">
        <v>1</v>
      </c>
      <c r="B9" s="24">
        <v>1675</v>
      </c>
      <c r="C9" s="38">
        <v>6.5</v>
      </c>
      <c r="D9" s="7" t="s">
        <v>71</v>
      </c>
      <c r="E9" s="47">
        <v>8.6300000000000008</v>
      </c>
      <c r="F9" s="48">
        <f>[1]фосфор!$B$13</f>
        <v>1.2309000000000001</v>
      </c>
      <c r="G9" s="30" t="s">
        <v>55</v>
      </c>
      <c r="H9" s="6">
        <v>206</v>
      </c>
      <c r="I9" s="48">
        <f>[1]калий!$B$88</f>
        <v>0.859375</v>
      </c>
      <c r="J9" s="28" t="s">
        <v>57</v>
      </c>
      <c r="K9" s="49">
        <v>1</v>
      </c>
      <c r="L9" s="31" t="s">
        <v>21</v>
      </c>
      <c r="M9" s="8">
        <f>+Y9*Z9</f>
        <v>7.7165999999999997</v>
      </c>
      <c r="N9" s="9">
        <f>M9*F9*0.7</f>
        <v>6.6488540579999995</v>
      </c>
      <c r="O9" s="9">
        <f>M9*I9*0.5</f>
        <v>3.3157265625000001</v>
      </c>
      <c r="P9" s="9">
        <f>M9*C9</f>
        <v>50.157899999999998</v>
      </c>
      <c r="Q9" s="9">
        <f>N9*C9</f>
        <v>43.217551376999999</v>
      </c>
      <c r="R9" s="9">
        <f>O9*C9</f>
        <v>21.552222656250002</v>
      </c>
      <c r="S9" s="9">
        <f>+AA9*Z9</f>
        <v>4.8485969999999998</v>
      </c>
      <c r="T9" s="9">
        <f>S9*F9*0.7</f>
        <v>4.1776966331100001</v>
      </c>
      <c r="U9" s="9">
        <f>S9*I9*0.3</f>
        <v>1.2500289140624998</v>
      </c>
      <c r="V9" s="9">
        <f>S9*C9</f>
        <v>31.515880499999998</v>
      </c>
      <c r="W9" s="9">
        <f>T9*C9</f>
        <v>27.155028115215</v>
      </c>
      <c r="X9" s="9">
        <f>U9*C9</f>
        <v>8.1251879414062493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>
      <c r="A10" s="6">
        <v>2</v>
      </c>
      <c r="B10" s="24">
        <v>1676</v>
      </c>
      <c r="C10" s="38">
        <v>3.1</v>
      </c>
      <c r="D10" s="7" t="s">
        <v>61</v>
      </c>
      <c r="E10" s="47">
        <v>18.02</v>
      </c>
      <c r="F10" s="48">
        <f>[1]фосфор!$E$52</f>
        <v>1.075</v>
      </c>
      <c r="G10" s="31" t="s">
        <v>21</v>
      </c>
      <c r="H10" s="6">
        <v>201</v>
      </c>
      <c r="I10" s="48">
        <f>[1]калий!$B$83</f>
        <v>0.87187499999999996</v>
      </c>
      <c r="J10" s="28" t="s">
        <v>57</v>
      </c>
      <c r="K10" s="49">
        <v>1.7</v>
      </c>
      <c r="L10" s="29" t="s">
        <v>56</v>
      </c>
      <c r="M10" s="8">
        <f t="shared" ref="M10:M11" si="0">+Y10*Z10</f>
        <v>7.7165999999999997</v>
      </c>
      <c r="N10" s="9">
        <f t="shared" ref="N10:N11" si="1">M10*F10*0.7</f>
        <v>5.8067414999999993</v>
      </c>
      <c r="O10" s="9">
        <f t="shared" ref="O10:O11" si="2">M10*I10*0.5</f>
        <v>3.3639553124999999</v>
      </c>
      <c r="P10" s="9">
        <f t="shared" ref="P10:P11" si="3">M10*C10</f>
        <v>23.92146</v>
      </c>
      <c r="Q10" s="9">
        <f t="shared" ref="Q10:Q11" si="4">N10*C10</f>
        <v>18.00089865</v>
      </c>
      <c r="R10" s="9">
        <f t="shared" ref="R10:R11" si="5">O10*C10</f>
        <v>10.42826146875</v>
      </c>
      <c r="S10" s="9">
        <f t="shared" ref="S10:S11" si="6">+AA10*Z10</f>
        <v>4.8485969999999998</v>
      </c>
      <c r="T10" s="9">
        <f t="shared" ref="T10:T11" si="7">S10*F10*0.7</f>
        <v>3.6485692424999998</v>
      </c>
      <c r="U10" s="9">
        <f t="shared" ref="U10:U11" si="8">S10*I10*0.3</f>
        <v>1.2682111528124997</v>
      </c>
      <c r="V10" s="9">
        <f t="shared" ref="V10:V11" si="9">S10*C10</f>
        <v>15.030650700000001</v>
      </c>
      <c r="W10" s="9">
        <f t="shared" ref="W10:W11" si="10">T10*C10</f>
        <v>11.310564651749999</v>
      </c>
      <c r="X10" s="9">
        <f t="shared" ref="X10:X11" si="11">U10*C10</f>
        <v>3.9314545737187494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3" s="10" customFormat="1">
      <c r="A11" s="6">
        <v>3</v>
      </c>
      <c r="B11" s="24">
        <v>1683</v>
      </c>
      <c r="C11" s="38">
        <v>5</v>
      </c>
      <c r="D11" s="7" t="s">
        <v>61</v>
      </c>
      <c r="E11" s="47">
        <v>10.31</v>
      </c>
      <c r="F11" s="48">
        <f>[1]фосфор!$B$30</f>
        <v>1.2027333333333332</v>
      </c>
      <c r="G11" s="30" t="s">
        <v>55</v>
      </c>
      <c r="H11" s="6">
        <v>241</v>
      </c>
      <c r="I11" s="48">
        <f>[1]калий!$B$123</f>
        <v>0.77187499999999998</v>
      </c>
      <c r="J11" s="28" t="s">
        <v>57</v>
      </c>
      <c r="K11" s="6">
        <v>1.4</v>
      </c>
      <c r="L11" s="28" t="s">
        <v>57</v>
      </c>
      <c r="M11" s="8">
        <f t="shared" si="0"/>
        <v>7.7165999999999997</v>
      </c>
      <c r="N11" s="9">
        <f t="shared" si="1"/>
        <v>6.4967084279999989</v>
      </c>
      <c r="O11" s="9">
        <f t="shared" si="2"/>
        <v>2.9781253125</v>
      </c>
      <c r="P11" s="9">
        <f t="shared" si="3"/>
        <v>38.582999999999998</v>
      </c>
      <c r="Q11" s="9">
        <f t="shared" si="4"/>
        <v>32.483542139999997</v>
      </c>
      <c r="R11" s="9">
        <f t="shared" si="5"/>
        <v>14.8906265625</v>
      </c>
      <c r="S11" s="9">
        <f t="shared" si="6"/>
        <v>4.8485969999999998</v>
      </c>
      <c r="T11" s="9">
        <f t="shared" si="7"/>
        <v>4.0820984622599985</v>
      </c>
      <c r="U11" s="9">
        <f t="shared" si="8"/>
        <v>1.1227532428124998</v>
      </c>
      <c r="V11" s="9">
        <f t="shared" si="9"/>
        <v>24.242984999999997</v>
      </c>
      <c r="W11" s="9">
        <f t="shared" si="10"/>
        <v>20.410492311299993</v>
      </c>
      <c r="X11" s="9">
        <f t="shared" si="11"/>
        <v>5.6137662140624993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3">
      <c r="A12" s="6">
        <v>4</v>
      </c>
      <c r="B12" s="24">
        <v>1683</v>
      </c>
      <c r="C12" s="38">
        <v>0.5</v>
      </c>
      <c r="D12" s="7" t="s">
        <v>71</v>
      </c>
      <c r="E12" s="47">
        <v>10.32</v>
      </c>
      <c r="F12" s="48">
        <f>[1]фосфор!$B$30</f>
        <v>1.2027333333333332</v>
      </c>
      <c r="G12" s="30" t="s">
        <v>55</v>
      </c>
      <c r="H12" s="6">
        <v>179</v>
      </c>
      <c r="I12" s="48">
        <f>[1]калий!$E$61</f>
        <v>0.92500000000000004</v>
      </c>
      <c r="J12" s="31" t="s">
        <v>21</v>
      </c>
      <c r="K12" s="49">
        <v>1.3</v>
      </c>
      <c r="L12" s="28" t="s">
        <v>57</v>
      </c>
      <c r="M12" s="8">
        <f t="shared" ref="M12:M15" si="12">+Y12*Z12</f>
        <v>7.7165999999999997</v>
      </c>
      <c r="N12" s="9">
        <f t="shared" ref="N12:N15" si="13">M12*F12*0.7</f>
        <v>6.4967084279999989</v>
      </c>
      <c r="O12" s="9">
        <f t="shared" ref="O12:O15" si="14">M12*I12*0.5</f>
        <v>3.5689275</v>
      </c>
      <c r="P12" s="9">
        <f t="shared" ref="P12:P15" si="15">M12*C12</f>
        <v>3.8582999999999998</v>
      </c>
      <c r="Q12" s="9">
        <f t="shared" ref="Q12:Q15" si="16">N12*C12</f>
        <v>3.2483542139999995</v>
      </c>
      <c r="R12" s="9">
        <f t="shared" ref="R12:R15" si="17">O12*C12</f>
        <v>1.78446375</v>
      </c>
      <c r="S12" s="9">
        <f t="shared" ref="S12:S15" si="18">+AA12*Z12</f>
        <v>4.8485969999999998</v>
      </c>
      <c r="T12" s="9">
        <f t="shared" ref="T12:T15" si="19">S12*F12*0.7</f>
        <v>4.0820984622599985</v>
      </c>
      <c r="U12" s="9">
        <f t="shared" ref="U12:U15" si="20">S12*I12*0.3</f>
        <v>1.3454856675</v>
      </c>
      <c r="V12" s="9">
        <f t="shared" ref="V12:V15" si="21">S12*C12</f>
        <v>2.4242984999999999</v>
      </c>
      <c r="W12" s="9">
        <f t="shared" ref="W12:W15" si="22">T12*C12</f>
        <v>2.0410492311299993</v>
      </c>
      <c r="X12" s="9">
        <f t="shared" ref="X12:X15" si="23">U12*C12</f>
        <v>0.67274283374999999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3" ht="15" customHeight="1">
      <c r="A13" s="6">
        <v>5</v>
      </c>
      <c r="B13" s="24" t="s">
        <v>73</v>
      </c>
      <c r="C13" s="38">
        <v>4.4000000000000004</v>
      </c>
      <c r="D13" s="7" t="s">
        <v>71</v>
      </c>
      <c r="E13" s="47">
        <v>17.510000000000002</v>
      </c>
      <c r="F13" s="48">
        <f>[1]фосфор!$E$47</f>
        <v>1.0824222222222222</v>
      </c>
      <c r="G13" s="31" t="s">
        <v>21</v>
      </c>
      <c r="H13" s="6">
        <v>186</v>
      </c>
      <c r="I13" s="48">
        <f>[1]калий!$E$68</f>
        <v>0.90937500000000004</v>
      </c>
      <c r="J13" s="31" t="s">
        <v>21</v>
      </c>
      <c r="K13" s="6">
        <v>1.6</v>
      </c>
      <c r="L13" s="28" t="s">
        <v>57</v>
      </c>
      <c r="M13" s="8">
        <f t="shared" si="12"/>
        <v>7.7165999999999997</v>
      </c>
      <c r="N13" s="9">
        <f t="shared" si="13"/>
        <v>5.8468335239999991</v>
      </c>
      <c r="O13" s="9">
        <f t="shared" si="14"/>
        <v>3.5086415624999998</v>
      </c>
      <c r="P13" s="9">
        <f t="shared" si="15"/>
        <v>33.953040000000001</v>
      </c>
      <c r="Q13" s="9">
        <f t="shared" si="16"/>
        <v>25.7260675056</v>
      </c>
      <c r="R13" s="9">
        <f t="shared" si="17"/>
        <v>15.438022875</v>
      </c>
      <c r="S13" s="9">
        <f t="shared" si="18"/>
        <v>4.8485969999999998</v>
      </c>
      <c r="T13" s="9">
        <f t="shared" si="19"/>
        <v>3.6737603975799993</v>
      </c>
      <c r="U13" s="9">
        <f t="shared" si="20"/>
        <v>1.3227578690624999</v>
      </c>
      <c r="V13" s="9">
        <f t="shared" si="21"/>
        <v>21.333826800000001</v>
      </c>
      <c r="W13" s="9">
        <f t="shared" si="22"/>
        <v>16.164545749351998</v>
      </c>
      <c r="X13" s="9">
        <f t="shared" si="23"/>
        <v>5.820134623875</v>
      </c>
      <c r="Y13" s="26">
        <v>6</v>
      </c>
      <c r="Z13" s="10">
        <v>1.2861</v>
      </c>
      <c r="AA13" s="10">
        <v>3.77</v>
      </c>
      <c r="AC13" s="32" t="s">
        <v>60</v>
      </c>
      <c r="AG13" s="1">
        <v>300</v>
      </c>
    </row>
    <row r="14" spans="1:33">
      <c r="A14" s="6">
        <v>6</v>
      </c>
      <c r="B14" s="24">
        <v>1738</v>
      </c>
      <c r="C14" s="38">
        <v>3.1</v>
      </c>
      <c r="D14" s="7" t="s">
        <v>61</v>
      </c>
      <c r="E14" s="47">
        <v>21.46</v>
      </c>
      <c r="F14" s="48">
        <f>[1]фосфор!$B$86</f>
        <v>1.0175777777777777</v>
      </c>
      <c r="G14" s="31" t="s">
        <v>21</v>
      </c>
      <c r="H14" s="6">
        <v>179</v>
      </c>
      <c r="I14" s="48">
        <f>[1]калий!$E$61</f>
        <v>0.92500000000000004</v>
      </c>
      <c r="J14" s="31" t="s">
        <v>21</v>
      </c>
      <c r="K14" s="49">
        <v>1.1000000000000001</v>
      </c>
      <c r="L14" s="28" t="s">
        <v>57</v>
      </c>
      <c r="M14" s="8">
        <f t="shared" si="12"/>
        <v>7.7165999999999997</v>
      </c>
      <c r="N14" s="9">
        <f t="shared" si="13"/>
        <v>5.4965684759999984</v>
      </c>
      <c r="O14" s="9">
        <f t="shared" si="14"/>
        <v>3.5689275</v>
      </c>
      <c r="P14" s="9">
        <f t="shared" si="15"/>
        <v>23.92146</v>
      </c>
      <c r="Q14" s="9">
        <f t="shared" si="16"/>
        <v>17.039362275599995</v>
      </c>
      <c r="R14" s="9">
        <f t="shared" si="17"/>
        <v>11.063675250000001</v>
      </c>
      <c r="S14" s="9">
        <f t="shared" si="18"/>
        <v>4.8485969999999998</v>
      </c>
      <c r="T14" s="9">
        <f t="shared" si="19"/>
        <v>3.4536771924199998</v>
      </c>
      <c r="U14" s="9">
        <f t="shared" si="20"/>
        <v>1.3454856675</v>
      </c>
      <c r="V14" s="9">
        <f t="shared" si="21"/>
        <v>15.030650700000001</v>
      </c>
      <c r="W14" s="9">
        <f t="shared" si="22"/>
        <v>10.706399296501999</v>
      </c>
      <c r="X14" s="9">
        <f t="shared" si="23"/>
        <v>4.1710055692500001</v>
      </c>
      <c r="Y14" s="26">
        <v>6</v>
      </c>
      <c r="Z14" s="10">
        <v>1.2861</v>
      </c>
      <c r="AA14" s="10">
        <v>3.77</v>
      </c>
    </row>
    <row r="15" spans="1:33">
      <c r="A15" s="6">
        <v>7</v>
      </c>
      <c r="B15" s="24" t="s">
        <v>74</v>
      </c>
      <c r="C15" s="38">
        <v>5.3</v>
      </c>
      <c r="D15" s="7" t="s">
        <v>71</v>
      </c>
      <c r="E15" s="47">
        <v>17.38</v>
      </c>
      <c r="F15" s="48">
        <f>[1]фосфор!$E$45</f>
        <v>1.0861333333333332</v>
      </c>
      <c r="G15" s="31" t="s">
        <v>21</v>
      </c>
      <c r="H15" s="6">
        <v>156</v>
      </c>
      <c r="I15" s="48">
        <f>[1]калий!$E$38</f>
        <v>0.984375</v>
      </c>
      <c r="J15" s="31" t="s">
        <v>21</v>
      </c>
      <c r="K15" s="6">
        <v>2.5</v>
      </c>
      <c r="L15" s="32" t="s">
        <v>60</v>
      </c>
      <c r="M15" s="8">
        <f t="shared" si="12"/>
        <v>7.7165999999999997</v>
      </c>
      <c r="N15" s="9">
        <f t="shared" si="13"/>
        <v>5.8668795359999981</v>
      </c>
      <c r="O15" s="9">
        <f t="shared" si="14"/>
        <v>3.7980140625000001</v>
      </c>
      <c r="P15" s="9">
        <f t="shared" si="15"/>
        <v>40.897979999999997</v>
      </c>
      <c r="Q15" s="9">
        <f t="shared" si="16"/>
        <v>31.09446154079999</v>
      </c>
      <c r="R15" s="9">
        <f t="shared" si="17"/>
        <v>20.129474531250001</v>
      </c>
      <c r="S15" s="9">
        <f t="shared" si="18"/>
        <v>4.8485969999999998</v>
      </c>
      <c r="T15" s="9">
        <f t="shared" si="19"/>
        <v>3.6863559751199988</v>
      </c>
      <c r="U15" s="9">
        <f t="shared" si="20"/>
        <v>1.4318513015625001</v>
      </c>
      <c r="V15" s="9">
        <f t="shared" si="21"/>
        <v>25.697564099999997</v>
      </c>
      <c r="W15" s="9">
        <f t="shared" si="22"/>
        <v>19.537686668135994</v>
      </c>
      <c r="X15" s="9">
        <f t="shared" si="23"/>
        <v>7.58881189828125</v>
      </c>
      <c r="Y15" s="26">
        <v>6</v>
      </c>
      <c r="Z15" s="10">
        <v>1.2861</v>
      </c>
      <c r="AA15" s="10">
        <v>3.77</v>
      </c>
    </row>
    <row r="16" spans="1:33">
      <c r="C16" s="10"/>
      <c r="D16" s="10"/>
      <c r="E16" s="10"/>
      <c r="G16" s="10"/>
      <c r="H16" s="10"/>
      <c r="J16" s="10"/>
      <c r="K16" s="10"/>
      <c r="L16" s="10"/>
      <c r="M16" s="10"/>
    </row>
    <row r="17" spans="1:32">
      <c r="C17" s="33">
        <f>SUM(C9:C15)</f>
        <v>27.900000000000002</v>
      </c>
      <c r="F17" s="12"/>
      <c r="G17" s="1"/>
    </row>
    <row r="18" spans="1:32">
      <c r="E18" s="33">
        <f>SUM(E9:E17)</f>
        <v>103.63</v>
      </c>
      <c r="F18" s="12"/>
      <c r="G18" s="1"/>
      <c r="H18" s="1">
        <f>SUM(H9:H17)</f>
        <v>1348</v>
      </c>
      <c r="K18" s="1">
        <f>SUM(K9:K17)</f>
        <v>10.6</v>
      </c>
    </row>
    <row r="19" spans="1:32">
      <c r="E19" s="1">
        <f>+E18/7</f>
        <v>14.804285714285713</v>
      </c>
      <c r="F19" s="12"/>
      <c r="G19" s="1"/>
      <c r="H19" s="1">
        <f>+H18/7</f>
        <v>192.57142857142858</v>
      </c>
      <c r="K19" s="1">
        <f>+K18/7</f>
        <v>1.5142857142857142</v>
      </c>
    </row>
    <row r="20" spans="1:32" s="10" customFormat="1">
      <c r="A20" s="1"/>
      <c r="B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activeCell="B10" sqref="B1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4"/>
      <c r="O1" s="14"/>
      <c r="P1" s="14"/>
      <c r="Q1" s="14"/>
    </row>
    <row r="2" spans="1:17" ht="15.75" customHeight="1">
      <c r="A2" s="87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5"/>
    </row>
    <row r="3" spans="1:17" ht="15.75" customHeight="1">
      <c r="A3" s="87" t="s">
        <v>23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5"/>
    </row>
    <row r="4" spans="1:17" ht="15.75" thickBot="1"/>
    <row r="5" spans="1:17" ht="19.5" thickBot="1">
      <c r="A5" s="60" t="s">
        <v>4</v>
      </c>
      <c r="B5" s="60" t="s">
        <v>24</v>
      </c>
      <c r="C5" s="63" t="s">
        <v>25</v>
      </c>
      <c r="D5" s="64"/>
      <c r="E5" s="64"/>
      <c r="F5" s="64"/>
      <c r="G5" s="64"/>
      <c r="H5" s="64"/>
      <c r="I5" s="64"/>
      <c r="J5" s="64"/>
      <c r="K5" s="64"/>
      <c r="L5" s="65"/>
      <c r="M5" s="60" t="s">
        <v>26</v>
      </c>
    </row>
    <row r="6" spans="1:17" ht="18.75" customHeight="1">
      <c r="A6" s="61"/>
      <c r="B6" s="61"/>
      <c r="C6" s="66" t="s">
        <v>27</v>
      </c>
      <c r="D6" s="67"/>
      <c r="E6" s="68" t="s">
        <v>28</v>
      </c>
      <c r="F6" s="69"/>
      <c r="G6" s="70" t="s">
        <v>29</v>
      </c>
      <c r="H6" s="71"/>
      <c r="I6" s="72" t="s">
        <v>30</v>
      </c>
      <c r="J6" s="73"/>
      <c r="K6" s="74" t="s">
        <v>31</v>
      </c>
      <c r="L6" s="75"/>
      <c r="M6" s="61"/>
    </row>
    <row r="7" spans="1:17" ht="28.5" customHeight="1" thickBot="1">
      <c r="A7" s="61"/>
      <c r="B7" s="61"/>
      <c r="C7" s="76" t="s">
        <v>32</v>
      </c>
      <c r="D7" s="77"/>
      <c r="E7" s="78" t="s">
        <v>33</v>
      </c>
      <c r="F7" s="79"/>
      <c r="G7" s="80" t="s">
        <v>34</v>
      </c>
      <c r="H7" s="81"/>
      <c r="I7" s="82" t="s">
        <v>35</v>
      </c>
      <c r="J7" s="83"/>
      <c r="K7" s="84" t="s">
        <v>36</v>
      </c>
      <c r="L7" s="85"/>
      <c r="M7" s="62"/>
    </row>
    <row r="8" spans="1:17" ht="19.5" thickBot="1">
      <c r="A8" s="62"/>
      <c r="B8" s="62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27.9</v>
      </c>
      <c r="C9" s="20">
        <v>12</v>
      </c>
      <c r="D9" s="21">
        <f>+C9/B9%</f>
        <v>43.010752688172047</v>
      </c>
      <c r="E9" s="20">
        <v>15.9</v>
      </c>
      <c r="F9" s="21">
        <f>E9/B9*100</f>
        <v>56.98924731182796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+Жадвал!E19</f>
        <v>14.804285714285713</v>
      </c>
      <c r="N9" s="34">
        <f>+L9+J9+H9+F9+D9</f>
        <v>100</v>
      </c>
    </row>
    <row r="10" spans="1:17" ht="18.75">
      <c r="M10">
        <v>86.28</v>
      </c>
      <c r="N10" s="35"/>
    </row>
    <row r="11" spans="1:17" ht="18.75">
      <c r="A11" s="86" t="str">
        <f>A1</f>
        <v xml:space="preserve">Фарғона вилояти Тошлоқ тумани Араббой Тухтабой худуди Уч чинор файз фермер хўжалиги томонидан суғорилиб экиладиган 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35"/>
    </row>
    <row r="12" spans="1:17" ht="18.75">
      <c r="A12" s="87" t="s">
        <v>40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35"/>
    </row>
    <row r="13" spans="1:17" ht="18.75">
      <c r="A13" s="87" t="s">
        <v>23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35"/>
    </row>
    <row r="14" spans="1:17" ht="19.5" thickBot="1">
      <c r="N14" s="35"/>
    </row>
    <row r="15" spans="1:17" ht="19.5" thickBot="1">
      <c r="A15" s="60" t="s">
        <v>4</v>
      </c>
      <c r="B15" s="60" t="s">
        <v>24</v>
      </c>
      <c r="C15" s="63" t="s">
        <v>41</v>
      </c>
      <c r="D15" s="64"/>
      <c r="E15" s="64"/>
      <c r="F15" s="64"/>
      <c r="G15" s="64"/>
      <c r="H15" s="64"/>
      <c r="I15" s="64"/>
      <c r="J15" s="64"/>
      <c r="K15" s="64"/>
      <c r="L15" s="65"/>
      <c r="M15" s="60" t="s">
        <v>26</v>
      </c>
      <c r="N15" s="35"/>
    </row>
    <row r="16" spans="1:17" ht="18.75" customHeight="1">
      <c r="A16" s="61"/>
      <c r="B16" s="61"/>
      <c r="C16" s="66" t="s">
        <v>27</v>
      </c>
      <c r="D16" s="67"/>
      <c r="E16" s="68" t="s">
        <v>28</v>
      </c>
      <c r="F16" s="69"/>
      <c r="G16" s="70" t="s">
        <v>29</v>
      </c>
      <c r="H16" s="71"/>
      <c r="I16" s="72" t="s">
        <v>30</v>
      </c>
      <c r="J16" s="73"/>
      <c r="K16" s="74" t="s">
        <v>31</v>
      </c>
      <c r="L16" s="75"/>
      <c r="M16" s="61"/>
      <c r="N16" s="35"/>
    </row>
    <row r="17" spans="1:14" ht="30" customHeight="1" thickBot="1">
      <c r="A17" s="61"/>
      <c r="B17" s="61"/>
      <c r="C17" s="76" t="s">
        <v>42</v>
      </c>
      <c r="D17" s="77"/>
      <c r="E17" s="78" t="s">
        <v>43</v>
      </c>
      <c r="F17" s="79"/>
      <c r="G17" s="80" t="s">
        <v>44</v>
      </c>
      <c r="H17" s="81"/>
      <c r="I17" s="82" t="s">
        <v>45</v>
      </c>
      <c r="J17" s="83"/>
      <c r="K17" s="84" t="s">
        <v>46</v>
      </c>
      <c r="L17" s="85"/>
      <c r="M17" s="62"/>
      <c r="N17" s="35"/>
    </row>
    <row r="18" spans="1:14" ht="19.5" thickBot="1">
      <c r="A18" s="62"/>
      <c r="B18" s="62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27.9</v>
      </c>
      <c r="C19" s="20"/>
      <c r="D19" s="21">
        <f>+C19/B19%</f>
        <v>0</v>
      </c>
      <c r="E19" s="20">
        <v>13.3</v>
      </c>
      <c r="F19" s="21">
        <f>+E19/B19%</f>
        <v>47.670250896057354</v>
      </c>
      <c r="G19" s="22">
        <v>14.6</v>
      </c>
      <c r="H19" s="21">
        <f>G19/B19*100</f>
        <v>52.32974910394266</v>
      </c>
      <c r="I19" s="22"/>
      <c r="J19" s="21">
        <f>+I19/B19%</f>
        <v>0</v>
      </c>
      <c r="K19" s="22"/>
      <c r="L19" s="21">
        <f>+K19/B19%</f>
        <v>0</v>
      </c>
      <c r="M19" s="21">
        <f>+Жадвал!H19</f>
        <v>192.57142857142858</v>
      </c>
      <c r="N19" s="34">
        <f>+L19+J19+H19+F19+D19</f>
        <v>100.00000000000001</v>
      </c>
    </row>
    <row r="20" spans="1:14" ht="18.75">
      <c r="N20" s="35"/>
    </row>
    <row r="21" spans="1:14" ht="18.75">
      <c r="A21" s="86" t="str">
        <f>A1</f>
        <v xml:space="preserve">Фарғона вилояти Тошлоқ тумани Араббой Тухтабой худуди Уч чинор файз фермер хўжалиги томонидан суғорилиб экиладиган 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35"/>
    </row>
    <row r="22" spans="1:14" ht="18.75">
      <c r="A22" s="87" t="s">
        <v>47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35"/>
    </row>
    <row r="23" spans="1:14" ht="18.75">
      <c r="A23" s="87" t="s">
        <v>23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35"/>
    </row>
    <row r="24" spans="1:14" ht="19.5" thickBot="1">
      <c r="N24" s="35"/>
    </row>
    <row r="25" spans="1:14" ht="19.5" thickBot="1">
      <c r="A25" s="60" t="s">
        <v>4</v>
      </c>
      <c r="B25" s="60" t="s">
        <v>24</v>
      </c>
      <c r="C25" s="63" t="s">
        <v>48</v>
      </c>
      <c r="D25" s="64"/>
      <c r="E25" s="64"/>
      <c r="F25" s="64"/>
      <c r="G25" s="64"/>
      <c r="H25" s="64"/>
      <c r="I25" s="64"/>
      <c r="J25" s="64"/>
      <c r="K25" s="64"/>
      <c r="L25" s="65"/>
      <c r="M25" s="60" t="s">
        <v>49</v>
      </c>
      <c r="N25" s="35"/>
    </row>
    <row r="26" spans="1:14" ht="18.75" customHeight="1">
      <c r="A26" s="61"/>
      <c r="B26" s="61"/>
      <c r="C26" s="66" t="s">
        <v>27</v>
      </c>
      <c r="D26" s="67"/>
      <c r="E26" s="68" t="s">
        <v>28</v>
      </c>
      <c r="F26" s="69"/>
      <c r="G26" s="70" t="s">
        <v>29</v>
      </c>
      <c r="H26" s="71"/>
      <c r="I26" s="72" t="s">
        <v>30</v>
      </c>
      <c r="J26" s="73"/>
      <c r="K26" s="74" t="s">
        <v>31</v>
      </c>
      <c r="L26" s="75"/>
      <c r="M26" s="61"/>
      <c r="N26" s="35"/>
    </row>
    <row r="27" spans="1:14" ht="27.75" customHeight="1" thickBot="1">
      <c r="A27" s="61"/>
      <c r="B27" s="61"/>
      <c r="C27" s="76" t="s">
        <v>50</v>
      </c>
      <c r="D27" s="77"/>
      <c r="E27" s="78" t="s">
        <v>51</v>
      </c>
      <c r="F27" s="79"/>
      <c r="G27" s="80" t="s">
        <v>52</v>
      </c>
      <c r="H27" s="81"/>
      <c r="I27" s="82" t="s">
        <v>53</v>
      </c>
      <c r="J27" s="83"/>
      <c r="K27" s="84" t="s">
        <v>54</v>
      </c>
      <c r="L27" s="85"/>
      <c r="M27" s="62"/>
      <c r="N27" s="35"/>
    </row>
    <row r="28" spans="1:14" ht="19.5" thickBot="1">
      <c r="A28" s="62"/>
      <c r="B28" s="62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27.9</v>
      </c>
      <c r="C29" s="20"/>
      <c r="D29" s="21">
        <f>+C29/B29%</f>
        <v>0</v>
      </c>
      <c r="E29" s="20">
        <v>6.5</v>
      </c>
      <c r="F29" s="21">
        <f>+E29/B29%</f>
        <v>23.297491039426525</v>
      </c>
      <c r="G29" s="22">
        <v>13</v>
      </c>
      <c r="H29" s="21">
        <f>+G29/B29%</f>
        <v>46.59498207885305</v>
      </c>
      <c r="I29" s="25">
        <v>3.1</v>
      </c>
      <c r="J29" s="21">
        <f>+I29/B29%</f>
        <v>11.111111111111112</v>
      </c>
      <c r="K29" s="22">
        <v>5.3</v>
      </c>
      <c r="L29" s="21">
        <f>+K29/B29%</f>
        <v>18.996415770609321</v>
      </c>
      <c r="M29" s="23">
        <f>+Жадвал!K19</f>
        <v>1.5142857142857142</v>
      </c>
      <c r="N29" s="34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8"/>
  <sheetViews>
    <sheetView tabSelected="1" zoomScale="85" zoomScaleNormal="85" zoomScaleSheetLayoutView="95" workbookViewId="0">
      <selection activeCell="K28" sqref="K2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1" t="s">
        <v>16</v>
      </c>
      <c r="F6" s="51"/>
      <c r="G6" s="51"/>
      <c r="H6" s="51" t="s">
        <v>62</v>
      </c>
      <c r="I6" s="51"/>
      <c r="J6" s="51"/>
      <c r="K6" s="51"/>
      <c r="L6" s="51"/>
      <c r="M6" s="51"/>
      <c r="N6" s="51"/>
      <c r="O6" s="51"/>
      <c r="P6" s="51"/>
    </row>
    <row r="7" spans="1:25" ht="60" customHeight="1">
      <c r="A7" s="51"/>
      <c r="B7" s="50"/>
      <c r="C7" s="50"/>
      <c r="D7" s="50"/>
      <c r="E7" s="89" t="s">
        <v>17</v>
      </c>
      <c r="F7" s="89" t="s">
        <v>18</v>
      </c>
      <c r="G7" s="89" t="s">
        <v>19</v>
      </c>
      <c r="H7" s="88" t="s">
        <v>63</v>
      </c>
      <c r="I7" s="88"/>
      <c r="J7" s="46" t="s">
        <v>64</v>
      </c>
      <c r="K7" s="39" t="s">
        <v>65</v>
      </c>
      <c r="L7" s="46" t="s">
        <v>66</v>
      </c>
      <c r="M7" s="88" t="s">
        <v>67</v>
      </c>
      <c r="N7" s="88"/>
      <c r="O7" s="88" t="s">
        <v>68</v>
      </c>
      <c r="P7" s="88"/>
    </row>
    <row r="8" spans="1:25" ht="22.5" customHeight="1">
      <c r="A8" s="51"/>
      <c r="B8" s="50"/>
      <c r="C8" s="50"/>
      <c r="D8" s="50"/>
      <c r="E8" s="90"/>
      <c r="F8" s="90"/>
      <c r="G8" s="90"/>
      <c r="H8" s="46" t="s">
        <v>69</v>
      </c>
      <c r="I8" s="46" t="s">
        <v>70</v>
      </c>
      <c r="J8" s="46" t="s">
        <v>17</v>
      </c>
      <c r="K8" s="46" t="s">
        <v>69</v>
      </c>
      <c r="L8" s="46" t="s">
        <v>17</v>
      </c>
      <c r="M8" s="46" t="s">
        <v>17</v>
      </c>
      <c r="N8" s="46" t="s">
        <v>70</v>
      </c>
      <c r="O8" s="46" t="s">
        <v>17</v>
      </c>
      <c r="P8" s="46" t="s">
        <v>69</v>
      </c>
      <c r="Q8" s="40" t="s">
        <v>17</v>
      </c>
      <c r="R8" s="40" t="s">
        <v>69</v>
      </c>
      <c r="S8" s="40" t="s">
        <v>70</v>
      </c>
      <c r="T8" s="41"/>
      <c r="U8" s="41"/>
      <c r="V8" s="41"/>
      <c r="W8" s="40" t="s">
        <v>17</v>
      </c>
      <c r="X8" s="40" t="s">
        <v>69</v>
      </c>
      <c r="Y8" s="40" t="s">
        <v>70</v>
      </c>
    </row>
    <row r="9" spans="1:25" s="10" customFormat="1">
      <c r="A9" s="6">
        <v>1</v>
      </c>
      <c r="B9" s="24">
        <v>1675</v>
      </c>
      <c r="C9" s="38">
        <v>6.5</v>
      </c>
      <c r="D9" s="7" t="s">
        <v>71</v>
      </c>
      <c r="E9" s="9">
        <v>50.157899999999998</v>
      </c>
      <c r="F9" s="9">
        <v>43.217551376999999</v>
      </c>
      <c r="G9" s="9">
        <v>21.552222656250002</v>
      </c>
      <c r="H9" s="42">
        <f t="shared" ref="H9" si="0">+F9*0.7</f>
        <v>30.252285963899997</v>
      </c>
      <c r="I9" s="42">
        <f t="shared" ref="I9" si="1">+G9*0.5</f>
        <v>10.776111328125001</v>
      </c>
      <c r="J9" s="42">
        <f t="shared" ref="J9" si="2">+E9*0.25</f>
        <v>12.539474999999999</v>
      </c>
      <c r="K9" s="42">
        <f t="shared" ref="K9" si="3">+F9*0.15</f>
        <v>6.4826327065499996</v>
      </c>
      <c r="L9" s="42">
        <f t="shared" ref="L9" si="4">+E9*0.25</f>
        <v>12.539474999999999</v>
      </c>
      <c r="M9" s="42">
        <f t="shared" ref="M9" si="5">+E9*0.25</f>
        <v>12.539474999999999</v>
      </c>
      <c r="N9" s="42">
        <f t="shared" ref="N9" si="6">+G9*0.5</f>
        <v>10.776111328125001</v>
      </c>
      <c r="O9" s="42">
        <f t="shared" ref="O9" si="7">+E9*0.25</f>
        <v>12.539474999999999</v>
      </c>
      <c r="P9" s="42">
        <f t="shared" ref="P9" si="8">+F9*0.15</f>
        <v>6.4826327065499996</v>
      </c>
      <c r="Q9" s="43">
        <f t="shared" ref="Q9" si="9">+O9+M9+L9+J9</f>
        <v>50.157899999999998</v>
      </c>
      <c r="R9" s="44">
        <f t="shared" ref="R9" si="10">+P9+K9+H9</f>
        <v>43.217551376999992</v>
      </c>
      <c r="S9" s="44">
        <f t="shared" ref="S9" si="11">+N9+I9</f>
        <v>21.552222656250002</v>
      </c>
      <c r="T9" s="45">
        <f t="shared" ref="T9:V9" si="12">+Q9-E9</f>
        <v>0</v>
      </c>
      <c r="U9" s="45">
        <f t="shared" si="12"/>
        <v>0</v>
      </c>
      <c r="V9" s="45">
        <f t="shared" si="12"/>
        <v>0</v>
      </c>
      <c r="W9" s="43">
        <f t="shared" ref="W9" si="13">+E9/C9</f>
        <v>7.7165999999999997</v>
      </c>
      <c r="X9" s="43">
        <f t="shared" ref="X9" si="14">+F9/C9</f>
        <v>6.6488540579999995</v>
      </c>
      <c r="Y9" s="43">
        <f t="shared" ref="Y9" si="15">+G9/C9</f>
        <v>3.3157265625000005</v>
      </c>
    </row>
    <row r="10" spans="1:25" s="10" customFormat="1">
      <c r="A10" s="6">
        <v>2</v>
      </c>
      <c r="B10" s="24">
        <v>1676</v>
      </c>
      <c r="C10" s="38">
        <v>3.1</v>
      </c>
      <c r="D10" s="7" t="s">
        <v>61</v>
      </c>
      <c r="E10" s="9">
        <v>15.030650700000001</v>
      </c>
      <c r="F10" s="9">
        <v>11.310564651749999</v>
      </c>
      <c r="G10" s="9">
        <v>3.9314545737187494</v>
      </c>
      <c r="H10" s="42">
        <f t="shared" ref="H10:I11" si="16">+F10</f>
        <v>11.310564651749999</v>
      </c>
      <c r="I10" s="42">
        <f t="shared" si="16"/>
        <v>3.9314545737187494</v>
      </c>
      <c r="J10" s="42">
        <f t="shared" ref="J10:J11" si="17">+E10*0.15</f>
        <v>2.2545976049999998</v>
      </c>
      <c r="K10" s="42"/>
      <c r="L10" s="42">
        <f t="shared" ref="L10:L11" si="18">+E10*0.35</f>
        <v>5.2607277449999996</v>
      </c>
      <c r="M10" s="42">
        <f t="shared" ref="M10:M11" si="19">+E10*0.35</f>
        <v>5.2607277449999996</v>
      </c>
      <c r="N10" s="42"/>
      <c r="O10" s="42">
        <f t="shared" ref="O10:O11" si="20">+E10*0.15</f>
        <v>2.2545976049999998</v>
      </c>
      <c r="P10" s="42"/>
      <c r="Q10" s="43">
        <f t="shared" ref="Q10:Q13" si="21">+O10+M10+L10+J10</f>
        <v>15.030650699999999</v>
      </c>
      <c r="R10" s="44">
        <f t="shared" ref="R10:R13" si="22">+P10+K10+H10</f>
        <v>11.310564651749999</v>
      </c>
      <c r="S10" s="44">
        <f t="shared" ref="S10:S13" si="23">+N10+I10</f>
        <v>3.9314545737187494</v>
      </c>
      <c r="T10" s="45">
        <f t="shared" ref="T10:V13" si="24">+Q10-E10</f>
        <v>0</v>
      </c>
      <c r="U10" s="45">
        <f t="shared" si="24"/>
        <v>0</v>
      </c>
      <c r="V10" s="45">
        <f t="shared" si="24"/>
        <v>0</v>
      </c>
      <c r="W10" s="43">
        <f t="shared" ref="W10:W13" si="25">+E10/C10</f>
        <v>4.8485969999999998</v>
      </c>
      <c r="X10" s="43">
        <f t="shared" ref="X10:X13" si="26">+F10/C10</f>
        <v>3.6485692424999998</v>
      </c>
      <c r="Y10" s="43">
        <f t="shared" ref="Y10:Y13" si="27">+G10/C10</f>
        <v>1.2682111528124997</v>
      </c>
    </row>
    <row r="11" spans="1:25" s="10" customFormat="1">
      <c r="A11" s="6">
        <v>3</v>
      </c>
      <c r="B11" s="24">
        <v>1683</v>
      </c>
      <c r="C11" s="38">
        <v>5</v>
      </c>
      <c r="D11" s="7" t="s">
        <v>61</v>
      </c>
      <c r="E11" s="9">
        <v>24.242984999999997</v>
      </c>
      <c r="F11" s="9">
        <v>20.410492311299993</v>
      </c>
      <c r="G11" s="9">
        <v>5.6137662140624993</v>
      </c>
      <c r="H11" s="42">
        <f t="shared" si="16"/>
        <v>20.410492311299993</v>
      </c>
      <c r="I11" s="42">
        <f t="shared" si="16"/>
        <v>5.6137662140624993</v>
      </c>
      <c r="J11" s="42">
        <f t="shared" si="17"/>
        <v>3.6364477499999994</v>
      </c>
      <c r="K11" s="42"/>
      <c r="L11" s="42">
        <f t="shared" si="18"/>
        <v>8.4850447499999984</v>
      </c>
      <c r="M11" s="42">
        <f t="shared" si="19"/>
        <v>8.4850447499999984</v>
      </c>
      <c r="N11" s="42"/>
      <c r="O11" s="42">
        <f t="shared" si="20"/>
        <v>3.6364477499999994</v>
      </c>
      <c r="P11" s="42"/>
      <c r="Q11" s="43">
        <f t="shared" si="21"/>
        <v>24.242984999999994</v>
      </c>
      <c r="R11" s="44">
        <f t="shared" si="22"/>
        <v>20.410492311299993</v>
      </c>
      <c r="S11" s="44">
        <f t="shared" si="23"/>
        <v>5.6137662140624993</v>
      </c>
      <c r="T11" s="45">
        <f t="shared" si="24"/>
        <v>0</v>
      </c>
      <c r="U11" s="45">
        <f t="shared" si="24"/>
        <v>0</v>
      </c>
      <c r="V11" s="45">
        <f t="shared" si="24"/>
        <v>0</v>
      </c>
      <c r="W11" s="43">
        <f t="shared" si="25"/>
        <v>4.8485969999999998</v>
      </c>
      <c r="X11" s="43">
        <f t="shared" si="26"/>
        <v>4.0820984622599985</v>
      </c>
      <c r="Y11" s="43">
        <f t="shared" si="27"/>
        <v>1.1227532428124998</v>
      </c>
    </row>
    <row r="12" spans="1:25">
      <c r="A12" s="6">
        <v>4</v>
      </c>
      <c r="B12" s="24">
        <v>1683</v>
      </c>
      <c r="C12" s="38">
        <v>0.5</v>
      </c>
      <c r="D12" s="7" t="s">
        <v>71</v>
      </c>
      <c r="E12" s="9">
        <v>3.8582999999999998</v>
      </c>
      <c r="F12" s="9">
        <v>3.2483542139999995</v>
      </c>
      <c r="G12" s="9">
        <v>1.78446375</v>
      </c>
      <c r="H12" s="42">
        <f t="shared" ref="H12:H13" si="28">+F12*0.7</f>
        <v>2.2738479497999995</v>
      </c>
      <c r="I12" s="42">
        <f t="shared" ref="I12:I13" si="29">+G12*0.5</f>
        <v>0.89223187500000001</v>
      </c>
      <c r="J12" s="42">
        <f t="shared" ref="J12:J13" si="30">+E12*0.25</f>
        <v>0.96457499999999996</v>
      </c>
      <c r="K12" s="42">
        <f t="shared" ref="K12:K13" si="31">+F12*0.15</f>
        <v>0.48725313209999987</v>
      </c>
      <c r="L12" s="42">
        <f t="shared" ref="L12:L13" si="32">+E12*0.25</f>
        <v>0.96457499999999996</v>
      </c>
      <c r="M12" s="42">
        <f t="shared" ref="M12:M13" si="33">+E12*0.25</f>
        <v>0.96457499999999996</v>
      </c>
      <c r="N12" s="42">
        <f t="shared" ref="N12:N13" si="34">+G12*0.5</f>
        <v>0.89223187500000001</v>
      </c>
      <c r="O12" s="42">
        <f t="shared" ref="O12:O13" si="35">+E12*0.25</f>
        <v>0.96457499999999996</v>
      </c>
      <c r="P12" s="42">
        <f t="shared" ref="P12:P13" si="36">+F12*0.15</f>
        <v>0.48725313209999987</v>
      </c>
      <c r="Q12" s="43">
        <f t="shared" si="21"/>
        <v>3.8582999999999998</v>
      </c>
      <c r="R12" s="44">
        <f t="shared" si="22"/>
        <v>3.248354213999999</v>
      </c>
      <c r="S12" s="44">
        <f t="shared" si="23"/>
        <v>1.78446375</v>
      </c>
      <c r="T12" s="45">
        <f t="shared" si="24"/>
        <v>0</v>
      </c>
      <c r="U12" s="45">
        <f t="shared" si="24"/>
        <v>0</v>
      </c>
      <c r="V12" s="45">
        <f t="shared" si="24"/>
        <v>0</v>
      </c>
      <c r="W12" s="43">
        <f t="shared" si="25"/>
        <v>7.7165999999999997</v>
      </c>
      <c r="X12" s="43">
        <f t="shared" si="26"/>
        <v>6.4967084279999989</v>
      </c>
      <c r="Y12" s="43">
        <f t="shared" si="27"/>
        <v>3.5689275</v>
      </c>
    </row>
    <row r="13" spans="1:25" ht="15" customHeight="1">
      <c r="A13" s="6">
        <v>5</v>
      </c>
      <c r="B13" s="24" t="s">
        <v>73</v>
      </c>
      <c r="C13" s="38">
        <v>4.4000000000000004</v>
      </c>
      <c r="D13" s="7" t="s">
        <v>71</v>
      </c>
      <c r="E13" s="9">
        <v>33.953040000000001</v>
      </c>
      <c r="F13" s="9">
        <v>25.7260675056</v>
      </c>
      <c r="G13" s="9">
        <v>15.438022875</v>
      </c>
      <c r="H13" s="42">
        <f t="shared" si="28"/>
        <v>18.008247253919997</v>
      </c>
      <c r="I13" s="42">
        <f t="shared" si="29"/>
        <v>7.7190114374999999</v>
      </c>
      <c r="J13" s="42">
        <f t="shared" si="30"/>
        <v>8.4882600000000004</v>
      </c>
      <c r="K13" s="42">
        <f t="shared" si="31"/>
        <v>3.8589101258399996</v>
      </c>
      <c r="L13" s="42">
        <f t="shared" si="32"/>
        <v>8.4882600000000004</v>
      </c>
      <c r="M13" s="42">
        <f t="shared" si="33"/>
        <v>8.4882600000000004</v>
      </c>
      <c r="N13" s="42">
        <f t="shared" si="34"/>
        <v>7.7190114374999999</v>
      </c>
      <c r="O13" s="42">
        <f t="shared" si="35"/>
        <v>8.4882600000000004</v>
      </c>
      <c r="P13" s="42">
        <f t="shared" si="36"/>
        <v>3.8589101258399996</v>
      </c>
      <c r="Q13" s="43">
        <f t="shared" si="21"/>
        <v>33.953040000000001</v>
      </c>
      <c r="R13" s="44">
        <f t="shared" si="22"/>
        <v>25.726067505599996</v>
      </c>
      <c r="S13" s="44">
        <f t="shared" si="23"/>
        <v>15.438022875</v>
      </c>
      <c r="T13" s="45">
        <f t="shared" si="24"/>
        <v>0</v>
      </c>
      <c r="U13" s="45">
        <f t="shared" si="24"/>
        <v>0</v>
      </c>
      <c r="V13" s="45">
        <f t="shared" si="24"/>
        <v>0</v>
      </c>
      <c r="W13" s="43">
        <f t="shared" si="25"/>
        <v>7.7165999999999997</v>
      </c>
      <c r="X13" s="43">
        <f t="shared" si="26"/>
        <v>5.8468335239999991</v>
      </c>
      <c r="Y13" s="43">
        <f t="shared" si="27"/>
        <v>3.5086415624999998</v>
      </c>
    </row>
    <row r="14" spans="1:25">
      <c r="A14" s="6">
        <v>6</v>
      </c>
      <c r="B14" s="24">
        <v>1738</v>
      </c>
      <c r="C14" s="38">
        <v>3.1</v>
      </c>
      <c r="D14" s="7" t="s">
        <v>61</v>
      </c>
      <c r="E14" s="9">
        <v>15.030650700000001</v>
      </c>
      <c r="F14" s="9">
        <v>10.706399296501999</v>
      </c>
      <c r="G14" s="9">
        <v>4.1710055692500001</v>
      </c>
      <c r="H14" s="42">
        <f t="shared" ref="H14:I14" si="37">+F14</f>
        <v>10.706399296501999</v>
      </c>
      <c r="I14" s="42">
        <f t="shared" si="37"/>
        <v>4.1710055692500001</v>
      </c>
      <c r="J14" s="42">
        <f t="shared" ref="J14" si="38">+E14*0.15</f>
        <v>2.2545976049999998</v>
      </c>
      <c r="K14" s="42"/>
      <c r="L14" s="42">
        <f t="shared" ref="L14" si="39">+E14*0.35</f>
        <v>5.2607277449999996</v>
      </c>
      <c r="M14" s="42">
        <f t="shared" ref="M14" si="40">+E14*0.35</f>
        <v>5.2607277449999996</v>
      </c>
      <c r="N14" s="42"/>
      <c r="O14" s="42">
        <f t="shared" ref="O14" si="41">+E14*0.15</f>
        <v>2.2545976049999998</v>
      </c>
      <c r="P14" s="42"/>
      <c r="Q14" s="43">
        <f t="shared" ref="Q14:Q15" si="42">+O14+M14+L14+J14</f>
        <v>15.030650699999999</v>
      </c>
      <c r="R14" s="44">
        <f t="shared" ref="R14:R15" si="43">+P14+K14+H14</f>
        <v>10.706399296501999</v>
      </c>
      <c r="S14" s="44">
        <f t="shared" ref="S14:S15" si="44">+N14+I14</f>
        <v>4.1710055692500001</v>
      </c>
      <c r="T14" s="45">
        <f t="shared" ref="T14:V15" si="45">+Q14-E14</f>
        <v>0</v>
      </c>
      <c r="U14" s="45">
        <f t="shared" si="45"/>
        <v>0</v>
      </c>
      <c r="V14" s="45">
        <f t="shared" si="45"/>
        <v>0</v>
      </c>
      <c r="W14" s="43">
        <f t="shared" ref="W14:W15" si="46">+E14/C14</f>
        <v>4.8485969999999998</v>
      </c>
      <c r="X14" s="43">
        <f t="shared" ref="X14:X15" si="47">+F14/C14</f>
        <v>3.4536771924199998</v>
      </c>
      <c r="Y14" s="43">
        <f t="shared" ref="Y14:Y15" si="48">+G14/C14</f>
        <v>1.3454856675</v>
      </c>
    </row>
    <row r="15" spans="1:25">
      <c r="A15" s="6">
        <v>7</v>
      </c>
      <c r="B15" s="24" t="s">
        <v>74</v>
      </c>
      <c r="C15" s="38">
        <v>5.3</v>
      </c>
      <c r="D15" s="7" t="s">
        <v>71</v>
      </c>
      <c r="E15" s="9">
        <v>40.897979999999997</v>
      </c>
      <c r="F15" s="9">
        <v>31.09446154079999</v>
      </c>
      <c r="G15" s="9">
        <v>20.129474531250001</v>
      </c>
      <c r="H15" s="42">
        <f t="shared" ref="H15" si="49">+F15*0.7</f>
        <v>21.766123078559993</v>
      </c>
      <c r="I15" s="42">
        <f t="shared" ref="I15" si="50">+G15*0.5</f>
        <v>10.064737265625</v>
      </c>
      <c r="J15" s="42">
        <f t="shared" ref="J15" si="51">+E15*0.25</f>
        <v>10.224494999999999</v>
      </c>
      <c r="K15" s="42">
        <f t="shared" ref="K15" si="52">+F15*0.15</f>
        <v>4.664169231119998</v>
      </c>
      <c r="L15" s="42">
        <f t="shared" ref="L15" si="53">+E15*0.25</f>
        <v>10.224494999999999</v>
      </c>
      <c r="M15" s="42">
        <f t="shared" ref="M15" si="54">+E15*0.25</f>
        <v>10.224494999999999</v>
      </c>
      <c r="N15" s="42">
        <f t="shared" ref="N15" si="55">+G15*0.5</f>
        <v>10.064737265625</v>
      </c>
      <c r="O15" s="42">
        <f t="shared" ref="O15" si="56">+E15*0.25</f>
        <v>10.224494999999999</v>
      </c>
      <c r="P15" s="42">
        <f t="shared" ref="P15" si="57">+F15*0.15</f>
        <v>4.664169231119998</v>
      </c>
      <c r="Q15" s="43">
        <f t="shared" si="42"/>
        <v>40.897979999999997</v>
      </c>
      <c r="R15" s="44">
        <f t="shared" si="43"/>
        <v>31.09446154079999</v>
      </c>
      <c r="S15" s="44">
        <f t="shared" si="44"/>
        <v>20.129474531250001</v>
      </c>
      <c r="T15" s="45">
        <f t="shared" si="45"/>
        <v>0</v>
      </c>
      <c r="U15" s="45">
        <f t="shared" si="45"/>
        <v>0</v>
      </c>
      <c r="V15" s="45">
        <f t="shared" si="45"/>
        <v>0</v>
      </c>
      <c r="W15" s="43">
        <f t="shared" si="46"/>
        <v>7.7165999999999997</v>
      </c>
      <c r="X15" s="43">
        <f t="shared" si="47"/>
        <v>5.8668795359999981</v>
      </c>
      <c r="Y15" s="43">
        <f t="shared" si="48"/>
        <v>3.7980140625000001</v>
      </c>
    </row>
    <row r="16" spans="1:25">
      <c r="C16" s="10"/>
      <c r="D16" s="10"/>
      <c r="F16" s="1"/>
      <c r="G16" s="1"/>
      <c r="I16" s="1"/>
      <c r="J16" s="1"/>
      <c r="L16" s="1"/>
    </row>
    <row r="17" spans="1:32">
      <c r="C17" s="33">
        <f>SUM(C9:C15)</f>
        <v>27.900000000000002</v>
      </c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2" s="1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2" s="10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G59" s="13"/>
      <c r="H59" s="1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G60" s="13"/>
      <c r="H60" s="1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G61" s="13"/>
      <c r="H61" s="1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G62" s="13"/>
      <c r="H62" s="1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G63" s="13"/>
      <c r="H63" s="1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O7:P7"/>
    <mergeCell ref="E7:E8"/>
    <mergeCell ref="F7:F8"/>
    <mergeCell ref="G7:G8"/>
    <mergeCell ref="E6:G6"/>
    <mergeCell ref="H6:P6"/>
    <mergeCell ref="H7:I7"/>
    <mergeCell ref="M7:N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2023-05-18T09:48:38Z</dcterms:modified>
</cp:coreProperties>
</file>