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Навбахор\Зироатчи\"/>
    </mc:Choice>
  </mc:AlternateContent>
  <xr:revisionPtr revIDLastSave="0" documentId="13_ncr:1_{FB89B13C-B9EF-4A2F-A36D-D6FF0BC425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Жадвал" sheetId="1" r:id="rId1"/>
    <sheet name="3." sheetId="2" r:id="rId2"/>
    <sheet name="4" sheetId="3" r:id="rId3"/>
  </sheets>
  <externalReferences>
    <externalReference r:id="rId4"/>
  </externalReference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Y17" i="3"/>
  <c r="X17" i="3"/>
  <c r="W17" i="3"/>
  <c r="P17" i="3"/>
  <c r="R17" i="3" s="1"/>
  <c r="U17" i="3" s="1"/>
  <c r="O17" i="3"/>
  <c r="N17" i="3"/>
  <c r="M17" i="3"/>
  <c r="L17" i="3"/>
  <c r="K17" i="3"/>
  <c r="J17" i="3"/>
  <c r="I17" i="3"/>
  <c r="H17" i="3"/>
  <c r="Y16" i="3"/>
  <c r="X16" i="3"/>
  <c r="W16" i="3"/>
  <c r="P16" i="3"/>
  <c r="O16" i="3"/>
  <c r="N16" i="3"/>
  <c r="M16" i="3"/>
  <c r="L16" i="3"/>
  <c r="K16" i="3"/>
  <c r="J16" i="3"/>
  <c r="I16" i="3"/>
  <c r="H16" i="3"/>
  <c r="Y15" i="3"/>
  <c r="X15" i="3"/>
  <c r="W15" i="3"/>
  <c r="P15" i="3"/>
  <c r="R15" i="3" s="1"/>
  <c r="U15" i="3" s="1"/>
  <c r="O15" i="3"/>
  <c r="N15" i="3"/>
  <c r="M15" i="3"/>
  <c r="L15" i="3"/>
  <c r="K15" i="3"/>
  <c r="J15" i="3"/>
  <c r="I15" i="3"/>
  <c r="H15" i="3"/>
  <c r="Y14" i="3"/>
  <c r="X14" i="3"/>
  <c r="W14" i="3"/>
  <c r="P14" i="3"/>
  <c r="O14" i="3"/>
  <c r="N14" i="3"/>
  <c r="M14" i="3"/>
  <c r="L14" i="3"/>
  <c r="K14" i="3"/>
  <c r="J14" i="3"/>
  <c r="I14" i="3"/>
  <c r="H14" i="3"/>
  <c r="Y13" i="3"/>
  <c r="X13" i="3"/>
  <c r="W13" i="3"/>
  <c r="P13" i="3"/>
  <c r="O13" i="3"/>
  <c r="N13" i="3"/>
  <c r="S13" i="3" s="1"/>
  <c r="V13" i="3" s="1"/>
  <c r="M13" i="3"/>
  <c r="L13" i="3"/>
  <c r="K13" i="3"/>
  <c r="R13" i="3" s="1"/>
  <c r="U13" i="3" s="1"/>
  <c r="J13" i="3"/>
  <c r="I13" i="3"/>
  <c r="H13" i="3"/>
  <c r="Y12" i="3"/>
  <c r="X12" i="3"/>
  <c r="W12" i="3"/>
  <c r="P12" i="3"/>
  <c r="O12" i="3"/>
  <c r="N12" i="3"/>
  <c r="S12" i="3" s="1"/>
  <c r="V12" i="3" s="1"/>
  <c r="M12" i="3"/>
  <c r="L12" i="3"/>
  <c r="K12" i="3"/>
  <c r="J12" i="3"/>
  <c r="I12" i="3"/>
  <c r="H12" i="3"/>
  <c r="Y11" i="3"/>
  <c r="X11" i="3"/>
  <c r="W11" i="3"/>
  <c r="S11" i="3"/>
  <c r="V11" i="3" s="1"/>
  <c r="R11" i="3"/>
  <c r="U11" i="3" s="1"/>
  <c r="O11" i="3"/>
  <c r="M11" i="3"/>
  <c r="L11" i="3"/>
  <c r="J11" i="3"/>
  <c r="I11" i="3"/>
  <c r="H11" i="3"/>
  <c r="Y10" i="3"/>
  <c r="X10" i="3"/>
  <c r="W10" i="3"/>
  <c r="R10" i="3"/>
  <c r="U10" i="3" s="1"/>
  <c r="O10" i="3"/>
  <c r="M10" i="3"/>
  <c r="L10" i="3"/>
  <c r="J10" i="3"/>
  <c r="Q10" i="3" s="1"/>
  <c r="T10" i="3" s="1"/>
  <c r="I10" i="3"/>
  <c r="S10" i="3" s="1"/>
  <c r="V10" i="3" s="1"/>
  <c r="H10" i="3"/>
  <c r="Y9" i="3"/>
  <c r="X9" i="3"/>
  <c r="W9" i="3"/>
  <c r="O9" i="3"/>
  <c r="M9" i="3"/>
  <c r="L9" i="3"/>
  <c r="J9" i="3"/>
  <c r="I9" i="3"/>
  <c r="S9" i="3" s="1"/>
  <c r="V9" i="3" s="1"/>
  <c r="H9" i="3"/>
  <c r="R9" i="3" s="1"/>
  <c r="U9" i="3" s="1"/>
  <c r="C19" i="3"/>
  <c r="Q11" i="3" l="1"/>
  <c r="T11" i="3" s="1"/>
  <c r="Q9" i="3"/>
  <c r="T9" i="3" s="1"/>
  <c r="Q13" i="3"/>
  <c r="T13" i="3" s="1"/>
  <c r="S14" i="3"/>
  <c r="V14" i="3" s="1"/>
  <c r="S15" i="3"/>
  <c r="V15" i="3" s="1"/>
  <c r="R12" i="3"/>
  <c r="U12" i="3" s="1"/>
  <c r="Q14" i="3"/>
  <c r="T14" i="3" s="1"/>
  <c r="Q15" i="3"/>
  <c r="T15" i="3" s="1"/>
  <c r="S16" i="3"/>
  <c r="V16" i="3" s="1"/>
  <c r="S17" i="3"/>
  <c r="V17" i="3" s="1"/>
  <c r="Q17" i="3"/>
  <c r="T17" i="3" s="1"/>
  <c r="Q12" i="3"/>
  <c r="T12" i="3" s="1"/>
  <c r="R14" i="3"/>
  <c r="U14" i="3" s="1"/>
  <c r="Q16" i="3"/>
  <c r="T16" i="3" s="1"/>
  <c r="R16" i="3"/>
  <c r="U16" i="3" s="1"/>
  <c r="I17" i="1"/>
  <c r="I16" i="1"/>
  <c r="I15" i="1"/>
  <c r="I14" i="1"/>
  <c r="I13" i="1"/>
  <c r="I12" i="1"/>
  <c r="I11" i="1"/>
  <c r="I10" i="1"/>
  <c r="I9" i="1"/>
  <c r="F17" i="1"/>
  <c r="F15" i="1"/>
  <c r="F13" i="1"/>
  <c r="F11" i="1"/>
  <c r="F9" i="1"/>
  <c r="F16" i="1"/>
  <c r="F14" i="1"/>
  <c r="F12" i="1"/>
  <c r="F10" i="1"/>
  <c r="G9" i="1"/>
  <c r="G10" i="1"/>
  <c r="G11" i="1"/>
  <c r="G12" i="1"/>
  <c r="G13" i="1"/>
  <c r="G14" i="1"/>
  <c r="G15" i="1"/>
  <c r="G16" i="1"/>
  <c r="G17" i="1"/>
  <c r="L10" i="1" l="1"/>
  <c r="L11" i="1"/>
  <c r="L12" i="1"/>
  <c r="L13" i="1"/>
  <c r="L14" i="1"/>
  <c r="L15" i="1"/>
  <c r="L16" i="1"/>
  <c r="L17" i="1"/>
  <c r="J9" i="1" l="1"/>
  <c r="J10" i="1"/>
  <c r="J11" i="1"/>
  <c r="J12" i="1"/>
  <c r="J13" i="1"/>
  <c r="J14" i="1"/>
  <c r="J15" i="1"/>
  <c r="J16" i="1"/>
  <c r="J17" i="1"/>
  <c r="K9" i="2"/>
  <c r="A1" i="2" l="1"/>
  <c r="K19" i="2"/>
  <c r="I19" i="2"/>
  <c r="C19" i="2"/>
  <c r="I9" i="2"/>
  <c r="L9" i="1"/>
  <c r="E29" i="2" s="1"/>
  <c r="G19" i="2"/>
  <c r="B9" i="2"/>
  <c r="G29" i="2" l="1"/>
  <c r="I29" i="2"/>
  <c r="C29" i="2"/>
  <c r="K29" i="2"/>
  <c r="E19" i="2"/>
  <c r="C9" i="2"/>
  <c r="E9" i="2"/>
  <c r="G9" i="2"/>
  <c r="S17" i="1" l="1"/>
  <c r="T17" i="1" s="1"/>
  <c r="W17" i="1" s="1"/>
  <c r="M17" i="1"/>
  <c r="P17" i="1" s="1"/>
  <c r="U17" i="1" l="1"/>
  <c r="X17" i="1" s="1"/>
  <c r="N17" i="1"/>
  <c r="Q17" i="1" s="1"/>
  <c r="V17" i="1"/>
  <c r="O17" i="1"/>
  <c r="R17" i="1" s="1"/>
  <c r="M16" i="1"/>
  <c r="O16" i="1" s="1"/>
  <c r="R16" i="1" s="1"/>
  <c r="S16" i="1"/>
  <c r="U16" i="1" s="1"/>
  <c r="X16" i="1" s="1"/>
  <c r="P16" i="1" l="1"/>
  <c r="N16" i="1"/>
  <c r="Q16" i="1" s="1"/>
  <c r="T16" i="1"/>
  <c r="W16" i="1" s="1"/>
  <c r="V16" i="1"/>
  <c r="E20" i="1"/>
  <c r="E21" i="1" s="1"/>
  <c r="A21" i="2" l="1"/>
  <c r="A11" i="2"/>
  <c r="M11" i="1" l="1"/>
  <c r="O11" i="1" s="1"/>
  <c r="R11" i="1" s="1"/>
  <c r="S11" i="1"/>
  <c r="U11" i="1" s="1"/>
  <c r="X11" i="1" s="1"/>
  <c r="M12" i="1"/>
  <c r="P12" i="1" s="1"/>
  <c r="S12" i="1"/>
  <c r="U12" i="1" s="1"/>
  <c r="X12" i="1" s="1"/>
  <c r="M13" i="1"/>
  <c r="O13" i="1" s="1"/>
  <c r="R13" i="1" s="1"/>
  <c r="S13" i="1"/>
  <c r="U13" i="1" s="1"/>
  <c r="X13" i="1" s="1"/>
  <c r="M14" i="1"/>
  <c r="N14" i="1" s="1"/>
  <c r="Q14" i="1" s="1"/>
  <c r="S14" i="1"/>
  <c r="U14" i="1" s="1"/>
  <c r="X14" i="1" s="1"/>
  <c r="M15" i="1"/>
  <c r="O15" i="1" s="1"/>
  <c r="R15" i="1" s="1"/>
  <c r="S15" i="1"/>
  <c r="U15" i="1" s="1"/>
  <c r="X15" i="1" s="1"/>
  <c r="N15" i="1" l="1"/>
  <c r="Q15" i="1" s="1"/>
  <c r="T13" i="1"/>
  <c r="W13" i="1" s="1"/>
  <c r="T12" i="1"/>
  <c r="W12" i="1" s="1"/>
  <c r="O12" i="1"/>
  <c r="R12" i="1" s="1"/>
  <c r="N11" i="1"/>
  <c r="Q11" i="1" s="1"/>
  <c r="N12" i="1"/>
  <c r="Q12" i="1" s="1"/>
  <c r="P14" i="1"/>
  <c r="O14" i="1"/>
  <c r="R14" i="1" s="1"/>
  <c r="T15" i="1"/>
  <c r="W15" i="1" s="1"/>
  <c r="T14" i="1"/>
  <c r="W14" i="1" s="1"/>
  <c r="N13" i="1"/>
  <c r="Q13" i="1" s="1"/>
  <c r="T11" i="1"/>
  <c r="W11" i="1" s="1"/>
  <c r="P15" i="1"/>
  <c r="P13" i="1"/>
  <c r="P11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20" i="1" l="1"/>
  <c r="K21" i="1" s="1"/>
  <c r="M29" i="2" l="1"/>
  <c r="F9" i="2" l="1"/>
  <c r="B29" i="2"/>
  <c r="B19" i="2"/>
  <c r="L19" i="2" s="1"/>
  <c r="H20" i="1"/>
  <c r="H21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<sst xmlns="http://schemas.openxmlformats.org/spreadsheetml/2006/main" count="173" uniqueCount="73">
  <si>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</si>
  <si>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</si>
  <si>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</si>
  <si>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</si>
  <si>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</si>
  <si>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</si>
  <si>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</si>
  <si>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</si>
  <si>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</si>
  <si>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</si>
  <si>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</si>
  <si>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</si>
  <si>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</si>
  <si>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</si>
  <si>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</si>
  <si>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</si>
  <si>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</si>
  <si>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</si>
  <si>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</si>
  <si>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</si>
  <si>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</si>
  <si>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</si>
  <si>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</si>
  <si>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</si>
  <si>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</si>
  <si>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</si>
  <si>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</si>
  <si>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</si>
  <si>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</si>
  <si>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</si>
  <si>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</si>
  <si>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</si>
  <si>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</si>
  <si>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</si>
  <si>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</si>
  <si>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</si>
  <si>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</si>
  <si>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</si>
  <si>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</si>
  <si>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</si>
  <si>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</si>
  <si>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</si>
  <si>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</si>
  <si>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</si>
  <si>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</si>
  <si>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</si>
  <si>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</si>
  <si>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</si>
  <si>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</si>
  <si>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</si>
  <si>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</si>
  <si>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</si>
  <si>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</si>
  <si>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</si>
  <si>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</si>
  <si>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</si>
  <si>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</si>
  <si>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</si>
  <si>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</si>
  <si>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</si>
  <si>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</si>
  <si>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</si>
  <si>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пахта</t>
  </si>
  <si>
    <t xml:space="preserve">Фарғона вилояти Тошлоқ тумани Навбахор худуди Зироатчи фермер хўжалиги томонидан суғорилиб экиладиган 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</si>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</sst>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р_._-;\-* #,##0.00_р_._-;_-* &quot;-&quot;??_р_._-;_-@_-"/>
    <numFmt numFmtId="166" formatCode="0.0000"/>
    <numFmt numFmtId="167" formatCode="0.000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/>
    <xf numFmtId="0" fontId="18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/>
    <xf numFmtId="0" fontId="25" fillId="4" borderId="0" xfId="0" applyFont="1" applyFill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167" fontId="3" fillId="0" borderId="0" xfId="0" applyNumberFormat="1" applyFont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 xr:uid="{00000000-0005-0000-0000-000001000000}"/>
    <cellStyle name="Обычный 10 2" xfId="3" xr:uid="{00000000-0005-0000-0000-000002000000}"/>
    <cellStyle name="Обычный 10 4" xfId="4" xr:uid="{00000000-0005-0000-0000-000003000000}"/>
    <cellStyle name="Обычный 2" xfId="5" xr:uid="{00000000-0005-0000-0000-000004000000}"/>
    <cellStyle name="Обычный 2 2" xfId="6" xr:uid="{00000000-0005-0000-0000-000005000000}"/>
    <cellStyle name="Обычный 2 2 2" xfId="7" xr:uid="{00000000-0005-0000-0000-000006000000}"/>
    <cellStyle name="Обычный 2 2 3" xfId="8" xr:uid="{00000000-0005-0000-0000-000007000000}"/>
    <cellStyle name="Обычный 2 4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6" xfId="12" xr:uid="{00000000-0005-0000-0000-00000B000000}"/>
    <cellStyle name="Обычный 61" xfId="13" xr:uid="{00000000-0005-0000-0000-00000C000000}"/>
    <cellStyle name="Обычный 66" xfId="14" xr:uid="{00000000-0005-0000-0000-00000D000000}"/>
    <cellStyle name="Обычный 7" xfId="15" xr:uid="{00000000-0005-0000-0000-00000E000000}"/>
    <cellStyle name="Обычный_Бахытлы" xfId="1" xr:uid="{00000000-0005-0000-0000-00000F000000}"/>
    <cellStyle name="Финансовый 2" xfId="16" xr:uid="{00000000-0005-0000-0000-000010000000}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fgColor theme="0"/>
          <bgColor rgb="FF024EBE"/>
        </patternFill>
      </fill>
    </dxf>
    <dxf>
      <fill>
        <patternFill>
          <bgColor rgb="FF00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00FF00"/>
      <color rgb="FF024EBE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1081;&#1080;&#1083;\&#1040;&#1075;&#1088;&#1086;-&#1090;&#1072;&#1093;&#1083;&#1080;&#1083;\&#1092;&#1086;&#1089;&#1092;&#1086;&#1088;,%20&#1082;&#1072;&#1083;&#1080;&#1081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3)"/>
      <sheetName val="фосфор"/>
      <sheetName val="калий"/>
    </sheetNames>
    <sheetDataSet>
      <sheetData sheetId="0" refreshError="1"/>
      <sheetData sheetId="1" refreshError="1">
        <row r="2">
          <cell r="B2">
            <v>1.25</v>
          </cell>
        </row>
        <row r="10">
          <cell r="E10">
            <v>1.1435444444444445</v>
          </cell>
        </row>
        <row r="54">
          <cell r="E54">
            <v>1.071288888888889</v>
          </cell>
        </row>
        <row r="56">
          <cell r="E56">
            <v>1.0675777777777777</v>
          </cell>
        </row>
        <row r="62">
          <cell r="B62">
            <v>1.0583</v>
          </cell>
        </row>
        <row r="64">
          <cell r="B64">
            <v>1.054588888888889</v>
          </cell>
        </row>
        <row r="67">
          <cell r="B67">
            <v>1.0490222222222223</v>
          </cell>
        </row>
        <row r="69">
          <cell r="B69">
            <v>1.0453111111111111</v>
          </cell>
        </row>
        <row r="72">
          <cell r="B72">
            <v>1.0416000000000001</v>
          </cell>
        </row>
        <row r="94">
          <cell r="B94">
            <v>1.004588888888889</v>
          </cell>
        </row>
      </sheetData>
      <sheetData sheetId="2" refreshError="1">
        <row r="2">
          <cell r="B2">
            <v>1.25</v>
          </cell>
        </row>
        <row r="4">
          <cell r="B4">
            <v>1.2437499999999999</v>
          </cell>
        </row>
        <row r="5">
          <cell r="B5">
            <v>1.2406250000000001</v>
          </cell>
        </row>
        <row r="9">
          <cell r="B9">
            <v>1.2312500000000002</v>
          </cell>
        </row>
        <row r="11">
          <cell r="B11">
            <v>1.2250000000000001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F41"/>
  <sheetViews>
    <sheetView tabSelected="1" zoomScale="85" zoomScaleNormal="85" zoomScaleSheetLayoutView="95" workbookViewId="0">
      <selection activeCell="R15" sqref="R15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11.1406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0" ht="20.25">
      <c r="A1" s="57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30" ht="2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30" ht="20.2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30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0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8" t="s">
        <v>2</v>
      </c>
      <c r="N5" s="59"/>
      <c r="O5" s="59"/>
      <c r="P5" s="59"/>
      <c r="Q5" s="59"/>
      <c r="R5" s="60"/>
      <c r="S5" s="61" t="s">
        <v>3</v>
      </c>
      <c r="T5" s="61"/>
      <c r="U5" s="61"/>
      <c r="V5" s="61"/>
      <c r="W5" s="61"/>
      <c r="X5" s="62"/>
    </row>
    <row r="6" spans="1:30" ht="50.25" customHeight="1">
      <c r="A6" s="63" t="s">
        <v>4</v>
      </c>
      <c r="B6" s="56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64" t="s">
        <v>10</v>
      </c>
      <c r="H6" s="56" t="s">
        <v>11</v>
      </c>
      <c r="I6" s="56" t="s">
        <v>9</v>
      </c>
      <c r="J6" s="56" t="s">
        <v>12</v>
      </c>
      <c r="K6" s="56" t="s">
        <v>13</v>
      </c>
      <c r="L6" s="56" t="s">
        <v>14</v>
      </c>
      <c r="M6" s="63" t="s">
        <v>15</v>
      </c>
      <c r="N6" s="63"/>
      <c r="O6" s="63"/>
      <c r="P6" s="63" t="s">
        <v>16</v>
      </c>
      <c r="Q6" s="63"/>
      <c r="R6" s="63"/>
      <c r="S6" s="63" t="s">
        <v>15</v>
      </c>
      <c r="T6" s="63"/>
      <c r="U6" s="63"/>
      <c r="V6" s="63" t="s">
        <v>16</v>
      </c>
      <c r="W6" s="63"/>
      <c r="X6" s="63"/>
    </row>
    <row r="7" spans="1:30" ht="60" customHeight="1">
      <c r="A7" s="63"/>
      <c r="B7" s="56"/>
      <c r="C7" s="56"/>
      <c r="D7" s="56"/>
      <c r="E7" s="56"/>
      <c r="F7" s="56"/>
      <c r="G7" s="64"/>
      <c r="H7" s="56"/>
      <c r="I7" s="56"/>
      <c r="J7" s="56"/>
      <c r="K7" s="56"/>
      <c r="L7" s="56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0" ht="22.5" customHeight="1">
      <c r="A8" s="63"/>
      <c r="B8" s="56"/>
      <c r="C8" s="56"/>
      <c r="D8" s="56"/>
      <c r="E8" s="56"/>
      <c r="F8" s="56"/>
      <c r="G8" s="64"/>
      <c r="H8" s="56"/>
      <c r="I8" s="56"/>
      <c r="J8" s="56"/>
      <c r="K8" s="56"/>
      <c r="L8" s="56"/>
      <c r="M8" s="5">
        <v>6</v>
      </c>
      <c r="N8" s="5"/>
      <c r="O8" s="6"/>
      <c r="P8" s="66" t="s">
        <v>20</v>
      </c>
      <c r="Q8" s="66"/>
      <c r="R8" s="66"/>
      <c r="S8" s="5">
        <v>3.77</v>
      </c>
      <c r="T8" s="5"/>
      <c r="U8" s="6"/>
      <c r="V8" s="66" t="s">
        <v>58</v>
      </c>
      <c r="W8" s="66"/>
      <c r="X8" s="66"/>
    </row>
    <row r="9" spans="1:30" s="10" customFormat="1">
      <c r="A9" s="6">
        <v>1</v>
      </c>
      <c r="B9" s="45">
        <v>4327</v>
      </c>
      <c r="C9" s="38">
        <v>5</v>
      </c>
      <c r="D9" s="7" t="s">
        <v>61</v>
      </c>
      <c r="E9" s="24">
        <v>19.71</v>
      </c>
      <c r="F9" s="39">
        <f>[1]фосфор!$B$69</f>
        <v>1.0453111111111111</v>
      </c>
      <c r="G9" s="41" t="str">
        <f t="shared" ref="G9:G17" si="0">IF(E9&lt;15.01,"жуда кам",IF(E9&lt;30,"кам",IF(E9&lt;45.01,"ўртача",IF(E9&lt;60.01, "юқори","жуда юқори"))))</f>
        <v>кам</v>
      </c>
      <c r="H9" s="6">
        <v>57</v>
      </c>
      <c r="I9" s="39">
        <f>[1]калий!$B$9</f>
        <v>1.2312500000000002</v>
      </c>
      <c r="J9" s="41" t="str">
        <f t="shared" ref="J9:J17" si="1">IF(H9&lt;100.1,"жуда кам",IF(H9&lt;200,"кам",IF(H9&lt;300,"ўртача",IF(H9&lt;400, "юқори","жуда юқори"))))</f>
        <v>жуда кам</v>
      </c>
      <c r="K9" s="40">
        <v>2.1</v>
      </c>
      <c r="L9" s="41" t="str">
        <f>IF(K9&lt;0.81,"жуда кам",IF(K9&lt;1.2,"кам",IF(K9&lt;1.61,"ўртача",IF(K9&lt;2.01, "юқори",IF(K9&gt;2.01,"жуда юқори")))))</f>
        <v>жуда юқори</v>
      </c>
      <c r="M9" s="8">
        <f>+Y9*Z9</f>
        <v>7.7165999999999997</v>
      </c>
      <c r="N9" s="9">
        <f>M9*F9*0.7</f>
        <v>5.6463734039999993</v>
      </c>
      <c r="O9" s="9">
        <f>M9*I9*0.5</f>
        <v>4.7505318750000001</v>
      </c>
      <c r="P9" s="9">
        <f>M9*C9</f>
        <v>38.582999999999998</v>
      </c>
      <c r="Q9" s="9">
        <f>N9*C9</f>
        <v>28.231867019999996</v>
      </c>
      <c r="R9" s="9">
        <f>O9*C9</f>
        <v>23.752659375</v>
      </c>
      <c r="S9" s="9">
        <f>+AA9*Z9</f>
        <v>4.8485969999999998</v>
      </c>
      <c r="T9" s="9">
        <f>S9*F9*0.7</f>
        <v>3.5478046221799997</v>
      </c>
      <c r="U9" s="9">
        <f>S9*I9*0.3</f>
        <v>1.7909505168750002</v>
      </c>
      <c r="V9" s="9">
        <f>S9*C9</f>
        <v>24.242984999999997</v>
      </c>
      <c r="W9" s="9">
        <f>T9*C9</f>
        <v>17.7390231109</v>
      </c>
      <c r="X9" s="9">
        <f>U9*C9</f>
        <v>8.9547525843750009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0" s="10" customFormat="1">
      <c r="A10" s="6">
        <v>2</v>
      </c>
      <c r="B10" s="45">
        <v>4327</v>
      </c>
      <c r="C10" s="38">
        <v>5</v>
      </c>
      <c r="D10" s="7" t="s">
        <v>61</v>
      </c>
      <c r="E10" s="38">
        <v>13.8</v>
      </c>
      <c r="F10" s="39">
        <f>[1]фосфор!$E$10</f>
        <v>1.1435444444444445</v>
      </c>
      <c r="G10" s="41" t="str">
        <f t="shared" si="0"/>
        <v>жуда кам</v>
      </c>
      <c r="H10" s="6">
        <v>59</v>
      </c>
      <c r="I10" s="39">
        <f>[1]калий!$B$11</f>
        <v>1.2250000000000001</v>
      </c>
      <c r="J10" s="41" t="str">
        <f t="shared" si="1"/>
        <v>жуда кам</v>
      </c>
      <c r="K10" s="40">
        <v>0.8</v>
      </c>
      <c r="L10" s="41" t="str">
        <f t="shared" ref="L10:L17" si="2">IF(K10&lt;0.81,"жуда кам",IF(K10&lt;1.2,"кам",IF(K10&lt;1.61,"ўртача",IF(K10&lt;2.01, "юқори",IF(K10&gt;2.01,"жуда юқори")))))</f>
        <v>жуда кам</v>
      </c>
      <c r="M10" s="8">
        <f t="shared" ref="M10:M11" si="3">+Y10*Z10</f>
        <v>7.7165999999999997</v>
      </c>
      <c r="N10" s="9">
        <f t="shared" ref="N10:N11" si="4">M10*F10*0.7</f>
        <v>6.1769925419999998</v>
      </c>
      <c r="O10" s="9">
        <f t="shared" ref="O10:O11" si="5">M10*I10*0.5</f>
        <v>4.7264175000000002</v>
      </c>
      <c r="P10" s="9">
        <f t="shared" ref="P10:P11" si="6">M10*C10</f>
        <v>38.582999999999998</v>
      </c>
      <c r="Q10" s="9">
        <f t="shared" ref="Q10:Q11" si="7">N10*C10</f>
        <v>30.88496271</v>
      </c>
      <c r="R10" s="9">
        <f t="shared" ref="R10:R11" si="8">O10*C10</f>
        <v>23.632087500000001</v>
      </c>
      <c r="S10" s="9">
        <f t="shared" ref="S10:S11" si="9">+AA10*Z10</f>
        <v>4.8485969999999998</v>
      </c>
      <c r="T10" s="9">
        <f t="shared" ref="T10:T11" si="10">S10*F10*0.7</f>
        <v>3.8812103138899996</v>
      </c>
      <c r="U10" s="9">
        <f t="shared" ref="U10:U11" si="11">S10*I10*0.3</f>
        <v>1.7818593974999999</v>
      </c>
      <c r="V10" s="9">
        <f t="shared" ref="V10:V11" si="12">S10*C10</f>
        <v>24.242984999999997</v>
      </c>
      <c r="W10" s="9">
        <f t="shared" ref="W10:W11" si="13">T10*C10</f>
        <v>19.40605156945</v>
      </c>
      <c r="X10" s="9">
        <f t="shared" ref="X10:X11" si="14">U10*C10</f>
        <v>8.9092969874999994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0" s="10" customFormat="1">
      <c r="A11" s="6">
        <v>3</v>
      </c>
      <c r="B11" s="45">
        <v>4327</v>
      </c>
      <c r="C11" s="38">
        <v>5.3</v>
      </c>
      <c r="D11" s="7" t="s">
        <v>61</v>
      </c>
      <c r="E11" s="24">
        <v>19.21</v>
      </c>
      <c r="F11" s="39">
        <f>[1]фосфор!$B$64</f>
        <v>1.054588888888889</v>
      </c>
      <c r="G11" s="41" t="str">
        <f t="shared" si="0"/>
        <v>кам</v>
      </c>
      <c r="H11" s="6">
        <v>42</v>
      </c>
      <c r="I11" s="39">
        <f>[1]калий!$B$2</f>
        <v>1.25</v>
      </c>
      <c r="J11" s="41" t="str">
        <f t="shared" si="1"/>
        <v>жуда кам</v>
      </c>
      <c r="K11" s="6">
        <v>2.1</v>
      </c>
      <c r="L11" s="41" t="str">
        <f t="shared" si="2"/>
        <v>жуда юқори</v>
      </c>
      <c r="M11" s="8">
        <f t="shared" si="3"/>
        <v>7.7165999999999997</v>
      </c>
      <c r="N11" s="9">
        <f t="shared" si="4"/>
        <v>5.6964884339999999</v>
      </c>
      <c r="O11" s="9">
        <f t="shared" si="5"/>
        <v>4.8228749999999998</v>
      </c>
      <c r="P11" s="9">
        <f t="shared" si="6"/>
        <v>40.897979999999997</v>
      </c>
      <c r="Q11" s="9">
        <f t="shared" si="7"/>
        <v>30.191388700199997</v>
      </c>
      <c r="R11" s="9">
        <f t="shared" si="8"/>
        <v>25.561237499999997</v>
      </c>
      <c r="S11" s="9">
        <f t="shared" si="9"/>
        <v>4.8485969999999998</v>
      </c>
      <c r="T11" s="9">
        <f t="shared" si="10"/>
        <v>3.57929356603</v>
      </c>
      <c r="U11" s="9">
        <f t="shared" si="11"/>
        <v>1.8182238749999997</v>
      </c>
      <c r="V11" s="9">
        <f t="shared" si="12"/>
        <v>25.697564099999997</v>
      </c>
      <c r="W11" s="9">
        <f t="shared" si="13"/>
        <v>18.970255899959</v>
      </c>
      <c r="X11" s="9">
        <f t="shared" si="14"/>
        <v>9.6365865374999977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0">
      <c r="A12" s="6">
        <v>4</v>
      </c>
      <c r="B12" s="46">
        <v>4329</v>
      </c>
      <c r="C12" s="38">
        <v>5</v>
      </c>
      <c r="D12" s="7" t="s">
        <v>62</v>
      </c>
      <c r="E12" s="24">
        <v>18.260000000000002</v>
      </c>
      <c r="F12" s="39">
        <f>[1]фосфор!$E$54</f>
        <v>1.071288888888889</v>
      </c>
      <c r="G12" s="41" t="str">
        <f t="shared" si="0"/>
        <v>кам</v>
      </c>
      <c r="H12" s="6">
        <v>36</v>
      </c>
      <c r="I12" s="39">
        <f>[1]калий!$B$2</f>
        <v>1.25</v>
      </c>
      <c r="J12" s="41" t="str">
        <f t="shared" si="1"/>
        <v>жуда кам</v>
      </c>
      <c r="K12" s="40">
        <v>1.3</v>
      </c>
      <c r="L12" s="41" t="str">
        <f t="shared" si="2"/>
        <v>ўртача</v>
      </c>
      <c r="M12" s="8">
        <f t="shared" ref="M12:M15" si="15">+Y12*Z12</f>
        <v>7.7165999999999997</v>
      </c>
      <c r="N12" s="9">
        <f t="shared" ref="N12:N15" si="16">M12*F12*0.7</f>
        <v>5.7866954880000003</v>
      </c>
      <c r="O12" s="9">
        <f t="shared" ref="O12:O15" si="17">M12*I12*0.5</f>
        <v>4.8228749999999998</v>
      </c>
      <c r="P12" s="9">
        <f t="shared" ref="P12:P15" si="18">M12*C12</f>
        <v>38.582999999999998</v>
      </c>
      <c r="Q12" s="9">
        <f t="shared" ref="Q12:Q15" si="19">N12*C12</f>
        <v>28.933477440000001</v>
      </c>
      <c r="R12" s="9">
        <f t="shared" ref="R12:R15" si="20">O12*C12</f>
        <v>24.114374999999999</v>
      </c>
      <c r="S12" s="9">
        <f t="shared" ref="S12:S15" si="21">+AA12*Z12</f>
        <v>4.8485969999999998</v>
      </c>
      <c r="T12" s="9">
        <f t="shared" ref="T12:T15" si="22">S12*F12*0.7</f>
        <v>3.6359736649600003</v>
      </c>
      <c r="U12" s="9">
        <f t="shared" ref="U12:U15" si="23">S12*I12*0.3</f>
        <v>1.8182238749999997</v>
      </c>
      <c r="V12" s="9">
        <f t="shared" ref="V12:V15" si="24">S12*C12</f>
        <v>24.242984999999997</v>
      </c>
      <c r="W12" s="9">
        <f t="shared" ref="W12:W15" si="25">T12*C12</f>
        <v>18.179868324800001</v>
      </c>
      <c r="X12" s="9">
        <f t="shared" ref="X12:X15" si="26">U12*C12</f>
        <v>9.0911193749999981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0" ht="15" customHeight="1">
      <c r="A13" s="6">
        <v>5</v>
      </c>
      <c r="B13" s="46">
        <v>4329</v>
      </c>
      <c r="C13" s="38">
        <v>5</v>
      </c>
      <c r="D13" s="7" t="s">
        <v>62</v>
      </c>
      <c r="E13" s="24">
        <v>22.37</v>
      </c>
      <c r="F13" s="39">
        <f>[1]фосфор!$B$94</f>
        <v>1.004588888888889</v>
      </c>
      <c r="G13" s="41" t="str">
        <f t="shared" si="0"/>
        <v>кам</v>
      </c>
      <c r="H13" s="6">
        <v>31</v>
      </c>
      <c r="I13" s="39">
        <f>[1]калий!$B$2</f>
        <v>1.25</v>
      </c>
      <c r="J13" s="41" t="str">
        <f t="shared" si="1"/>
        <v>жуда кам</v>
      </c>
      <c r="K13" s="40">
        <v>1</v>
      </c>
      <c r="L13" s="41" t="str">
        <f t="shared" si="2"/>
        <v>кам</v>
      </c>
      <c r="M13" s="8">
        <f t="shared" si="15"/>
        <v>7.7165999999999997</v>
      </c>
      <c r="N13" s="9">
        <f t="shared" si="16"/>
        <v>5.4264074339999997</v>
      </c>
      <c r="O13" s="9">
        <f t="shared" si="17"/>
        <v>4.8228749999999998</v>
      </c>
      <c r="P13" s="9">
        <f t="shared" si="18"/>
        <v>38.582999999999998</v>
      </c>
      <c r="Q13" s="9">
        <f t="shared" si="19"/>
        <v>27.132037169999997</v>
      </c>
      <c r="R13" s="9">
        <f t="shared" si="20"/>
        <v>24.114374999999999</v>
      </c>
      <c r="S13" s="9">
        <f t="shared" si="21"/>
        <v>4.8485969999999998</v>
      </c>
      <c r="T13" s="9">
        <f t="shared" si="22"/>
        <v>3.40959267103</v>
      </c>
      <c r="U13" s="9">
        <f t="shared" si="23"/>
        <v>1.8182238749999997</v>
      </c>
      <c r="V13" s="9">
        <f t="shared" si="24"/>
        <v>24.242984999999997</v>
      </c>
      <c r="W13" s="9">
        <f t="shared" si="25"/>
        <v>17.047963355149999</v>
      </c>
      <c r="X13" s="9">
        <f t="shared" si="26"/>
        <v>9.0911193749999981</v>
      </c>
      <c r="Y13" s="26">
        <v>6</v>
      </c>
      <c r="Z13" s="10">
        <v>1.2861</v>
      </c>
      <c r="AA13" s="10">
        <v>3.77</v>
      </c>
      <c r="AC13" s="32" t="s">
        <v>60</v>
      </c>
    </row>
    <row r="14" spans="1:30">
      <c r="A14" s="6">
        <v>6</v>
      </c>
      <c r="B14" s="46">
        <v>4329</v>
      </c>
      <c r="C14" s="38">
        <v>3.6</v>
      </c>
      <c r="D14" s="7" t="s">
        <v>62</v>
      </c>
      <c r="E14" s="24">
        <v>19.02</v>
      </c>
      <c r="F14" s="39">
        <f>[1]фосфор!$B$62</f>
        <v>1.0583</v>
      </c>
      <c r="G14" s="41" t="str">
        <f t="shared" si="0"/>
        <v>кам</v>
      </c>
      <c r="H14" s="6">
        <v>52</v>
      </c>
      <c r="I14" s="39">
        <f>[1]калий!$B$4</f>
        <v>1.2437499999999999</v>
      </c>
      <c r="J14" s="41" t="str">
        <f t="shared" si="1"/>
        <v>жуда кам</v>
      </c>
      <c r="K14" s="40">
        <v>1.3</v>
      </c>
      <c r="L14" s="41" t="str">
        <f t="shared" si="2"/>
        <v>ўртача</v>
      </c>
      <c r="M14" s="8">
        <f t="shared" si="15"/>
        <v>7.7165999999999997</v>
      </c>
      <c r="N14" s="9">
        <f t="shared" si="16"/>
        <v>5.7165344459999989</v>
      </c>
      <c r="O14" s="9">
        <f t="shared" si="17"/>
        <v>4.7987606249999999</v>
      </c>
      <c r="P14" s="9">
        <f t="shared" si="18"/>
        <v>27.77976</v>
      </c>
      <c r="Q14" s="9">
        <f t="shared" si="19"/>
        <v>20.579524005599996</v>
      </c>
      <c r="R14" s="9">
        <f t="shared" si="20"/>
        <v>17.27553825</v>
      </c>
      <c r="S14" s="9">
        <f t="shared" si="21"/>
        <v>4.8485969999999998</v>
      </c>
      <c r="T14" s="9">
        <f t="shared" si="22"/>
        <v>3.5918891435699996</v>
      </c>
      <c r="U14" s="9">
        <f t="shared" si="23"/>
        <v>1.8091327556249996</v>
      </c>
      <c r="V14" s="9">
        <f t="shared" si="24"/>
        <v>17.454949200000001</v>
      </c>
      <c r="W14" s="9">
        <f t="shared" si="25"/>
        <v>12.930800916851998</v>
      </c>
      <c r="X14" s="9">
        <f t="shared" si="26"/>
        <v>6.5128779202499985</v>
      </c>
      <c r="Y14" s="26">
        <v>6</v>
      </c>
      <c r="Z14" s="10">
        <v>1.2861</v>
      </c>
      <c r="AA14" s="10">
        <v>3.77</v>
      </c>
    </row>
    <row r="15" spans="1:30">
      <c r="A15" s="6">
        <v>7</v>
      </c>
      <c r="B15" s="46">
        <v>4332</v>
      </c>
      <c r="C15" s="38">
        <v>5</v>
      </c>
      <c r="D15" s="7" t="s">
        <v>62</v>
      </c>
      <c r="E15" s="24">
        <v>20.07</v>
      </c>
      <c r="F15" s="39">
        <f>[1]фосфор!$B$72</f>
        <v>1.0416000000000001</v>
      </c>
      <c r="G15" s="41" t="str">
        <f t="shared" si="0"/>
        <v>кам</v>
      </c>
      <c r="H15" s="6">
        <v>53</v>
      </c>
      <c r="I15" s="39">
        <f>[1]калий!$B$5</f>
        <v>1.2406250000000001</v>
      </c>
      <c r="J15" s="41" t="str">
        <f t="shared" si="1"/>
        <v>жуда кам</v>
      </c>
      <c r="K15" s="6">
        <v>0.7</v>
      </c>
      <c r="L15" s="41" t="str">
        <f t="shared" si="2"/>
        <v>жуда кам</v>
      </c>
      <c r="M15" s="8">
        <f t="shared" si="15"/>
        <v>7.7165999999999997</v>
      </c>
      <c r="N15" s="9">
        <f t="shared" si="16"/>
        <v>5.6263273920000003</v>
      </c>
      <c r="O15" s="9">
        <f t="shared" si="17"/>
        <v>4.7867034374999999</v>
      </c>
      <c r="P15" s="9">
        <f t="shared" si="18"/>
        <v>38.582999999999998</v>
      </c>
      <c r="Q15" s="9">
        <f t="shared" si="19"/>
        <v>28.131636960000002</v>
      </c>
      <c r="R15" s="9">
        <f t="shared" si="20"/>
        <v>23.933517187500001</v>
      </c>
      <c r="S15" s="9">
        <f t="shared" si="21"/>
        <v>4.8485969999999998</v>
      </c>
      <c r="T15" s="9">
        <f t="shared" si="22"/>
        <v>3.5352090446399997</v>
      </c>
      <c r="U15" s="9">
        <f t="shared" si="23"/>
        <v>1.8045871959375002</v>
      </c>
      <c r="V15" s="9">
        <f t="shared" si="24"/>
        <v>24.242984999999997</v>
      </c>
      <c r="W15" s="9">
        <f t="shared" si="25"/>
        <v>17.676045223199999</v>
      </c>
      <c r="X15" s="9">
        <f t="shared" si="26"/>
        <v>9.0229359796875013</v>
      </c>
      <c r="Y15" s="26">
        <v>6</v>
      </c>
      <c r="Z15" s="10">
        <v>1.2861</v>
      </c>
      <c r="AA15" s="10">
        <v>3.77</v>
      </c>
      <c r="AC15" s="65"/>
      <c r="AD15" s="65"/>
    </row>
    <row r="16" spans="1:30">
      <c r="A16" s="6">
        <v>8</v>
      </c>
      <c r="B16" s="46">
        <v>4332</v>
      </c>
      <c r="C16" s="38">
        <v>6.1</v>
      </c>
      <c r="D16" s="7" t="s">
        <v>62</v>
      </c>
      <c r="E16" s="24">
        <v>18.48</v>
      </c>
      <c r="F16" s="39">
        <f>[1]фосфор!$E$56</f>
        <v>1.0675777777777777</v>
      </c>
      <c r="G16" s="41" t="str">
        <f t="shared" si="0"/>
        <v>кам</v>
      </c>
      <c r="H16" s="6">
        <v>52</v>
      </c>
      <c r="I16" s="39">
        <f>[1]калий!$B$4</f>
        <v>1.2437499999999999</v>
      </c>
      <c r="J16" s="41" t="str">
        <f t="shared" si="1"/>
        <v>жуда кам</v>
      </c>
      <c r="K16" s="40">
        <v>0.7</v>
      </c>
      <c r="L16" s="41" t="str">
        <f t="shared" si="2"/>
        <v>жуда кам</v>
      </c>
      <c r="M16" s="8">
        <f t="shared" ref="M16" si="27">+Y16*Z16</f>
        <v>7.7165999999999997</v>
      </c>
      <c r="N16" s="9">
        <f t="shared" ref="N16" si="28">M16*F16*0.7</f>
        <v>5.7666494759999996</v>
      </c>
      <c r="O16" s="9">
        <f t="shared" ref="O16" si="29">M16*I16*0.5</f>
        <v>4.7987606249999999</v>
      </c>
      <c r="P16" s="9">
        <f t="shared" ref="P16" si="30">M16*C16</f>
        <v>47.071259999999995</v>
      </c>
      <c r="Q16" s="9">
        <f t="shared" ref="Q16" si="31">N16*C16</f>
        <v>35.176561803599995</v>
      </c>
      <c r="R16" s="9">
        <f t="shared" ref="R16" si="32">O16*C16</f>
        <v>29.272439812499996</v>
      </c>
      <c r="S16" s="9">
        <f t="shared" ref="S16" si="33">+AA16*Z16</f>
        <v>4.8485969999999998</v>
      </c>
      <c r="T16" s="9">
        <f t="shared" ref="T16" si="34">S16*F16*0.7</f>
        <v>3.6233780874199994</v>
      </c>
      <c r="U16" s="9">
        <f t="shared" ref="U16" si="35">S16*I16*0.3</f>
        <v>1.8091327556249996</v>
      </c>
      <c r="V16" s="9">
        <f t="shared" ref="V16" si="36">S16*C16</f>
        <v>29.576441699999997</v>
      </c>
      <c r="W16" s="9">
        <f t="shared" ref="W16" si="37">T16*C16</f>
        <v>22.102606333261996</v>
      </c>
      <c r="X16" s="9">
        <f t="shared" ref="X16" si="38">U16*C16</f>
        <v>11.035709809312497</v>
      </c>
      <c r="Y16" s="26">
        <v>6</v>
      </c>
      <c r="Z16" s="10">
        <v>1.2861</v>
      </c>
      <c r="AA16" s="10">
        <v>3.77</v>
      </c>
    </row>
    <row r="17" spans="1:32">
      <c r="A17" s="6">
        <v>9</v>
      </c>
      <c r="B17" s="46">
        <v>4334</v>
      </c>
      <c r="C17" s="38">
        <v>6.8</v>
      </c>
      <c r="D17" s="7" t="s">
        <v>62</v>
      </c>
      <c r="E17" s="24">
        <v>19.59</v>
      </c>
      <c r="F17" s="39">
        <f>[1]фосфор!$B$67</f>
        <v>1.0490222222222223</v>
      </c>
      <c r="G17" s="41" t="str">
        <f t="shared" si="0"/>
        <v>кам</v>
      </c>
      <c r="H17" s="6">
        <v>48</v>
      </c>
      <c r="I17" s="39">
        <f>[1]калий!$B$2</f>
        <v>1.25</v>
      </c>
      <c r="J17" s="41" t="str">
        <f t="shared" si="1"/>
        <v>жуда кам</v>
      </c>
      <c r="K17" s="6">
        <v>1.9</v>
      </c>
      <c r="L17" s="41" t="str">
        <f t="shared" si="2"/>
        <v>юқори</v>
      </c>
      <c r="M17" s="8">
        <f t="shared" ref="M17" si="39">+Y17*Z17</f>
        <v>7.7165999999999997</v>
      </c>
      <c r="N17" s="9">
        <f t="shared" ref="N17" si="40">M17*F17*0.7</f>
        <v>5.6664194160000001</v>
      </c>
      <c r="O17" s="9">
        <f t="shared" ref="O17" si="41">M17*I17*0.5</f>
        <v>4.8228749999999998</v>
      </c>
      <c r="P17" s="9">
        <f t="shared" ref="P17" si="42">M17*C17</f>
        <v>52.472879999999996</v>
      </c>
      <c r="Q17" s="9">
        <f t="shared" ref="Q17" si="43">N17*C17</f>
        <v>38.531652028799996</v>
      </c>
      <c r="R17" s="9">
        <f t="shared" ref="R17" si="44">O17*C17</f>
        <v>32.795549999999999</v>
      </c>
      <c r="S17" s="9">
        <f t="shared" ref="S17" si="45">+AA17*Z17</f>
        <v>4.8485969999999998</v>
      </c>
      <c r="T17" s="9">
        <f t="shared" ref="T17" si="46">S17*F17*0.7</f>
        <v>3.5604001997200001</v>
      </c>
      <c r="U17" s="9">
        <f t="shared" ref="U17" si="47">S17*I17*0.3</f>
        <v>1.8182238749999997</v>
      </c>
      <c r="V17" s="9">
        <f t="shared" ref="V17" si="48">S17*C17</f>
        <v>32.970459599999998</v>
      </c>
      <c r="W17" s="9">
        <f t="shared" ref="W17" si="49">T17*C17</f>
        <v>24.210721358095999</v>
      </c>
      <c r="X17" s="9">
        <f t="shared" ref="X17" si="50">U17*C17</f>
        <v>12.363922349999998</v>
      </c>
      <c r="Y17" s="26">
        <v>6</v>
      </c>
      <c r="Z17" s="10">
        <v>1.2861</v>
      </c>
      <c r="AA17" s="10">
        <v>3.77</v>
      </c>
    </row>
    <row r="18" spans="1:32" s="10" customFormat="1">
      <c r="A18" s="1"/>
      <c r="B18" s="1"/>
      <c r="C18" s="1"/>
      <c r="D18" s="1"/>
      <c r="E18" s="1"/>
      <c r="G18" s="13"/>
      <c r="H18" s="1"/>
      <c r="J18" s="12"/>
      <c r="K18" s="1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s="10" customFormat="1">
      <c r="A19" s="1"/>
      <c r="B19" s="1"/>
      <c r="C19" s="33">
        <f>SUM(C9:C17)</f>
        <v>46.800000000000004</v>
      </c>
      <c r="D19" s="1"/>
      <c r="E19" s="1"/>
      <c r="F19" s="12"/>
      <c r="G19" s="1"/>
      <c r="H19" s="1"/>
      <c r="J19" s="12"/>
      <c r="K19" s="1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s="10" customFormat="1">
      <c r="A20" s="1"/>
      <c r="B20" s="1"/>
      <c r="C20" s="1"/>
      <c r="D20" s="1"/>
      <c r="E20" s="33">
        <f>SUM(E9:E19)</f>
        <v>170.51</v>
      </c>
      <c r="F20" s="12"/>
      <c r="G20" s="1"/>
      <c r="H20" s="1">
        <f>SUM(H9:H19)</f>
        <v>430</v>
      </c>
      <c r="J20" s="12"/>
      <c r="K20" s="1">
        <f>SUM(K9:K19)</f>
        <v>11.899999999999999</v>
      </c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55">
        <f>+E20/9</f>
        <v>18.945555555555554</v>
      </c>
      <c r="F21" s="12"/>
      <c r="G21" s="1"/>
      <c r="H21" s="1">
        <f>+H20/9</f>
        <v>47.777777777777779</v>
      </c>
      <c r="J21" s="12"/>
      <c r="K21" s="1">
        <f>+K20/9</f>
        <v>1.322222222222222</v>
      </c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G22" s="13"/>
      <c r="H22" s="1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G23" s="13"/>
      <c r="H23" s="1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G24" s="13"/>
      <c r="H24" s="1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G25" s="13"/>
      <c r="H25" s="1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G26" s="13"/>
      <c r="H26" s="1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G27" s="13"/>
      <c r="H27" s="1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G28" s="13"/>
      <c r="H28" s="1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G29" s="13"/>
      <c r="H29" s="1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G30" s="13"/>
      <c r="H30" s="1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 ht="15.75">
      <c r="A33" s="1"/>
      <c r="B33" s="1"/>
      <c r="G33" s="4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 ht="15.75">
      <c r="A34" s="1"/>
      <c r="B34" s="1"/>
      <c r="C34" s="1"/>
      <c r="D34" s="1"/>
      <c r="E34" s="1"/>
      <c r="F34" s="12"/>
      <c r="G34" s="43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 ht="15.75">
      <c r="A35" s="1"/>
      <c r="B35" s="1"/>
      <c r="C35" s="1"/>
      <c r="D35" s="1"/>
      <c r="E35" s="1"/>
      <c r="G35" s="44"/>
      <c r="H35" s="1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 ht="15.75">
      <c r="A36" s="1"/>
      <c r="B36" s="1"/>
      <c r="C36" s="1"/>
      <c r="D36" s="1"/>
      <c r="E36" s="1"/>
      <c r="G36" s="44"/>
      <c r="H36" s="1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 ht="15.75">
      <c r="A37" s="1"/>
      <c r="B37" s="1"/>
      <c r="C37" s="1"/>
      <c r="D37" s="1"/>
      <c r="E37" s="1"/>
      <c r="G37" s="44"/>
      <c r="H37" s="1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G38" s="13"/>
      <c r="H38" s="1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G39" s="13"/>
      <c r="H39" s="1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G40" s="13"/>
      <c r="H40" s="1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G41" s="13"/>
      <c r="H41" s="1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</sheetData>
  <mergeCells count="24">
    <mergeCell ref="AC15:AD15"/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conditionalFormatting sqref="G9:G17">
    <cfRule type="cellIs" dxfId="13" priority="14" operator="between">
      <formula>0</formula>
      <formula>45</formula>
    </cfRule>
    <cfRule type="cellIs" dxfId="12" priority="15" operator="lessThan">
      <formula>15.01</formula>
    </cfRule>
    <cfRule type="cellIs" dxfId="11" priority="16" operator="lessThan">
      <formula>44941</formula>
    </cfRule>
  </conditionalFormatting>
  <conditionalFormatting sqref="G9:G17">
    <cfRule type="cellIs" dxfId="10" priority="13" operator="between">
      <formula>0</formula>
      <formula>25</formula>
    </cfRule>
  </conditionalFormatting>
  <conditionalFormatting sqref="G9:G17">
    <cfRule type="cellIs" dxfId="9" priority="7" operator="equal">
      <formula>"кам"</formula>
    </cfRule>
    <cfRule type="cellIs" dxfId="8" priority="8" operator="equal">
      <formula>"""кам"""</formula>
    </cfRule>
  </conditionalFormatting>
  <conditionalFormatting sqref="G9:L17">
    <cfRule type="cellIs" dxfId="7" priority="1" operator="equal">
      <formula>"юқори"</formula>
    </cfRule>
    <cfRule type="cellIs" dxfId="6" priority="2" operator="equal">
      <formula>"жуда юқори"</formula>
    </cfRule>
    <cfRule type="cellIs" dxfId="5" priority="3" operator="equal">
      <formula>"юқори"</formula>
    </cfRule>
    <cfRule type="cellIs" dxfId="4" priority="4" operator="equal">
      <formula>"ўртача"</formula>
    </cfRule>
    <cfRule type="cellIs" dxfId="3" priority="5" operator="equal">
      <formula>"жуда кам"</formula>
    </cfRule>
    <cfRule type="cellIs" dxfId="2" priority="6" operator="equal">
      <formula>"кам"</formula>
    </cfRule>
  </conditionalFormatting>
  <conditionalFormatting sqref="G9:G17">
    <cfRule type="cellIs" dxfId="1" priority="19" operator="between">
      <formula>$AD$9</formula>
      <formula>0</formula>
    </cfRule>
    <cfRule type="cellIs" dxfId="0" priority="20" operator="lessThan">
      <formula>#REF!</formula>
    </cfRule>
  </conditionalFormatting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activeCell="K9" sqref="K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7" t="str">
        <f>Жадвал!A1</f>
        <v xml:space="preserve">Фарғона вилояти Тошлоқ тумани Навбахор худуди Зироатчи фермер хўжалиги томонидан суғорилиб экиладиган 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14"/>
      <c r="O1" s="14"/>
      <c r="P1" s="14"/>
      <c r="Q1" s="14"/>
    </row>
    <row r="2" spans="1:17" ht="15.75" customHeight="1">
      <c r="A2" s="68" t="s">
        <v>22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15"/>
    </row>
    <row r="3" spans="1:17" ht="15.75" customHeight="1">
      <c r="A3" s="68" t="s">
        <v>23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15"/>
    </row>
    <row r="4" spans="1:17" ht="15.75" thickBot="1"/>
    <row r="5" spans="1:17" ht="19.5" thickBot="1">
      <c r="A5" s="69" t="s">
        <v>4</v>
      </c>
      <c r="B5" s="69" t="s">
        <v>24</v>
      </c>
      <c r="C5" s="72" t="s">
        <v>25</v>
      </c>
      <c r="D5" s="73"/>
      <c r="E5" s="73"/>
      <c r="F5" s="73"/>
      <c r="G5" s="73"/>
      <c r="H5" s="73"/>
      <c r="I5" s="73"/>
      <c r="J5" s="73"/>
      <c r="K5" s="73"/>
      <c r="L5" s="74"/>
      <c r="M5" s="69" t="s">
        <v>26</v>
      </c>
    </row>
    <row r="6" spans="1:17" ht="18.75" customHeight="1">
      <c r="A6" s="70"/>
      <c r="B6" s="70"/>
      <c r="C6" s="75" t="s">
        <v>27</v>
      </c>
      <c r="D6" s="76"/>
      <c r="E6" s="77" t="s">
        <v>28</v>
      </c>
      <c r="F6" s="78"/>
      <c r="G6" s="79" t="s">
        <v>29</v>
      </c>
      <c r="H6" s="80"/>
      <c r="I6" s="81" t="s">
        <v>30</v>
      </c>
      <c r="J6" s="82"/>
      <c r="K6" s="83" t="s">
        <v>31</v>
      </c>
      <c r="L6" s="84"/>
      <c r="M6" s="70"/>
    </row>
    <row r="7" spans="1:17" ht="28.5" customHeight="1" thickBot="1">
      <c r="A7" s="70"/>
      <c r="B7" s="70"/>
      <c r="C7" s="85" t="s">
        <v>32</v>
      </c>
      <c r="D7" s="86"/>
      <c r="E7" s="87" t="s">
        <v>33</v>
      </c>
      <c r="F7" s="88"/>
      <c r="G7" s="89" t="s">
        <v>34</v>
      </c>
      <c r="H7" s="90"/>
      <c r="I7" s="91" t="s">
        <v>35</v>
      </c>
      <c r="J7" s="92"/>
      <c r="K7" s="93" t="s">
        <v>36</v>
      </c>
      <c r="L7" s="94"/>
      <c r="M7" s="71"/>
    </row>
    <row r="8" spans="1:17" ht="19.5" thickBot="1">
      <c r="A8" s="71"/>
      <c r="B8" s="71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f>Жадвал!C19</f>
        <v>46.800000000000004</v>
      </c>
      <c r="C9" s="20">
        <f>SUMIF(Жадвал!G9:G17,Жадвал!AC11,Жадвал!C9:C17)</f>
        <v>5</v>
      </c>
      <c r="D9" s="21">
        <f>+C9/B9%</f>
        <v>10.683760683760683</v>
      </c>
      <c r="E9" s="20">
        <f>SUMIF(Жадвал!G9:G17,Жадвал!AC12,Жадвал!C9:C17)</f>
        <v>41.8</v>
      </c>
      <c r="F9" s="21">
        <f>E9/B9*100</f>
        <v>89.316239316239304</v>
      </c>
      <c r="G9" s="22">
        <f>SUMIF(Жадвал!G9:G17,Жадвал!AC10,Жадвал!C9:C17)</f>
        <v>0</v>
      </c>
      <c r="H9" s="21">
        <f>+G9/B9%</f>
        <v>0</v>
      </c>
      <c r="I9" s="22">
        <f>SUMIF(Жадвал!G9:G17,Жадвал!AC9,Жадвал!C9:C17)</f>
        <v>0</v>
      </c>
      <c r="J9" s="21">
        <f>+I9/B9%</f>
        <v>0</v>
      </c>
      <c r="K9" s="22">
        <f>SUMIF(Жадвал!G9:G17,Жадвал!AC13,Жадвал!C9:C17)</f>
        <v>0</v>
      </c>
      <c r="L9" s="21">
        <f>+K9/B9%</f>
        <v>0</v>
      </c>
      <c r="M9" s="21">
        <f>+Жадвал!E21</f>
        <v>18.945555555555554</v>
      </c>
      <c r="N9" s="34">
        <f>+L9+J9+H9+F9+D9</f>
        <v>99.999999999999986</v>
      </c>
    </row>
    <row r="10" spans="1:17" ht="18.75">
      <c r="M10">
        <v>86.28</v>
      </c>
      <c r="N10" s="35"/>
    </row>
    <row r="11" spans="1:17" ht="18.75">
      <c r="A11" s="67" t="str">
        <f>A1</f>
        <v xml:space="preserve">Фарғона вилояти Тошлоқ тумани Навбахор худуди Зироатчи фермер хўжалиги томонидан суғорилиб экиладиган 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35"/>
    </row>
    <row r="12" spans="1:17" ht="18.75">
      <c r="A12" s="68" t="s">
        <v>40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35"/>
    </row>
    <row r="13" spans="1:17" ht="18.75">
      <c r="A13" s="68" t="s">
        <v>23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35"/>
    </row>
    <row r="14" spans="1:17" ht="19.5" thickBot="1">
      <c r="N14" s="35"/>
    </row>
    <row r="15" spans="1:17" ht="19.5" thickBot="1">
      <c r="A15" s="69" t="s">
        <v>4</v>
      </c>
      <c r="B15" s="69" t="s">
        <v>24</v>
      </c>
      <c r="C15" s="72" t="s">
        <v>41</v>
      </c>
      <c r="D15" s="73"/>
      <c r="E15" s="73"/>
      <c r="F15" s="73"/>
      <c r="G15" s="73"/>
      <c r="H15" s="73"/>
      <c r="I15" s="73"/>
      <c r="J15" s="73"/>
      <c r="K15" s="73"/>
      <c r="L15" s="74"/>
      <c r="M15" s="69" t="s">
        <v>26</v>
      </c>
      <c r="N15" s="35"/>
    </row>
    <row r="16" spans="1:17" ht="18.75" customHeight="1">
      <c r="A16" s="70"/>
      <c r="B16" s="70"/>
      <c r="C16" s="75" t="s">
        <v>27</v>
      </c>
      <c r="D16" s="76"/>
      <c r="E16" s="77" t="s">
        <v>28</v>
      </c>
      <c r="F16" s="78"/>
      <c r="G16" s="79" t="s">
        <v>29</v>
      </c>
      <c r="H16" s="80"/>
      <c r="I16" s="81" t="s">
        <v>30</v>
      </c>
      <c r="J16" s="82"/>
      <c r="K16" s="83" t="s">
        <v>31</v>
      </c>
      <c r="L16" s="84"/>
      <c r="M16" s="70"/>
      <c r="N16" s="35"/>
    </row>
    <row r="17" spans="1:14" ht="30" customHeight="1" thickBot="1">
      <c r="A17" s="70"/>
      <c r="B17" s="70"/>
      <c r="C17" s="85" t="s">
        <v>42</v>
      </c>
      <c r="D17" s="86"/>
      <c r="E17" s="87" t="s">
        <v>43</v>
      </c>
      <c r="F17" s="88"/>
      <c r="G17" s="89" t="s">
        <v>44</v>
      </c>
      <c r="H17" s="90"/>
      <c r="I17" s="91" t="s">
        <v>45</v>
      </c>
      <c r="J17" s="92"/>
      <c r="K17" s="93" t="s">
        <v>46</v>
      </c>
      <c r="L17" s="94"/>
      <c r="M17" s="71"/>
      <c r="N17" s="35"/>
    </row>
    <row r="18" spans="1:14" ht="19.5" thickBot="1">
      <c r="A18" s="71"/>
      <c r="B18" s="71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46.800000000000004</v>
      </c>
      <c r="C19" s="20">
        <f>SUMIF(Жадвал!J9:J17,Жадвал!AC11,Жадвал!C9:C17)</f>
        <v>46.800000000000004</v>
      </c>
      <c r="D19" s="21">
        <f>+C19/B19%</f>
        <v>100</v>
      </c>
      <c r="E19" s="20">
        <f>SUMIF(Жадвал!J9:J17,Жадвал!AC12,Жадвал!C9:C17)</f>
        <v>0</v>
      </c>
      <c r="F19" s="21">
        <f>+E19/B19%</f>
        <v>0</v>
      </c>
      <c r="G19" s="22">
        <f>SUMIF(Жадвал!J9:J17,Жадвал!AC10,Жадвал!C9:C17)</f>
        <v>0</v>
      </c>
      <c r="H19" s="21">
        <f>G19/B19*100</f>
        <v>0</v>
      </c>
      <c r="I19" s="22">
        <f>SUMIF(Жадвал!J9:J17,Жадвал!AC9,Жадвал!C9:C17)</f>
        <v>0</v>
      </c>
      <c r="J19" s="21">
        <f>+I19/B19%</f>
        <v>0</v>
      </c>
      <c r="K19" s="22">
        <f>SUMIF(Жадвал!J9:J17,Жадвал!AC13,Жадвал!C9:C17)</f>
        <v>0</v>
      </c>
      <c r="L19" s="21">
        <f>+K19/B19%</f>
        <v>0</v>
      </c>
      <c r="M19" s="21">
        <f>+Жадвал!H21</f>
        <v>47.777777777777779</v>
      </c>
      <c r="N19" s="34">
        <f>+L19+J19+H19+F19+D19</f>
        <v>100</v>
      </c>
    </row>
    <row r="20" spans="1:14" ht="18.75">
      <c r="N20" s="35"/>
    </row>
    <row r="21" spans="1:14" ht="18.75">
      <c r="A21" s="67" t="str">
        <f>A1</f>
        <v xml:space="preserve">Фарғона вилояти Тошлоқ тумани Навбахор худуди Зироатчи фермер хўжалиги томонидан суғорилиб экиладиган 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35"/>
    </row>
    <row r="22" spans="1:14" ht="18.75">
      <c r="A22" s="68" t="s">
        <v>47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35"/>
    </row>
    <row r="23" spans="1:14" ht="18.75">
      <c r="A23" s="68" t="s">
        <v>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35"/>
    </row>
    <row r="24" spans="1:14" ht="19.5" thickBot="1">
      <c r="N24" s="35"/>
    </row>
    <row r="25" spans="1:14" ht="19.5" thickBot="1">
      <c r="A25" s="69" t="s">
        <v>4</v>
      </c>
      <c r="B25" s="69" t="s">
        <v>24</v>
      </c>
      <c r="C25" s="72" t="s">
        <v>48</v>
      </c>
      <c r="D25" s="73"/>
      <c r="E25" s="73"/>
      <c r="F25" s="73"/>
      <c r="G25" s="73"/>
      <c r="H25" s="73"/>
      <c r="I25" s="73"/>
      <c r="J25" s="73"/>
      <c r="K25" s="73"/>
      <c r="L25" s="74"/>
      <c r="M25" s="69" t="s">
        <v>49</v>
      </c>
      <c r="N25" s="35"/>
    </row>
    <row r="26" spans="1:14" ht="18.75" customHeight="1">
      <c r="A26" s="70"/>
      <c r="B26" s="70"/>
      <c r="C26" s="75" t="s">
        <v>27</v>
      </c>
      <c r="D26" s="76"/>
      <c r="E26" s="77" t="s">
        <v>28</v>
      </c>
      <c r="F26" s="78"/>
      <c r="G26" s="79" t="s">
        <v>29</v>
      </c>
      <c r="H26" s="80"/>
      <c r="I26" s="81" t="s">
        <v>30</v>
      </c>
      <c r="J26" s="82"/>
      <c r="K26" s="83" t="s">
        <v>31</v>
      </c>
      <c r="L26" s="84"/>
      <c r="M26" s="70"/>
      <c r="N26" s="35"/>
    </row>
    <row r="27" spans="1:14" ht="27.75" customHeight="1" thickBot="1">
      <c r="A27" s="70"/>
      <c r="B27" s="70"/>
      <c r="C27" s="85" t="s">
        <v>50</v>
      </c>
      <c r="D27" s="86"/>
      <c r="E27" s="87" t="s">
        <v>51</v>
      </c>
      <c r="F27" s="88"/>
      <c r="G27" s="89" t="s">
        <v>52</v>
      </c>
      <c r="H27" s="90"/>
      <c r="I27" s="91" t="s">
        <v>53</v>
      </c>
      <c r="J27" s="92"/>
      <c r="K27" s="93" t="s">
        <v>54</v>
      </c>
      <c r="L27" s="94"/>
      <c r="M27" s="71"/>
      <c r="N27" s="35"/>
    </row>
    <row r="28" spans="1:14" ht="19.5" thickBot="1">
      <c r="A28" s="71"/>
      <c r="B28" s="71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46.800000000000004</v>
      </c>
      <c r="C29" s="20">
        <f>SUMIF(Жадвал!L9:L17,Жадвал!AC11,Жадвал!C9:C17)</f>
        <v>16.100000000000001</v>
      </c>
      <c r="D29" s="21">
        <f>+C29/B29%</f>
        <v>34.401709401709404</v>
      </c>
      <c r="E29" s="20">
        <f>SUMIF(Жадвал!L9:L17,Жадвал!AC12,Жадвал!C9:C17)</f>
        <v>5</v>
      </c>
      <c r="F29" s="21">
        <f>+E29/B29%</f>
        <v>10.683760683760683</v>
      </c>
      <c r="G29" s="22">
        <f>SUMIF(Жадвал!L9:L17,Жадвал!AC10,Жадвал!C9:C17)</f>
        <v>8.6</v>
      </c>
      <c r="H29" s="21">
        <f>+G29/B29%</f>
        <v>18.376068376068375</v>
      </c>
      <c r="I29" s="25">
        <f>SUMIF(Жадвал!L9:L17,Жадвал!AC9,Жадвал!C9:C17)</f>
        <v>6.8</v>
      </c>
      <c r="J29" s="21">
        <f>+I29/B29%</f>
        <v>14.529914529914528</v>
      </c>
      <c r="K29" s="22">
        <f>SUMIF(Жадвал!L9:L17,Жадвал!AC13,Жадвал!C9:C17)</f>
        <v>10.3</v>
      </c>
      <c r="L29" s="21">
        <f>+K29/B29%</f>
        <v>22.008547008547009</v>
      </c>
      <c r="M29" s="23">
        <f>+Жадвал!K21</f>
        <v>1.322222222222222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41"/>
  <sheetViews>
    <sheetView zoomScale="85" zoomScaleNormal="85" zoomScaleSheetLayoutView="95" workbookViewId="0">
      <selection activeCell="L26" sqref="L26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11.1406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7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5" ht="2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5" ht="20.2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25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63" t="s">
        <v>4</v>
      </c>
      <c r="B6" s="56" t="s">
        <v>5</v>
      </c>
      <c r="C6" s="56" t="s">
        <v>6</v>
      </c>
      <c r="D6" s="56" t="s">
        <v>7</v>
      </c>
      <c r="E6" s="63" t="s">
        <v>16</v>
      </c>
      <c r="F6" s="63"/>
      <c r="G6" s="63"/>
      <c r="H6" s="63" t="s">
        <v>64</v>
      </c>
      <c r="I6" s="63"/>
      <c r="J6" s="63"/>
      <c r="K6" s="63"/>
      <c r="L6" s="63"/>
      <c r="M6" s="63"/>
      <c r="N6" s="63"/>
      <c r="O6" s="63"/>
      <c r="P6" s="63"/>
    </row>
    <row r="7" spans="1:25" ht="60" customHeight="1">
      <c r="A7" s="63"/>
      <c r="B7" s="56"/>
      <c r="C7" s="56"/>
      <c r="D7" s="56"/>
      <c r="E7" s="95" t="s">
        <v>17</v>
      </c>
      <c r="F7" s="95" t="s">
        <v>18</v>
      </c>
      <c r="G7" s="95" t="s">
        <v>19</v>
      </c>
      <c r="H7" s="97" t="s">
        <v>65</v>
      </c>
      <c r="I7" s="97"/>
      <c r="J7" s="47" t="s">
        <v>66</v>
      </c>
      <c r="K7" s="48" t="s">
        <v>67</v>
      </c>
      <c r="L7" s="47" t="s">
        <v>68</v>
      </c>
      <c r="M7" s="97" t="s">
        <v>69</v>
      </c>
      <c r="N7" s="97"/>
      <c r="O7" s="97" t="s">
        <v>70</v>
      </c>
      <c r="P7" s="97"/>
    </row>
    <row r="8" spans="1:25" ht="22.5" customHeight="1">
      <c r="A8" s="63"/>
      <c r="B8" s="56"/>
      <c r="C8" s="56"/>
      <c r="D8" s="56"/>
      <c r="E8" s="96"/>
      <c r="F8" s="96"/>
      <c r="G8" s="96"/>
      <c r="H8" s="47" t="s">
        <v>71</v>
      </c>
      <c r="I8" s="47" t="s">
        <v>72</v>
      </c>
      <c r="J8" s="47" t="s">
        <v>17</v>
      </c>
      <c r="K8" s="47" t="s">
        <v>71</v>
      </c>
      <c r="L8" s="47" t="s">
        <v>17</v>
      </c>
      <c r="M8" s="47" t="s">
        <v>17</v>
      </c>
      <c r="N8" s="47" t="s">
        <v>72</v>
      </c>
      <c r="O8" s="47" t="s">
        <v>17</v>
      </c>
      <c r="P8" s="47" t="s">
        <v>71</v>
      </c>
      <c r="Q8" s="49" t="s">
        <v>17</v>
      </c>
      <c r="R8" s="49" t="s">
        <v>71</v>
      </c>
      <c r="S8" s="49" t="s">
        <v>72</v>
      </c>
      <c r="T8" s="50"/>
      <c r="U8" s="50"/>
      <c r="V8" s="50"/>
      <c r="W8" s="49" t="s">
        <v>17</v>
      </c>
      <c r="X8" s="49" t="s">
        <v>71</v>
      </c>
      <c r="Y8" s="49" t="s">
        <v>72</v>
      </c>
    </row>
    <row r="9" spans="1:25" s="10" customFormat="1">
      <c r="A9" s="6">
        <v>1</v>
      </c>
      <c r="B9" s="45">
        <v>4327</v>
      </c>
      <c r="C9" s="38">
        <v>5</v>
      </c>
      <c r="D9" s="7" t="s">
        <v>61</v>
      </c>
      <c r="E9" s="9">
        <v>24.242984999999997</v>
      </c>
      <c r="F9" s="9">
        <v>17.7390231109</v>
      </c>
      <c r="G9" s="9">
        <v>8.9547525843750009</v>
      </c>
      <c r="H9" s="51">
        <f t="shared" ref="H9:I11" si="0">+F9</f>
        <v>17.7390231109</v>
      </c>
      <c r="I9" s="51">
        <f t="shared" si="0"/>
        <v>8.9547525843750009</v>
      </c>
      <c r="J9" s="51">
        <f t="shared" ref="J9:J11" si="1">+E9*0.15</f>
        <v>3.6364477499999994</v>
      </c>
      <c r="K9" s="51"/>
      <c r="L9" s="51">
        <f t="shared" ref="L9:L11" si="2">+E9*0.35</f>
        <v>8.4850447499999984</v>
      </c>
      <c r="M9" s="51">
        <f t="shared" ref="M9:M11" si="3">+E9*0.35</f>
        <v>8.4850447499999984</v>
      </c>
      <c r="N9" s="51"/>
      <c r="O9" s="51">
        <f t="shared" ref="O9:O11" si="4">+E9*0.15</f>
        <v>3.6364477499999994</v>
      </c>
      <c r="P9" s="51"/>
      <c r="Q9" s="52">
        <f t="shared" ref="Q9:Q17" si="5">+O9+M9+L9+J9</f>
        <v>24.242984999999994</v>
      </c>
      <c r="R9" s="53">
        <f t="shared" ref="R9:R17" si="6">+P9+K9+H9</f>
        <v>17.7390231109</v>
      </c>
      <c r="S9" s="53">
        <f t="shared" ref="S9:S17" si="7">+N9+I9</f>
        <v>8.9547525843750009</v>
      </c>
      <c r="T9" s="54">
        <f t="shared" ref="T9:V17" si="8">+Q9-E9</f>
        <v>0</v>
      </c>
      <c r="U9" s="54">
        <f t="shared" si="8"/>
        <v>0</v>
      </c>
      <c r="V9" s="54">
        <f t="shared" si="8"/>
        <v>0</v>
      </c>
      <c r="W9" s="52">
        <f t="shared" ref="W9:W17" si="9">+E9/C9</f>
        <v>4.8485969999999998</v>
      </c>
      <c r="X9" s="52">
        <f t="shared" ref="X9:X17" si="10">+F9/C9</f>
        <v>3.5478046221800001</v>
      </c>
      <c r="Y9" s="52">
        <f t="shared" ref="Y9:Y17" si="11">+G9/C9</f>
        <v>1.7909505168750002</v>
      </c>
    </row>
    <row r="10" spans="1:25" s="10" customFormat="1">
      <c r="A10" s="6">
        <v>2</v>
      </c>
      <c r="B10" s="45">
        <v>4327</v>
      </c>
      <c r="C10" s="38">
        <v>5</v>
      </c>
      <c r="D10" s="7" t="s">
        <v>61</v>
      </c>
      <c r="E10" s="9">
        <v>24.242984999999997</v>
      </c>
      <c r="F10" s="9">
        <v>19.40605156945</v>
      </c>
      <c r="G10" s="9">
        <v>8.9092969874999994</v>
      </c>
      <c r="H10" s="51">
        <f t="shared" si="0"/>
        <v>19.40605156945</v>
      </c>
      <c r="I10" s="51">
        <f t="shared" si="0"/>
        <v>8.9092969874999994</v>
      </c>
      <c r="J10" s="51">
        <f t="shared" si="1"/>
        <v>3.6364477499999994</v>
      </c>
      <c r="K10" s="51"/>
      <c r="L10" s="51">
        <f t="shared" si="2"/>
        <v>8.4850447499999984</v>
      </c>
      <c r="M10" s="51">
        <f t="shared" si="3"/>
        <v>8.4850447499999984</v>
      </c>
      <c r="N10" s="51"/>
      <c r="O10" s="51">
        <f t="shared" si="4"/>
        <v>3.6364477499999994</v>
      </c>
      <c r="P10" s="51"/>
      <c r="Q10" s="52">
        <f t="shared" si="5"/>
        <v>24.242984999999994</v>
      </c>
      <c r="R10" s="53">
        <f t="shared" si="6"/>
        <v>19.40605156945</v>
      </c>
      <c r="S10" s="53">
        <f t="shared" si="7"/>
        <v>8.9092969874999994</v>
      </c>
      <c r="T10" s="54">
        <f t="shared" si="8"/>
        <v>0</v>
      </c>
      <c r="U10" s="54">
        <f t="shared" si="8"/>
        <v>0</v>
      </c>
      <c r="V10" s="54">
        <f t="shared" si="8"/>
        <v>0</v>
      </c>
      <c r="W10" s="52">
        <f t="shared" si="9"/>
        <v>4.8485969999999998</v>
      </c>
      <c r="X10" s="52">
        <f t="shared" si="10"/>
        <v>3.88121031389</v>
      </c>
      <c r="Y10" s="52">
        <f t="shared" si="11"/>
        <v>1.7818593974999999</v>
      </c>
    </row>
    <row r="11" spans="1:25" s="10" customFormat="1">
      <c r="A11" s="6">
        <v>3</v>
      </c>
      <c r="B11" s="45">
        <v>4327</v>
      </c>
      <c r="C11" s="38">
        <v>5.3</v>
      </c>
      <c r="D11" s="7" t="s">
        <v>61</v>
      </c>
      <c r="E11" s="9">
        <v>25.697564099999997</v>
      </c>
      <c r="F11" s="9">
        <v>18.970255899959</v>
      </c>
      <c r="G11" s="9">
        <v>9.6365865374999977</v>
      </c>
      <c r="H11" s="51">
        <f t="shared" si="0"/>
        <v>18.970255899959</v>
      </c>
      <c r="I11" s="51">
        <f t="shared" si="0"/>
        <v>9.6365865374999977</v>
      </c>
      <c r="J11" s="51">
        <f t="shared" si="1"/>
        <v>3.8546346149999993</v>
      </c>
      <c r="K11" s="51"/>
      <c r="L11" s="51">
        <f t="shared" si="2"/>
        <v>8.9941474349999986</v>
      </c>
      <c r="M11" s="51">
        <f t="shared" si="3"/>
        <v>8.9941474349999986</v>
      </c>
      <c r="N11" s="51"/>
      <c r="O11" s="51">
        <f t="shared" si="4"/>
        <v>3.8546346149999993</v>
      </c>
      <c r="P11" s="51"/>
      <c r="Q11" s="52">
        <f t="shared" si="5"/>
        <v>25.697564099999994</v>
      </c>
      <c r="R11" s="53">
        <f t="shared" si="6"/>
        <v>18.970255899959</v>
      </c>
      <c r="S11" s="53">
        <f t="shared" si="7"/>
        <v>9.6365865374999977</v>
      </c>
      <c r="T11" s="54">
        <f t="shared" si="8"/>
        <v>0</v>
      </c>
      <c r="U11" s="54">
        <f t="shared" si="8"/>
        <v>0</v>
      </c>
      <c r="V11" s="54">
        <f t="shared" si="8"/>
        <v>0</v>
      </c>
      <c r="W11" s="52">
        <f t="shared" si="9"/>
        <v>4.8485969999999998</v>
      </c>
      <c r="X11" s="52">
        <f t="shared" si="10"/>
        <v>3.57929356603</v>
      </c>
      <c r="Y11" s="52">
        <f t="shared" si="11"/>
        <v>1.8182238749999997</v>
      </c>
    </row>
    <row r="12" spans="1:25">
      <c r="A12" s="6">
        <v>4</v>
      </c>
      <c r="B12" s="46">
        <v>4329</v>
      </c>
      <c r="C12" s="38">
        <v>5</v>
      </c>
      <c r="D12" s="7" t="s">
        <v>62</v>
      </c>
      <c r="E12" s="9">
        <v>38.582999999999998</v>
      </c>
      <c r="F12" s="9">
        <v>28.933477440000001</v>
      </c>
      <c r="G12" s="9">
        <v>24.114374999999999</v>
      </c>
      <c r="H12" s="51">
        <f t="shared" ref="H12:H17" si="12">+F12*0.7</f>
        <v>20.253434207999998</v>
      </c>
      <c r="I12" s="51">
        <f t="shared" ref="I12:I17" si="13">+G12*0.5</f>
        <v>12.0571875</v>
      </c>
      <c r="J12" s="51">
        <f t="shared" ref="J12:J17" si="14">+E12*0.25</f>
        <v>9.6457499999999996</v>
      </c>
      <c r="K12" s="51">
        <f t="shared" ref="K12:K17" si="15">+F12*0.15</f>
        <v>4.3400216159999996</v>
      </c>
      <c r="L12" s="51">
        <f t="shared" ref="L12:L17" si="16">+E12*0.25</f>
        <v>9.6457499999999996</v>
      </c>
      <c r="M12" s="51">
        <f t="shared" ref="M12:M17" si="17">+E12*0.25</f>
        <v>9.6457499999999996</v>
      </c>
      <c r="N12" s="51">
        <f t="shared" ref="N12:N17" si="18">+G12*0.5</f>
        <v>12.0571875</v>
      </c>
      <c r="O12" s="51">
        <f t="shared" ref="O12:O17" si="19">+E12*0.25</f>
        <v>9.6457499999999996</v>
      </c>
      <c r="P12" s="51">
        <f t="shared" ref="P12:P17" si="20">+F12*0.15</f>
        <v>4.3400216159999996</v>
      </c>
      <c r="Q12" s="52">
        <f t="shared" si="5"/>
        <v>38.582999999999998</v>
      </c>
      <c r="R12" s="53">
        <f t="shared" si="6"/>
        <v>28.933477439999997</v>
      </c>
      <c r="S12" s="53">
        <f t="shared" si="7"/>
        <v>24.114374999999999</v>
      </c>
      <c r="T12" s="54">
        <f t="shared" si="8"/>
        <v>0</v>
      </c>
      <c r="U12" s="54">
        <f t="shared" si="8"/>
        <v>0</v>
      </c>
      <c r="V12" s="54">
        <f t="shared" si="8"/>
        <v>0</v>
      </c>
      <c r="W12" s="52">
        <f t="shared" si="9"/>
        <v>7.7165999999999997</v>
      </c>
      <c r="X12" s="52">
        <f t="shared" si="10"/>
        <v>5.7866954880000003</v>
      </c>
      <c r="Y12" s="52">
        <f t="shared" si="11"/>
        <v>4.8228749999999998</v>
      </c>
    </row>
    <row r="13" spans="1:25" ht="15" customHeight="1">
      <c r="A13" s="6">
        <v>5</v>
      </c>
      <c r="B13" s="46">
        <v>4329</v>
      </c>
      <c r="C13" s="38">
        <v>5</v>
      </c>
      <c r="D13" s="7" t="s">
        <v>62</v>
      </c>
      <c r="E13" s="9">
        <v>38.582999999999998</v>
      </c>
      <c r="F13" s="9">
        <v>27.132037169999997</v>
      </c>
      <c r="G13" s="9">
        <v>24.114374999999999</v>
      </c>
      <c r="H13" s="51">
        <f t="shared" si="12"/>
        <v>18.992426018999996</v>
      </c>
      <c r="I13" s="51">
        <f t="shared" si="13"/>
        <v>12.0571875</v>
      </c>
      <c r="J13" s="51">
        <f t="shared" si="14"/>
        <v>9.6457499999999996</v>
      </c>
      <c r="K13" s="51">
        <f t="shared" si="15"/>
        <v>4.0698055754999993</v>
      </c>
      <c r="L13" s="51">
        <f t="shared" si="16"/>
        <v>9.6457499999999996</v>
      </c>
      <c r="M13" s="51">
        <f t="shared" si="17"/>
        <v>9.6457499999999996</v>
      </c>
      <c r="N13" s="51">
        <f t="shared" si="18"/>
        <v>12.0571875</v>
      </c>
      <c r="O13" s="51">
        <f t="shared" si="19"/>
        <v>9.6457499999999996</v>
      </c>
      <c r="P13" s="51">
        <f t="shared" si="20"/>
        <v>4.0698055754999993</v>
      </c>
      <c r="Q13" s="52">
        <f t="shared" si="5"/>
        <v>38.582999999999998</v>
      </c>
      <c r="R13" s="53">
        <f t="shared" si="6"/>
        <v>27.132037169999997</v>
      </c>
      <c r="S13" s="53">
        <f t="shared" si="7"/>
        <v>24.114374999999999</v>
      </c>
      <c r="T13" s="54">
        <f t="shared" si="8"/>
        <v>0</v>
      </c>
      <c r="U13" s="54">
        <f t="shared" si="8"/>
        <v>0</v>
      </c>
      <c r="V13" s="54">
        <f t="shared" si="8"/>
        <v>0</v>
      </c>
      <c r="W13" s="52">
        <f t="shared" si="9"/>
        <v>7.7165999999999997</v>
      </c>
      <c r="X13" s="52">
        <f t="shared" si="10"/>
        <v>5.4264074339999997</v>
      </c>
      <c r="Y13" s="52">
        <f t="shared" si="11"/>
        <v>4.8228749999999998</v>
      </c>
    </row>
    <row r="14" spans="1:25">
      <c r="A14" s="6">
        <v>6</v>
      </c>
      <c r="B14" s="46">
        <v>4329</v>
      </c>
      <c r="C14" s="38">
        <v>3.6</v>
      </c>
      <c r="D14" s="7" t="s">
        <v>62</v>
      </c>
      <c r="E14" s="9">
        <v>27.77976</v>
      </c>
      <c r="F14" s="9">
        <v>20.579524005599996</v>
      </c>
      <c r="G14" s="9">
        <v>17.27553825</v>
      </c>
      <c r="H14" s="51">
        <f t="shared" si="12"/>
        <v>14.405666803919996</v>
      </c>
      <c r="I14" s="51">
        <f t="shared" si="13"/>
        <v>8.6377691250000002</v>
      </c>
      <c r="J14" s="51">
        <f t="shared" si="14"/>
        <v>6.9449399999999999</v>
      </c>
      <c r="K14" s="51">
        <f t="shared" si="15"/>
        <v>3.0869286008399994</v>
      </c>
      <c r="L14" s="51">
        <f t="shared" si="16"/>
        <v>6.9449399999999999</v>
      </c>
      <c r="M14" s="51">
        <f t="shared" si="17"/>
        <v>6.9449399999999999</v>
      </c>
      <c r="N14" s="51">
        <f t="shared" si="18"/>
        <v>8.6377691250000002</v>
      </c>
      <c r="O14" s="51">
        <f t="shared" si="19"/>
        <v>6.9449399999999999</v>
      </c>
      <c r="P14" s="51">
        <f t="shared" si="20"/>
        <v>3.0869286008399994</v>
      </c>
      <c r="Q14" s="52">
        <f t="shared" si="5"/>
        <v>27.77976</v>
      </c>
      <c r="R14" s="53">
        <f t="shared" si="6"/>
        <v>20.579524005599993</v>
      </c>
      <c r="S14" s="53">
        <f t="shared" si="7"/>
        <v>17.27553825</v>
      </c>
      <c r="T14" s="54">
        <f t="shared" si="8"/>
        <v>0</v>
      </c>
      <c r="U14" s="54">
        <f t="shared" si="8"/>
        <v>0</v>
      </c>
      <c r="V14" s="54">
        <f t="shared" si="8"/>
        <v>0</v>
      </c>
      <c r="W14" s="52">
        <f t="shared" si="9"/>
        <v>7.7165999999999997</v>
      </c>
      <c r="X14" s="52">
        <f t="shared" si="10"/>
        <v>5.7165344459999989</v>
      </c>
      <c r="Y14" s="52">
        <f t="shared" si="11"/>
        <v>4.7987606249999999</v>
      </c>
    </row>
    <row r="15" spans="1:25">
      <c r="A15" s="6">
        <v>7</v>
      </c>
      <c r="B15" s="46">
        <v>4332</v>
      </c>
      <c r="C15" s="38">
        <v>5</v>
      </c>
      <c r="D15" s="7" t="s">
        <v>62</v>
      </c>
      <c r="E15" s="9">
        <v>38.582999999999998</v>
      </c>
      <c r="F15" s="9">
        <v>28.131636960000002</v>
      </c>
      <c r="G15" s="9">
        <v>23.933517187500001</v>
      </c>
      <c r="H15" s="51">
        <f t="shared" si="12"/>
        <v>19.692145872000001</v>
      </c>
      <c r="I15" s="51">
        <f t="shared" si="13"/>
        <v>11.966758593750001</v>
      </c>
      <c r="J15" s="51">
        <f t="shared" si="14"/>
        <v>9.6457499999999996</v>
      </c>
      <c r="K15" s="51">
        <f t="shared" si="15"/>
        <v>4.2197455440000002</v>
      </c>
      <c r="L15" s="51">
        <f t="shared" si="16"/>
        <v>9.6457499999999996</v>
      </c>
      <c r="M15" s="51">
        <f t="shared" si="17"/>
        <v>9.6457499999999996</v>
      </c>
      <c r="N15" s="51">
        <f t="shared" si="18"/>
        <v>11.966758593750001</v>
      </c>
      <c r="O15" s="51">
        <f t="shared" si="19"/>
        <v>9.6457499999999996</v>
      </c>
      <c r="P15" s="51">
        <f t="shared" si="20"/>
        <v>4.2197455440000002</v>
      </c>
      <c r="Q15" s="52">
        <f t="shared" si="5"/>
        <v>38.582999999999998</v>
      </c>
      <c r="R15" s="53">
        <f t="shared" si="6"/>
        <v>28.131636960000002</v>
      </c>
      <c r="S15" s="53">
        <f t="shared" si="7"/>
        <v>23.933517187500001</v>
      </c>
      <c r="T15" s="54">
        <f t="shared" si="8"/>
        <v>0</v>
      </c>
      <c r="U15" s="54">
        <f t="shared" si="8"/>
        <v>0</v>
      </c>
      <c r="V15" s="54">
        <f t="shared" si="8"/>
        <v>0</v>
      </c>
      <c r="W15" s="52">
        <f t="shared" si="9"/>
        <v>7.7165999999999997</v>
      </c>
      <c r="X15" s="52">
        <f t="shared" si="10"/>
        <v>5.6263273920000003</v>
      </c>
      <c r="Y15" s="52">
        <f t="shared" si="11"/>
        <v>4.7867034374999999</v>
      </c>
    </row>
    <row r="16" spans="1:25">
      <c r="A16" s="6">
        <v>8</v>
      </c>
      <c r="B16" s="46">
        <v>4332</v>
      </c>
      <c r="C16" s="38">
        <v>6.1</v>
      </c>
      <c r="D16" s="7" t="s">
        <v>62</v>
      </c>
      <c r="E16" s="9">
        <v>47.071259999999995</v>
      </c>
      <c r="F16" s="9">
        <v>35.176561803599995</v>
      </c>
      <c r="G16" s="9">
        <v>29.272439812499996</v>
      </c>
      <c r="H16" s="51">
        <f t="shared" si="12"/>
        <v>24.623593262519996</v>
      </c>
      <c r="I16" s="51">
        <f t="shared" si="13"/>
        <v>14.636219906249998</v>
      </c>
      <c r="J16" s="51">
        <f t="shared" si="14"/>
        <v>11.767814999999999</v>
      </c>
      <c r="K16" s="51">
        <f t="shared" si="15"/>
        <v>5.2764842705399992</v>
      </c>
      <c r="L16" s="51">
        <f t="shared" si="16"/>
        <v>11.767814999999999</v>
      </c>
      <c r="M16" s="51">
        <f t="shared" si="17"/>
        <v>11.767814999999999</v>
      </c>
      <c r="N16" s="51">
        <f t="shared" si="18"/>
        <v>14.636219906249998</v>
      </c>
      <c r="O16" s="51">
        <f t="shared" si="19"/>
        <v>11.767814999999999</v>
      </c>
      <c r="P16" s="51">
        <f t="shared" si="20"/>
        <v>5.2764842705399992</v>
      </c>
      <c r="Q16" s="52">
        <f t="shared" si="5"/>
        <v>47.071259999999995</v>
      </c>
      <c r="R16" s="53">
        <f t="shared" si="6"/>
        <v>35.176561803599995</v>
      </c>
      <c r="S16" s="53">
        <f t="shared" si="7"/>
        <v>29.272439812499996</v>
      </c>
      <c r="T16" s="54">
        <f t="shared" si="8"/>
        <v>0</v>
      </c>
      <c r="U16" s="54">
        <f t="shared" si="8"/>
        <v>0</v>
      </c>
      <c r="V16" s="54">
        <f t="shared" si="8"/>
        <v>0</v>
      </c>
      <c r="W16" s="52">
        <f t="shared" si="9"/>
        <v>7.7165999999999997</v>
      </c>
      <c r="X16" s="52">
        <f t="shared" si="10"/>
        <v>5.7666494759999996</v>
      </c>
      <c r="Y16" s="52">
        <f t="shared" si="11"/>
        <v>4.7987606249999999</v>
      </c>
    </row>
    <row r="17" spans="1:32">
      <c r="A17" s="6">
        <v>9</v>
      </c>
      <c r="B17" s="46">
        <v>4334</v>
      </c>
      <c r="C17" s="38">
        <v>6.8</v>
      </c>
      <c r="D17" s="7" t="s">
        <v>62</v>
      </c>
      <c r="E17" s="9">
        <v>52.472879999999996</v>
      </c>
      <c r="F17" s="9">
        <v>38.531652028799996</v>
      </c>
      <c r="G17" s="9">
        <v>32.795549999999999</v>
      </c>
      <c r="H17" s="51">
        <f t="shared" si="12"/>
        <v>26.972156420159997</v>
      </c>
      <c r="I17" s="51">
        <f t="shared" si="13"/>
        <v>16.397774999999999</v>
      </c>
      <c r="J17" s="51">
        <f t="shared" si="14"/>
        <v>13.118219999999999</v>
      </c>
      <c r="K17" s="51">
        <f t="shared" si="15"/>
        <v>5.7797478043199995</v>
      </c>
      <c r="L17" s="51">
        <f t="shared" si="16"/>
        <v>13.118219999999999</v>
      </c>
      <c r="M17" s="51">
        <f t="shared" si="17"/>
        <v>13.118219999999999</v>
      </c>
      <c r="N17" s="51">
        <f t="shared" si="18"/>
        <v>16.397774999999999</v>
      </c>
      <c r="O17" s="51">
        <f t="shared" si="19"/>
        <v>13.118219999999999</v>
      </c>
      <c r="P17" s="51">
        <f t="shared" si="20"/>
        <v>5.7797478043199995</v>
      </c>
      <c r="Q17" s="52">
        <f t="shared" si="5"/>
        <v>52.472879999999996</v>
      </c>
      <c r="R17" s="53">
        <f t="shared" si="6"/>
        <v>38.531652028799996</v>
      </c>
      <c r="S17" s="53">
        <f t="shared" si="7"/>
        <v>32.795549999999999</v>
      </c>
      <c r="T17" s="54">
        <f t="shared" si="8"/>
        <v>0</v>
      </c>
      <c r="U17" s="54">
        <f t="shared" si="8"/>
        <v>0</v>
      </c>
      <c r="V17" s="54">
        <f t="shared" si="8"/>
        <v>0</v>
      </c>
      <c r="W17" s="52">
        <f t="shared" si="9"/>
        <v>7.7165999999999997</v>
      </c>
      <c r="X17" s="52">
        <f t="shared" si="10"/>
        <v>5.6664194159999992</v>
      </c>
      <c r="Y17" s="52">
        <f t="shared" si="11"/>
        <v>4.8228749999999998</v>
      </c>
    </row>
    <row r="18" spans="1:32" s="10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32" s="10" customFormat="1">
      <c r="A19" s="1"/>
      <c r="B19" s="1"/>
      <c r="C19" s="33">
        <f>SUM(C9:C17)</f>
        <v>46.800000000000004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2" s="1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2" s="10" customFormat="1">
      <c r="A25" s="1"/>
      <c r="B25" s="1"/>
      <c r="C25" s="1"/>
      <c r="D25" s="1"/>
      <c r="E25" s="1"/>
      <c r="G25" s="13"/>
      <c r="H25" s="1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G26" s="13"/>
      <c r="H26" s="1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G27" s="13"/>
      <c r="H27" s="1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G28" s="13"/>
      <c r="H28" s="1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G29" s="13"/>
      <c r="H29" s="1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G30" s="13"/>
      <c r="H30" s="1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 ht="15.75">
      <c r="A33" s="1"/>
      <c r="B33" s="1"/>
      <c r="G33" s="4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 ht="15.75">
      <c r="A34" s="1"/>
      <c r="B34" s="1"/>
      <c r="C34" s="1"/>
      <c r="D34" s="1"/>
      <c r="E34" s="1"/>
      <c r="F34" s="12"/>
      <c r="G34" s="43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 ht="15.75">
      <c r="A35" s="1"/>
      <c r="B35" s="1"/>
      <c r="C35" s="1"/>
      <c r="D35" s="1"/>
      <c r="E35" s="1"/>
      <c r="G35" s="44"/>
      <c r="H35" s="1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 ht="15.75">
      <c r="A36" s="1"/>
      <c r="B36" s="1"/>
      <c r="C36" s="1"/>
      <c r="D36" s="1"/>
      <c r="E36" s="1"/>
      <c r="G36" s="44"/>
      <c r="H36" s="1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 ht="15.75">
      <c r="A37" s="1"/>
      <c r="B37" s="1"/>
      <c r="C37" s="1"/>
      <c r="D37" s="1"/>
      <c r="E37" s="1"/>
      <c r="G37" s="44"/>
      <c r="H37" s="1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G38" s="13"/>
      <c r="H38" s="1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G39" s="13"/>
      <c r="H39" s="1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G40" s="13"/>
      <c r="H40" s="1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G41" s="13"/>
      <c r="H41" s="1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G7:G8"/>
    <mergeCell ref="F7:F8"/>
    <mergeCell ref="E7:E8"/>
    <mergeCell ref="H6:P6"/>
    <mergeCell ref="H7:I7"/>
    <mergeCell ref="M7:N7"/>
    <mergeCell ref="O7:P7"/>
    <mergeCell ref="E6:G6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2023-05-18T11:15:50Z</dcterms:modified>
</cp:coreProperties>
</file>