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-MaxPCShop\Desktop\Tumanlar\Тошлоқ\Араббой Тухтабой\Манзурахон она зийнати\"/>
    </mc:Choice>
  </mc:AlternateContent>
  <xr:revisionPtr revIDLastSave="0" documentId="13_ncr:1_{220D947E-411B-44EA-8614-D090614656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Жадвал" sheetId="1" r:id="rId1"/>
    <sheet name="3." sheetId="2" r:id="rId2"/>
    <sheet name="4" sheetId="5" r:id="rId3"/>
  </sheets>
  <externalReferences>
    <externalReference r:id="rId4"/>
  </externalReferences>
  <definedNames>
    <definedName name="_xlnm._FilterDatabase" localSheetId="2" hidden="1">'4'!$A$6:$G$10</definedName>
    <definedName name="_xlnm._FilterDatabase" localSheetId="0" hidden="1">Жадвал!$A$6:$R$10</definedName>
    <definedName name="_xlnm.Print_Titles" localSheetId="2">'4'!$6:$8</definedName>
    <definedName name="_xlnm.Print_Titles" localSheetId="0">Жадвал!$6:$8</definedName>
    <definedName name="_xlnm.Print_Area" localSheetId="1">'3.'!$A$1:$M$29</definedName>
    <definedName name="_xlnm.Print_Area" localSheetId="2">'4'!$A$1:$X$10</definedName>
    <definedName name="_xlnm.Print_Area" localSheetId="0">Жадвал!$A$1:$X$10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Y19" i="5" l="1"/>
  <c r="X19" i="5"/>
  <c r="W19" i="5"/>
  <c r="P19" i="5"/>
  <c r="R19" i="5" s="1"/>
  <c r="U19" i="5" s="1"/>
  <c r="O19" i="5"/>
  <c r="N19" i="5"/>
  <c r="M19" i="5"/>
  <c r="L19" i="5"/>
  <c r="K19" i="5"/>
  <c r="J19" i="5"/>
  <c r="I19" i="5"/>
  <c r="H19" i="5"/>
  <c r="Y18" i="5"/>
  <c r="X18" i="5"/>
  <c r="W18" i="5"/>
  <c r="P18" i="5"/>
  <c r="O18" i="5"/>
  <c r="N18" i="5"/>
  <c r="M18" i="5"/>
  <c r="L18" i="5"/>
  <c r="K18" i="5"/>
  <c r="J18" i="5"/>
  <c r="I18" i="5"/>
  <c r="H18" i="5"/>
  <c r="Y17" i="5"/>
  <c r="X17" i="5"/>
  <c r="W17" i="5"/>
  <c r="P17" i="5"/>
  <c r="R17" i="5" s="1"/>
  <c r="U17" i="5" s="1"/>
  <c r="O17" i="5"/>
  <c r="N17" i="5"/>
  <c r="M17" i="5"/>
  <c r="L17" i="5"/>
  <c r="K17" i="5"/>
  <c r="J17" i="5"/>
  <c r="I17" i="5"/>
  <c r="H17" i="5"/>
  <c r="Y16" i="5"/>
  <c r="X16" i="5"/>
  <c r="W16" i="5"/>
  <c r="P16" i="5"/>
  <c r="O16" i="5"/>
  <c r="N16" i="5"/>
  <c r="M16" i="5"/>
  <c r="L16" i="5"/>
  <c r="K16" i="5"/>
  <c r="J16" i="5"/>
  <c r="I16" i="5"/>
  <c r="H16" i="5"/>
  <c r="Y15" i="5"/>
  <c r="X15" i="5"/>
  <c r="W15" i="5"/>
  <c r="P15" i="5"/>
  <c r="O15" i="5"/>
  <c r="N15" i="5"/>
  <c r="M15" i="5"/>
  <c r="L15" i="5"/>
  <c r="K15" i="5"/>
  <c r="J15" i="5"/>
  <c r="I15" i="5"/>
  <c r="H15" i="5"/>
  <c r="R15" i="5" s="1"/>
  <c r="U15" i="5" s="1"/>
  <c r="Y14" i="5"/>
  <c r="X14" i="5"/>
  <c r="W14" i="5"/>
  <c r="P14" i="5"/>
  <c r="O14" i="5"/>
  <c r="N14" i="5"/>
  <c r="M14" i="5"/>
  <c r="L14" i="5"/>
  <c r="K14" i="5"/>
  <c r="J14" i="5"/>
  <c r="I14" i="5"/>
  <c r="H14" i="5"/>
  <c r="Y13" i="5"/>
  <c r="X13" i="5"/>
  <c r="W13" i="5"/>
  <c r="P13" i="5"/>
  <c r="O13" i="5"/>
  <c r="N13" i="5"/>
  <c r="M13" i="5"/>
  <c r="L13" i="5"/>
  <c r="K13" i="5"/>
  <c r="J13" i="5"/>
  <c r="I13" i="5"/>
  <c r="H13" i="5"/>
  <c r="Y12" i="5"/>
  <c r="X12" i="5"/>
  <c r="W12" i="5"/>
  <c r="P12" i="5"/>
  <c r="O12" i="5"/>
  <c r="N12" i="5"/>
  <c r="M12" i="5"/>
  <c r="L12" i="5"/>
  <c r="K12" i="5"/>
  <c r="J12" i="5"/>
  <c r="I12" i="5"/>
  <c r="H12" i="5"/>
  <c r="Y11" i="5"/>
  <c r="X11" i="5"/>
  <c r="W11" i="5"/>
  <c r="P11" i="5"/>
  <c r="O11" i="5"/>
  <c r="N11" i="5"/>
  <c r="M11" i="5"/>
  <c r="L11" i="5"/>
  <c r="K11" i="5"/>
  <c r="J11" i="5"/>
  <c r="I11" i="5"/>
  <c r="H11" i="5"/>
  <c r="Y24" i="5"/>
  <c r="X24" i="5"/>
  <c r="W24" i="5"/>
  <c r="O24" i="5"/>
  <c r="M24" i="5"/>
  <c r="L24" i="5"/>
  <c r="J24" i="5"/>
  <c r="I24" i="5"/>
  <c r="S24" i="5" s="1"/>
  <c r="V24" i="5" s="1"/>
  <c r="H24" i="5"/>
  <c r="R24" i="5" s="1"/>
  <c r="U24" i="5" s="1"/>
  <c r="Y23" i="5"/>
  <c r="X23" i="5"/>
  <c r="W23" i="5"/>
  <c r="O23" i="5"/>
  <c r="Q23" i="5" s="1"/>
  <c r="T23" i="5" s="1"/>
  <c r="M23" i="5"/>
  <c r="L23" i="5"/>
  <c r="J23" i="5"/>
  <c r="I23" i="5"/>
  <c r="S23" i="5" s="1"/>
  <c r="V23" i="5" s="1"/>
  <c r="H23" i="5"/>
  <c r="R23" i="5" s="1"/>
  <c r="U23" i="5" s="1"/>
  <c r="Y22" i="5"/>
  <c r="X22" i="5"/>
  <c r="W22" i="5"/>
  <c r="O22" i="5"/>
  <c r="M22" i="5"/>
  <c r="L22" i="5"/>
  <c r="J22" i="5"/>
  <c r="I22" i="5"/>
  <c r="S22" i="5" s="1"/>
  <c r="V22" i="5" s="1"/>
  <c r="H22" i="5"/>
  <c r="R22" i="5" s="1"/>
  <c r="U22" i="5" s="1"/>
  <c r="Y21" i="5"/>
  <c r="X21" i="5"/>
  <c r="W21" i="5"/>
  <c r="S21" i="5"/>
  <c r="V21" i="5" s="1"/>
  <c r="O21" i="5"/>
  <c r="M21" i="5"/>
  <c r="L21" i="5"/>
  <c r="J21" i="5"/>
  <c r="I21" i="5"/>
  <c r="H21" i="5"/>
  <c r="R21" i="5" s="1"/>
  <c r="U21" i="5" s="1"/>
  <c r="Y20" i="5"/>
  <c r="X20" i="5"/>
  <c r="W20" i="5"/>
  <c r="R20" i="5"/>
  <c r="U20" i="5" s="1"/>
  <c r="O20" i="5"/>
  <c r="M20" i="5"/>
  <c r="L20" i="5"/>
  <c r="J20" i="5"/>
  <c r="I20" i="5"/>
  <c r="S20" i="5" s="1"/>
  <c r="V20" i="5" s="1"/>
  <c r="H20" i="5"/>
  <c r="Y10" i="5"/>
  <c r="X10" i="5"/>
  <c r="W10" i="5"/>
  <c r="S10" i="5"/>
  <c r="V10" i="5" s="1"/>
  <c r="R10" i="5"/>
  <c r="U10" i="5" s="1"/>
  <c r="O10" i="5"/>
  <c r="M10" i="5"/>
  <c r="L10" i="5"/>
  <c r="J10" i="5"/>
  <c r="I10" i="5"/>
  <c r="H10" i="5"/>
  <c r="Y9" i="5"/>
  <c r="X9" i="5"/>
  <c r="W9" i="5"/>
  <c r="R9" i="5"/>
  <c r="U9" i="5" s="1"/>
  <c r="O9" i="5"/>
  <c r="M9" i="5"/>
  <c r="L9" i="5"/>
  <c r="J9" i="5"/>
  <c r="Q9" i="5" s="1"/>
  <c r="T9" i="5" s="1"/>
  <c r="I9" i="5"/>
  <c r="S9" i="5" s="1"/>
  <c r="V9" i="5" s="1"/>
  <c r="H9" i="5"/>
  <c r="Q11" i="5" l="1"/>
  <c r="T11" i="5" s="1"/>
  <c r="Q13" i="5"/>
  <c r="T13" i="5" s="1"/>
  <c r="Q20" i="5"/>
  <c r="T20" i="5" s="1"/>
  <c r="S12" i="5"/>
  <c r="V12" i="5" s="1"/>
  <c r="S17" i="5"/>
  <c r="V17" i="5" s="1"/>
  <c r="Q24" i="5"/>
  <c r="T24" i="5" s="1"/>
  <c r="Q14" i="5"/>
  <c r="T14" i="5" s="1"/>
  <c r="Q16" i="5"/>
  <c r="T16" i="5" s="1"/>
  <c r="S18" i="5"/>
  <c r="V18" i="5" s="1"/>
  <c r="R11" i="5"/>
  <c r="U11" i="5" s="1"/>
  <c r="R12" i="5"/>
  <c r="U12" i="5" s="1"/>
  <c r="R13" i="5"/>
  <c r="U13" i="5" s="1"/>
  <c r="R14" i="5"/>
  <c r="U14" i="5" s="1"/>
  <c r="R16" i="5"/>
  <c r="U16" i="5" s="1"/>
  <c r="Q19" i="5"/>
  <c r="T19" i="5" s="1"/>
  <c r="S11" i="5"/>
  <c r="V11" i="5" s="1"/>
  <c r="S14" i="5"/>
  <c r="V14" i="5" s="1"/>
  <c r="S16" i="5"/>
  <c r="V16" i="5" s="1"/>
  <c r="Q17" i="5"/>
  <c r="T17" i="5" s="1"/>
  <c r="S19" i="5"/>
  <c r="V19" i="5" s="1"/>
  <c r="R18" i="5"/>
  <c r="U18" i="5" s="1"/>
  <c r="S13" i="5"/>
  <c r="V13" i="5" s="1"/>
  <c r="Q12" i="5"/>
  <c r="T12" i="5" s="1"/>
  <c r="Q22" i="5"/>
  <c r="T22" i="5" s="1"/>
  <c r="Q10" i="5"/>
  <c r="T10" i="5" s="1"/>
  <c r="S15" i="5"/>
  <c r="V15" i="5" s="1"/>
  <c r="Q18" i="5"/>
  <c r="T18" i="5" s="1"/>
  <c r="Q15" i="5"/>
  <c r="T15" i="5" s="1"/>
  <c r="Q21" i="5"/>
  <c r="T21" i="5" s="1"/>
  <c r="C26" i="5"/>
  <c r="F21" i="1"/>
  <c r="F12" i="1"/>
  <c r="F15" i="1"/>
  <c r="F14" i="1"/>
  <c r="F9" i="1"/>
  <c r="F18" i="1"/>
  <c r="F10" i="1"/>
  <c r="F24" i="1"/>
  <c r="F23" i="1"/>
  <c r="F22" i="1"/>
  <c r="F20" i="1"/>
  <c r="F19" i="1"/>
  <c r="F16" i="1"/>
  <c r="F13" i="1"/>
  <c r="F11" i="1"/>
  <c r="I20" i="1"/>
  <c r="I18" i="1"/>
  <c r="I21" i="1"/>
  <c r="I19" i="1"/>
  <c r="I17" i="1"/>
  <c r="I12" i="1"/>
  <c r="I24" i="1"/>
  <c r="I23" i="1"/>
  <c r="I22" i="1"/>
  <c r="I16" i="1"/>
  <c r="I15" i="1"/>
  <c r="I14" i="1"/>
  <c r="I13" i="1"/>
  <c r="I11" i="1"/>
  <c r="I10" i="1"/>
  <c r="I9" i="1"/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J9" i="1" l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G9" i="1"/>
  <c r="G10" i="1"/>
  <c r="K9" i="2" s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13" i="1"/>
  <c r="A1" i="2" l="1"/>
  <c r="K19" i="2"/>
  <c r="I19" i="2"/>
  <c r="C19" i="2"/>
  <c r="I9" i="2"/>
  <c r="L10" i="1"/>
  <c r="L24" i="1"/>
  <c r="L9" i="1"/>
  <c r="G19" i="2"/>
  <c r="T21" i="1"/>
  <c r="W21" i="1" s="1"/>
  <c r="B9" i="2"/>
  <c r="M19" i="1"/>
  <c r="N19" i="1" s="1"/>
  <c r="Q19" i="1" s="1"/>
  <c r="P19" i="1"/>
  <c r="S19" i="1"/>
  <c r="V19" i="1" s="1"/>
  <c r="M20" i="1"/>
  <c r="P20" i="1" s="1"/>
  <c r="S20" i="1"/>
  <c r="V20" i="1" s="1"/>
  <c r="M21" i="1"/>
  <c r="P21" i="1" s="1"/>
  <c r="S21" i="1"/>
  <c r="V21" i="1" s="1"/>
  <c r="M22" i="1"/>
  <c r="N22" i="1" s="1"/>
  <c r="Q22" i="1" s="1"/>
  <c r="P22" i="1"/>
  <c r="S22" i="1"/>
  <c r="V22" i="1" s="1"/>
  <c r="M23" i="1"/>
  <c r="N23" i="1" s="1"/>
  <c r="Q23" i="1" s="1"/>
  <c r="S23" i="1"/>
  <c r="V23" i="1" s="1"/>
  <c r="M24" i="1"/>
  <c r="N24" i="1" s="1"/>
  <c r="Q24" i="1" s="1"/>
  <c r="P24" i="1"/>
  <c r="S24" i="1"/>
  <c r="V24" i="1" s="1"/>
  <c r="T19" i="1" l="1"/>
  <c r="W19" i="1" s="1"/>
  <c r="U20" i="1"/>
  <c r="X20" i="1" s="1"/>
  <c r="P23" i="1"/>
  <c r="U19" i="1"/>
  <c r="X19" i="1" s="1"/>
  <c r="U24" i="1"/>
  <c r="X24" i="1" s="1"/>
  <c r="T22" i="1"/>
  <c r="W22" i="1" s="1"/>
  <c r="U21" i="1"/>
  <c r="X21" i="1" s="1"/>
  <c r="E29" i="2"/>
  <c r="G29" i="2"/>
  <c r="U23" i="1"/>
  <c r="X23" i="1" s="1"/>
  <c r="T24" i="1"/>
  <c r="W24" i="1" s="1"/>
  <c r="T23" i="1"/>
  <c r="W23" i="1" s="1"/>
  <c r="T20" i="1"/>
  <c r="W20" i="1" s="1"/>
  <c r="U22" i="1"/>
  <c r="X22" i="1" s="1"/>
  <c r="I29" i="2"/>
  <c r="C29" i="2"/>
  <c r="K29" i="2"/>
  <c r="E19" i="2"/>
  <c r="C9" i="2"/>
  <c r="E9" i="2"/>
  <c r="G9" i="2"/>
  <c r="N20" i="1"/>
  <c r="Q20" i="1" s="1"/>
  <c r="N21" i="1"/>
  <c r="Q21" i="1" s="1"/>
  <c r="O24" i="1"/>
  <c r="R24" i="1" s="1"/>
  <c r="O23" i="1"/>
  <c r="R23" i="1" s="1"/>
  <c r="O22" i="1"/>
  <c r="R22" i="1" s="1"/>
  <c r="O21" i="1"/>
  <c r="R21" i="1" s="1"/>
  <c r="O20" i="1"/>
  <c r="R20" i="1" s="1"/>
  <c r="O19" i="1"/>
  <c r="R19" i="1" s="1"/>
  <c r="S18" i="1" l="1"/>
  <c r="T18" i="1" s="1"/>
  <c r="W18" i="1" s="1"/>
  <c r="M18" i="1"/>
  <c r="P18" i="1" s="1"/>
  <c r="S17" i="1"/>
  <c r="T17" i="1" s="1"/>
  <c r="W17" i="1" s="1"/>
  <c r="M17" i="1"/>
  <c r="P17" i="1" s="1"/>
  <c r="U17" i="1" l="1"/>
  <c r="X17" i="1" s="1"/>
  <c r="U18" i="1"/>
  <c r="X18" i="1" s="1"/>
  <c r="N17" i="1"/>
  <c r="Q17" i="1" s="1"/>
  <c r="V17" i="1"/>
  <c r="N18" i="1"/>
  <c r="Q18" i="1" s="1"/>
  <c r="V18" i="1"/>
  <c r="O17" i="1"/>
  <c r="R17" i="1" s="1"/>
  <c r="O18" i="1"/>
  <c r="R18" i="1" s="1"/>
  <c r="M16" i="1"/>
  <c r="O16" i="1" s="1"/>
  <c r="R16" i="1" s="1"/>
  <c r="S16" i="1"/>
  <c r="U16" i="1" s="1"/>
  <c r="X16" i="1" s="1"/>
  <c r="P16" i="1" l="1"/>
  <c r="N16" i="1"/>
  <c r="Q16" i="1" s="1"/>
  <c r="T16" i="1"/>
  <c r="W16" i="1" s="1"/>
  <c r="V16" i="1"/>
  <c r="E27" i="1"/>
  <c r="E28" i="1" s="1"/>
  <c r="A21" i="2" l="1"/>
  <c r="A11" i="2"/>
  <c r="M11" i="1" l="1"/>
  <c r="O11" i="1" s="1"/>
  <c r="R11" i="1" s="1"/>
  <c r="S11" i="1"/>
  <c r="U11" i="1" s="1"/>
  <c r="X11" i="1" s="1"/>
  <c r="M12" i="1"/>
  <c r="P12" i="1" s="1"/>
  <c r="S12" i="1"/>
  <c r="U12" i="1" s="1"/>
  <c r="X12" i="1" s="1"/>
  <c r="M13" i="1"/>
  <c r="O13" i="1" s="1"/>
  <c r="R13" i="1" s="1"/>
  <c r="S13" i="1"/>
  <c r="U13" i="1" s="1"/>
  <c r="X13" i="1" s="1"/>
  <c r="M14" i="1"/>
  <c r="N14" i="1" s="1"/>
  <c r="Q14" i="1" s="1"/>
  <c r="S14" i="1"/>
  <c r="U14" i="1" s="1"/>
  <c r="X14" i="1" s="1"/>
  <c r="M15" i="1"/>
  <c r="O15" i="1" s="1"/>
  <c r="R15" i="1" s="1"/>
  <c r="N15" i="1"/>
  <c r="Q15" i="1" s="1"/>
  <c r="S15" i="1"/>
  <c r="U15" i="1" s="1"/>
  <c r="X15" i="1" s="1"/>
  <c r="T13" i="1" l="1"/>
  <c r="W13" i="1" s="1"/>
  <c r="T12" i="1"/>
  <c r="W12" i="1" s="1"/>
  <c r="O12" i="1"/>
  <c r="R12" i="1" s="1"/>
  <c r="N11" i="1"/>
  <c r="Q11" i="1" s="1"/>
  <c r="N12" i="1"/>
  <c r="Q12" i="1" s="1"/>
  <c r="P14" i="1"/>
  <c r="O14" i="1"/>
  <c r="R14" i="1" s="1"/>
  <c r="T15" i="1"/>
  <c r="W15" i="1" s="1"/>
  <c r="T14" i="1"/>
  <c r="W14" i="1" s="1"/>
  <c r="N13" i="1"/>
  <c r="Q13" i="1" s="1"/>
  <c r="T11" i="1"/>
  <c r="W11" i="1" s="1"/>
  <c r="P15" i="1"/>
  <c r="P13" i="1"/>
  <c r="P11" i="1"/>
  <c r="V15" i="1"/>
  <c r="V14" i="1"/>
  <c r="V13" i="1"/>
  <c r="V12" i="1"/>
  <c r="V11" i="1"/>
  <c r="D9" i="2" l="1"/>
  <c r="S10" i="1" l="1"/>
  <c r="T10" i="1" s="1"/>
  <c r="W10" i="1" s="1"/>
  <c r="M10" i="1"/>
  <c r="P10" i="1" s="1"/>
  <c r="S9" i="1"/>
  <c r="T9" i="1" s="1"/>
  <c r="W9" i="1" s="1"/>
  <c r="M9" i="1"/>
  <c r="P9" i="1" s="1"/>
  <c r="O10" i="1" l="1"/>
  <c r="R10" i="1" s="1"/>
  <c r="U10" i="1"/>
  <c r="X10" i="1" s="1"/>
  <c r="N10" i="1"/>
  <c r="Q10" i="1" s="1"/>
  <c r="V10" i="1"/>
  <c r="U9" i="1"/>
  <c r="X9" i="1" s="1"/>
  <c r="N9" i="1"/>
  <c r="Q9" i="1" s="1"/>
  <c r="V9" i="1"/>
  <c r="O9" i="1"/>
  <c r="R9" i="1" s="1"/>
  <c r="K27" i="1" l="1"/>
  <c r="K28" i="1" s="1"/>
  <c r="M29" i="2" l="1"/>
  <c r="F9" i="2" l="1"/>
  <c r="B29" i="2"/>
  <c r="B19" i="2"/>
  <c r="L19" i="2" s="1"/>
  <c r="H27" i="1"/>
  <c r="H28" i="1" s="1"/>
  <c r="J9" i="2"/>
  <c r="H9" i="2"/>
  <c r="L9" i="2"/>
  <c r="M9" i="2" l="1"/>
  <c r="M19" i="2"/>
  <c r="F19" i="2"/>
  <c r="L29" i="2"/>
  <c r="D29" i="2"/>
  <c r="H29" i="2"/>
  <c r="F29" i="2"/>
  <c r="J29" i="2"/>
  <c r="D19" i="2"/>
  <c r="N9" i="2"/>
  <c r="N29" i="2" l="1"/>
  <c r="J19" i="2"/>
  <c r="H19" i="2"/>
  <c r="N19" i="2" l="1"/>
</calcChain>
</file>

<file path=xl/sharedStrings.xml><?xml version="1.0" encoding="utf-8"?>
<sst xmlns="http://schemas.openxmlformats.org/spreadsheetml/2006/main" count="203" uniqueCount="80">
  <si>
    <t xml:space="preserve"> майдонлар тупроқларининг агрокимёвий таҳлил натижалари ҳамда</t>
  </si>
  <si>
    <t>минерал ўғитларга бўлган илмий талаби</t>
  </si>
  <si>
    <t>пахта экини учун</t>
  </si>
  <si>
    <t>ғалла экини учун</t>
  </si>
  <si>
    <t>№</t>
  </si>
  <si>
    <t xml:space="preserve">Контур рақами </t>
  </si>
  <si>
    <t>майдони, га</t>
  </si>
  <si>
    <t>экин тури</t>
  </si>
  <si>
    <r>
      <t>Ҳаракатчан P</t>
    </r>
    <r>
      <rPr>
        <b/>
        <vertAlign val="subscript"/>
        <sz val="11"/>
        <rFont val="Times New Roman"/>
        <family val="1"/>
        <charset val="204"/>
      </rPr>
      <t>2</t>
    </r>
    <r>
      <rPr>
        <b/>
        <sz val="11"/>
        <rFont val="Times New Roman"/>
        <family val="1"/>
        <charset val="204"/>
      </rPr>
      <t>O</t>
    </r>
    <r>
      <rPr>
        <b/>
        <vertAlign val="subscript"/>
        <sz val="11"/>
        <rFont val="Times New Roman"/>
        <family val="1"/>
        <charset val="204"/>
      </rPr>
      <t>5  (мг/кг ҳисобида)</t>
    </r>
  </si>
  <si>
    <t>коэффициент</t>
  </si>
  <si>
    <t>Таъминланганлик                       даражаси</t>
  </si>
  <si>
    <r>
      <t xml:space="preserve">Алмашинувчан K20                         </t>
    </r>
    <r>
      <rPr>
        <b/>
        <i/>
        <sz val="11"/>
        <rFont val="Times New Roman"/>
        <family val="1"/>
        <charset val="204"/>
      </rPr>
      <t>(мг/кг ҳисобида)</t>
    </r>
  </si>
  <si>
    <t>Таъминланганлик                             даражаси</t>
  </si>
  <si>
    <r>
      <t xml:space="preserve">Гумус  </t>
    </r>
    <r>
      <rPr>
        <b/>
        <i/>
        <sz val="11"/>
        <rFont val="Times New Roman"/>
        <family val="1"/>
        <charset val="204"/>
      </rPr>
      <t>% ҳисобида</t>
    </r>
  </si>
  <si>
    <t>Таъминланганлик                    даражаси</t>
  </si>
  <si>
    <t>1 центнерга ўртача сарфи, кг</t>
  </si>
  <si>
    <t>Жами майдонга 1 центнер учун талаб этилади, кг</t>
  </si>
  <si>
    <t>N</t>
  </si>
  <si>
    <t>P</t>
  </si>
  <si>
    <t>K</t>
  </si>
  <si>
    <t>пахта 1:07:05</t>
  </si>
  <si>
    <t>кам</t>
  </si>
  <si>
    <t xml:space="preserve">майдонлар тупроқларининг харакатчан фосфор билан таъминланиш </t>
  </si>
  <si>
    <t>ДАРАЖАЛАРИ</t>
  </si>
  <si>
    <t>Текширилган майдон, га</t>
  </si>
  <si>
    <t>ФОСФОР миқдори, мг/кг</t>
  </si>
  <si>
    <t>Ўртача қиймат, мг/кг</t>
  </si>
  <si>
    <t>Жуда кам</t>
  </si>
  <si>
    <t>Кам</t>
  </si>
  <si>
    <t>Ўртача</t>
  </si>
  <si>
    <t>Юқори</t>
  </si>
  <si>
    <t>Жуда юқори</t>
  </si>
  <si>
    <t>0-15</t>
  </si>
  <si>
    <t>16-30</t>
  </si>
  <si>
    <t>31-45</t>
  </si>
  <si>
    <t>46-60</t>
  </si>
  <si>
    <t>60&lt;</t>
  </si>
  <si>
    <t>га</t>
  </si>
  <si>
    <t>%</t>
  </si>
  <si>
    <t>Жами</t>
  </si>
  <si>
    <t xml:space="preserve">майдонлар тупроқларининг алмашувчан калий билан таъминланиш </t>
  </si>
  <si>
    <t>КАЛИЙ миқдори, мг/кг</t>
  </si>
  <si>
    <t>0-100</t>
  </si>
  <si>
    <t>101-200</t>
  </si>
  <si>
    <t>201-300</t>
  </si>
  <si>
    <t>301-400</t>
  </si>
  <si>
    <t>400&lt;</t>
  </si>
  <si>
    <t xml:space="preserve">майдонлар тупроқларининг гумус билан таъминланиш </t>
  </si>
  <si>
    <t>ГУМУС миқдори, фоиз ҳисобида</t>
  </si>
  <si>
    <t>Ўртача қиймат, (%)</t>
  </si>
  <si>
    <t>0-0,80</t>
  </si>
  <si>
    <t>0,81-1,20</t>
  </si>
  <si>
    <t>1,21-1,60</t>
  </si>
  <si>
    <t>1,61-2,00</t>
  </si>
  <si>
    <t>&gt;2,00</t>
  </si>
  <si>
    <t>жуда кам</t>
  </si>
  <si>
    <t>юқори</t>
  </si>
  <si>
    <t>ўртача</t>
  </si>
  <si>
    <t>ғалла 1:07:03</t>
  </si>
  <si>
    <t>вилоят коэфф.</t>
  </si>
  <si>
    <t>жуда юқори</t>
  </si>
  <si>
    <t>ғалла</t>
  </si>
  <si>
    <t>пахта</t>
  </si>
  <si>
    <t>пахта-ғалла</t>
  </si>
  <si>
    <t>Ўғитлаш муддатлари</t>
  </si>
  <si>
    <t>Кузги шудгор остига</t>
  </si>
  <si>
    <t>Экишдан олдин</t>
  </si>
  <si>
    <t>Экиш билан бирга</t>
  </si>
  <si>
    <t>1-озиқлан-тириш</t>
  </si>
  <si>
    <t>2-озиқлантириш</t>
  </si>
  <si>
    <t>3-озиқлантириш</t>
  </si>
  <si>
    <t>Р</t>
  </si>
  <si>
    <t>К</t>
  </si>
  <si>
    <t xml:space="preserve">Фарғона вилояти Тошлоқ тумани Араббой Тухтабой худуди Манзурахон она зийнати фермер хўжалиги томонидан суғорилиб экиладиган </t>
  </si>
  <si>
    <t>1743-1744</t>
  </si>
  <si>
    <t>1746-1748</t>
  </si>
  <si>
    <t>1473-1476-1481</t>
  </si>
  <si>
    <t>1751-1754</t>
  </si>
  <si>
    <t>1757-1758</t>
  </si>
  <si>
    <t>1763-2532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</si>
</sst>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_-* #,##0.00_р_._-;\-* #,##0.00_р_._-;_-* &quot;-&quot;??_р_._-;_-@_-"/>
    <numFmt numFmtId="166" formatCode="0.0000"/>
    <numFmt numFmtId="167" formatCode="0.000"/>
  </numFmts>
  <fonts count="2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6"/>
      <color rgb="FF0070C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vertAlign val="subscript"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10"/>
      <name val="Bodo Times UZ"/>
      <family val="2"/>
    </font>
    <font>
      <b/>
      <sz val="13"/>
      <color rgb="FF0070C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0"/>
      <name val="Times New Roman"/>
      <family val="1"/>
      <charset val="204"/>
    </font>
    <font>
      <sz val="11"/>
      <color theme="0"/>
      <name val="Times New Roman"/>
      <family val="1"/>
      <charset val="204"/>
    </font>
    <font>
      <sz val="14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24EBE"/>
        <bgColor indexed="64"/>
      </patternFill>
    </fill>
    <fill>
      <patternFill patternType="solid">
        <fgColor rgb="FF00FF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10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4" fillId="0" borderId="0"/>
    <xf numFmtId="0" fontId="1" fillId="0" borderId="0"/>
    <xf numFmtId="0" fontId="15" fillId="0" borderId="0"/>
    <xf numFmtId="0" fontId="1" fillId="0" borderId="0"/>
    <xf numFmtId="0" fontId="14" fillId="0" borderId="0"/>
    <xf numFmtId="165" fontId="14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2" fontId="9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2" fontId="3" fillId="4" borderId="4" xfId="0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12" fillId="0" borderId="0" xfId="0" applyFont="1"/>
    <xf numFmtId="0" fontId="12" fillId="4" borderId="0" xfId="0" applyFont="1" applyFill="1"/>
    <xf numFmtId="0" fontId="2" fillId="0" borderId="0" xfId="0" applyFont="1"/>
    <xf numFmtId="0" fontId="18" fillId="0" borderId="0" xfId="0" applyFont="1"/>
    <xf numFmtId="0" fontId="19" fillId="0" borderId="1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2" fontId="20" fillId="0" borderId="13" xfId="0" applyNumberFormat="1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164" fontId="20" fillId="0" borderId="13" xfId="0" applyNumberFormat="1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164" fontId="21" fillId="0" borderId="13" xfId="0" applyNumberFormat="1" applyFont="1" applyBorder="1" applyAlignment="1">
      <alignment horizontal="center" vertical="center" wrapText="1"/>
    </xf>
    <xf numFmtId="0" fontId="11" fillId="4" borderId="4" xfId="1" applyFont="1" applyFill="1" applyBorder="1" applyAlignment="1">
      <alignment horizontal="center" vertical="center"/>
    </xf>
    <xf numFmtId="164" fontId="20" fillId="0" borderId="15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2" fontId="3" fillId="0" borderId="0" xfId="0" applyNumberFormat="1" applyFont="1"/>
    <xf numFmtId="2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2" fontId="11" fillId="4" borderId="4" xfId="1" applyNumberFormat="1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25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/>
    <xf numFmtId="164" fontId="3" fillId="4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2" fontId="3" fillId="3" borderId="4" xfId="0" applyNumberFormat="1" applyFont="1" applyFill="1" applyBorder="1"/>
    <xf numFmtId="0" fontId="26" fillId="0" borderId="0" xfId="0" applyFont="1" applyAlignment="1">
      <alignment vertical="center"/>
    </xf>
    <xf numFmtId="0" fontId="26" fillId="0" borderId="0" xfId="0" applyFont="1"/>
    <xf numFmtId="0" fontId="26" fillId="4" borderId="0" xfId="0" applyFont="1" applyFill="1"/>
    <xf numFmtId="0" fontId="25" fillId="0" borderId="4" xfId="0" applyFont="1" applyBorder="1" applyAlignment="1">
      <alignment horizontal="center" vertical="center" wrapText="1"/>
    </xf>
    <xf numFmtId="167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center" textRotation="90" wrapText="1"/>
    </xf>
    <xf numFmtId="0" fontId="19" fillId="0" borderId="5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19" fillId="3" borderId="10" xfId="0" applyFont="1" applyFill="1" applyBorder="1" applyAlignment="1">
      <alignment horizontal="center" vertical="center" wrapText="1"/>
    </xf>
    <xf numFmtId="0" fontId="19" fillId="3" borderId="11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19" fillId="5" borderId="11" xfId="0" applyFont="1" applyFill="1" applyBorder="1" applyAlignment="1">
      <alignment horizontal="center" vertical="center" wrapText="1"/>
    </xf>
    <xf numFmtId="0" fontId="18" fillId="6" borderId="10" xfId="0" applyFont="1" applyFill="1" applyBorder="1" applyAlignment="1">
      <alignment horizontal="center" vertical="center" wrapText="1"/>
    </xf>
    <xf numFmtId="0" fontId="18" fillId="6" borderId="11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11" xfId="0" applyFont="1" applyFill="1" applyBorder="1" applyAlignment="1">
      <alignment horizontal="center" vertical="center" wrapText="1"/>
    </xf>
    <xf numFmtId="0" fontId="19" fillId="8" borderId="10" xfId="0" applyFont="1" applyFill="1" applyBorder="1" applyAlignment="1">
      <alignment horizontal="center" vertical="center" wrapText="1"/>
    </xf>
    <xf numFmtId="0" fontId="19" fillId="8" borderId="11" xfId="0" applyFont="1" applyFill="1" applyBorder="1" applyAlignment="1">
      <alignment horizontal="center" vertical="center" wrapText="1"/>
    </xf>
    <xf numFmtId="0" fontId="19" fillId="3" borderId="12" xfId="0" applyFont="1" applyFill="1" applyBorder="1" applyAlignment="1">
      <alignment horizontal="center" vertical="center" wrapText="1"/>
    </xf>
    <xf numFmtId="0" fontId="19" fillId="3" borderId="13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19" fillId="5" borderId="13" xfId="0" applyFont="1" applyFill="1" applyBorder="1" applyAlignment="1">
      <alignment horizontal="center" vertical="center" wrapText="1"/>
    </xf>
    <xf numFmtId="0" fontId="18" fillId="6" borderId="12" xfId="0" applyFont="1" applyFill="1" applyBorder="1" applyAlignment="1">
      <alignment horizontal="center" vertical="center" wrapText="1"/>
    </xf>
    <xf numFmtId="0" fontId="18" fillId="6" borderId="13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13" xfId="0" applyFont="1" applyFill="1" applyBorder="1" applyAlignment="1">
      <alignment horizontal="center" vertical="center" wrapText="1"/>
    </xf>
    <xf numFmtId="0" fontId="19" fillId="8" borderId="12" xfId="0" applyFont="1" applyFill="1" applyBorder="1" applyAlignment="1">
      <alignment horizontal="center" vertical="center" wrapText="1"/>
    </xf>
    <xf numFmtId="0" fontId="19" fillId="8" borderId="13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</cellXfs>
  <cellStyles count="17">
    <cellStyle name="Обычный" xfId="0" builtinId="0"/>
    <cellStyle name="Обычный 10" xfId="2" xr:uid="{00000000-0005-0000-0000-000001000000}"/>
    <cellStyle name="Обычный 10 2" xfId="3" xr:uid="{00000000-0005-0000-0000-000002000000}"/>
    <cellStyle name="Обычный 10 4" xfId="4" xr:uid="{00000000-0005-0000-0000-000003000000}"/>
    <cellStyle name="Обычный 2" xfId="5" xr:uid="{00000000-0005-0000-0000-000004000000}"/>
    <cellStyle name="Обычный 2 2" xfId="6" xr:uid="{00000000-0005-0000-0000-000005000000}"/>
    <cellStyle name="Обычный 2 2 2" xfId="7" xr:uid="{00000000-0005-0000-0000-000006000000}"/>
    <cellStyle name="Обычный 2 2 3" xfId="8" xr:uid="{00000000-0005-0000-0000-000007000000}"/>
    <cellStyle name="Обычный 2 4 2" xfId="9" xr:uid="{00000000-0005-0000-0000-000008000000}"/>
    <cellStyle name="Обычный 3" xfId="10" xr:uid="{00000000-0005-0000-0000-000009000000}"/>
    <cellStyle name="Обычный 4" xfId="11" xr:uid="{00000000-0005-0000-0000-00000A000000}"/>
    <cellStyle name="Обычный 6" xfId="12" xr:uid="{00000000-0005-0000-0000-00000B000000}"/>
    <cellStyle name="Обычный 61" xfId="13" xr:uid="{00000000-0005-0000-0000-00000C000000}"/>
    <cellStyle name="Обычный 66" xfId="14" xr:uid="{00000000-0005-0000-0000-00000D000000}"/>
    <cellStyle name="Обычный 7" xfId="15" xr:uid="{00000000-0005-0000-0000-00000E000000}"/>
    <cellStyle name="Обычный_Бахытлы" xfId="1" xr:uid="{00000000-0005-0000-0000-00000F000000}"/>
    <cellStyle name="Финансовый 2" xfId="16" xr:uid="{00000000-0005-0000-0000-000010000000}"/>
  </cellStyles>
  <dxfs count="18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FF"/>
        </patternFill>
      </fill>
    </dxf>
    <dxf>
      <fill>
        <patternFill>
          <fgColor theme="0"/>
          <bgColor rgb="FF024EBE"/>
        </patternFill>
      </fill>
    </dxf>
    <dxf>
      <fill>
        <patternFill>
          <bgColor rgb="FF00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FF00"/>
      <color rgb="FF024EBE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1%20&#1081;&#1080;&#1083;\&#1040;&#1075;&#1088;&#1086;-&#1090;&#1072;&#1093;&#1083;&#1080;&#1083;\&#1092;&#1086;&#1089;&#1092;&#1086;&#1088;,%20&#1082;&#1072;&#1083;&#1080;&#1081;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3)"/>
      <sheetName val="фосфор"/>
      <sheetName val="калий"/>
    </sheetNames>
    <sheetDataSet>
      <sheetData sheetId="0" refreshError="1"/>
      <sheetData sheetId="1" refreshError="1">
        <row r="2">
          <cell r="B2">
            <v>1.25</v>
          </cell>
        </row>
        <row r="7">
          <cell r="B7">
            <v>1.2426999999999999</v>
          </cell>
        </row>
        <row r="9">
          <cell r="B9">
            <v>1.2387999999999999</v>
          </cell>
        </row>
        <row r="12">
          <cell r="E12">
            <v>1.1416999999999999</v>
          </cell>
        </row>
        <row r="36">
          <cell r="B36">
            <v>1.1934555555555555</v>
          </cell>
        </row>
        <row r="46">
          <cell r="E46">
            <v>1.0842777777777777</v>
          </cell>
        </row>
        <row r="48">
          <cell r="B48">
            <v>1.1731444444444445</v>
          </cell>
          <cell r="E48">
            <v>1.0805666666666667</v>
          </cell>
        </row>
        <row r="55">
          <cell r="E55">
            <v>1.0694333333333332</v>
          </cell>
        </row>
        <row r="81">
          <cell r="B81">
            <v>1.0268444444444444</v>
          </cell>
        </row>
        <row r="112">
          <cell r="B112">
            <v>0.97499999999999998</v>
          </cell>
        </row>
        <row r="135">
          <cell r="B135">
            <v>0.8360333333333333</v>
          </cell>
        </row>
        <row r="141">
          <cell r="E141">
            <v>0.7267555555555556</v>
          </cell>
        </row>
        <row r="153">
          <cell r="B153">
            <v>0.80644444444444441</v>
          </cell>
        </row>
        <row r="178">
          <cell r="B178">
            <v>0.76383333333333336</v>
          </cell>
        </row>
        <row r="182">
          <cell r="B182">
            <v>0.65820000000000001</v>
          </cell>
        </row>
      </sheetData>
      <sheetData sheetId="2" refreshError="1">
        <row r="2">
          <cell r="B2">
            <v>1.25</v>
          </cell>
        </row>
        <row r="30">
          <cell r="E30">
            <v>1.003125</v>
          </cell>
        </row>
        <row r="45">
          <cell r="E45">
            <v>0.96562499999999996</v>
          </cell>
        </row>
        <row r="57">
          <cell r="E57">
            <v>0.9375</v>
          </cell>
        </row>
        <row r="64">
          <cell r="E64">
            <v>0.91874999999999996</v>
          </cell>
        </row>
        <row r="65">
          <cell r="E65">
            <v>0.91562500000000002</v>
          </cell>
        </row>
        <row r="69">
          <cell r="E69">
            <v>0.90625</v>
          </cell>
        </row>
        <row r="75">
          <cell r="B75">
            <v>0.890625</v>
          </cell>
        </row>
        <row r="78">
          <cell r="B78">
            <v>0.88437499999999991</v>
          </cell>
        </row>
        <row r="80">
          <cell r="B80">
            <v>0.87812500000000004</v>
          </cell>
        </row>
        <row r="88">
          <cell r="E88">
            <v>0.68437499999999996</v>
          </cell>
        </row>
        <row r="100">
          <cell r="B100">
            <v>0.828125</v>
          </cell>
        </row>
        <row r="117">
          <cell r="B117">
            <v>0.78749999999999998</v>
          </cell>
        </row>
        <row r="125">
          <cell r="B125">
            <v>0.765625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F48"/>
  <sheetViews>
    <sheetView tabSelected="1" zoomScale="85" zoomScaleNormal="85" zoomScaleSheetLayoutView="95" workbookViewId="0">
      <selection activeCell="S11" sqref="S11"/>
    </sheetView>
  </sheetViews>
  <sheetFormatPr defaultRowHeight="15"/>
  <cols>
    <col min="1" max="1" width="4.5703125" style="1" customWidth="1"/>
    <col min="2" max="2" width="14.7109375" style="1" bestFit="1" customWidth="1"/>
    <col min="3" max="3" width="11.7109375" style="1" bestFit="1" customWidth="1"/>
    <col min="4" max="4" width="13" style="1" customWidth="1"/>
    <col min="5" max="5" width="11.140625" style="1" customWidth="1"/>
    <col min="6" max="6" width="7.42578125" style="10" customWidth="1"/>
    <col min="7" max="7" width="12.85546875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30" ht="20.25">
      <c r="A1" s="59" t="s">
        <v>73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30" ht="20.25">
      <c r="A2" s="59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30" ht="2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30" ht="12" customHeight="1" thickBo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30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  <c r="M5" s="60" t="s">
        <v>2</v>
      </c>
      <c r="N5" s="61"/>
      <c r="O5" s="61"/>
      <c r="P5" s="61"/>
      <c r="Q5" s="61"/>
      <c r="R5" s="62"/>
      <c r="S5" s="63" t="s">
        <v>3</v>
      </c>
      <c r="T5" s="63"/>
      <c r="U5" s="63"/>
      <c r="V5" s="63"/>
      <c r="W5" s="63"/>
      <c r="X5" s="64"/>
    </row>
    <row r="6" spans="1:30" ht="50.25" customHeight="1">
      <c r="A6" s="57" t="s">
        <v>4</v>
      </c>
      <c r="B6" s="56" t="s">
        <v>5</v>
      </c>
      <c r="C6" s="56" t="s">
        <v>6</v>
      </c>
      <c r="D6" s="56" t="s">
        <v>7</v>
      </c>
      <c r="E6" s="56" t="s">
        <v>8</v>
      </c>
      <c r="F6" s="56" t="s">
        <v>9</v>
      </c>
      <c r="G6" s="65" t="s">
        <v>10</v>
      </c>
      <c r="H6" s="56" t="s">
        <v>11</v>
      </c>
      <c r="I6" s="56" t="s">
        <v>9</v>
      </c>
      <c r="J6" s="56" t="s">
        <v>12</v>
      </c>
      <c r="K6" s="56" t="s">
        <v>13</v>
      </c>
      <c r="L6" s="56" t="s">
        <v>14</v>
      </c>
      <c r="M6" s="57" t="s">
        <v>15</v>
      </c>
      <c r="N6" s="57"/>
      <c r="O6" s="57"/>
      <c r="P6" s="57" t="s">
        <v>16</v>
      </c>
      <c r="Q6" s="57"/>
      <c r="R6" s="57"/>
      <c r="S6" s="57" t="s">
        <v>15</v>
      </c>
      <c r="T6" s="57"/>
      <c r="U6" s="57"/>
      <c r="V6" s="57" t="s">
        <v>16</v>
      </c>
      <c r="W6" s="57"/>
      <c r="X6" s="57"/>
    </row>
    <row r="7" spans="1:30" ht="60" customHeight="1">
      <c r="A7" s="57"/>
      <c r="B7" s="56"/>
      <c r="C7" s="56"/>
      <c r="D7" s="56"/>
      <c r="E7" s="56"/>
      <c r="F7" s="56"/>
      <c r="G7" s="65"/>
      <c r="H7" s="56"/>
      <c r="I7" s="56"/>
      <c r="J7" s="56"/>
      <c r="K7" s="56"/>
      <c r="L7" s="56"/>
      <c r="M7" s="36" t="s">
        <v>17</v>
      </c>
      <c r="N7" s="36" t="s">
        <v>18</v>
      </c>
      <c r="O7" s="36" t="s">
        <v>19</v>
      </c>
      <c r="P7" s="36" t="s">
        <v>17</v>
      </c>
      <c r="Q7" s="36" t="s">
        <v>18</v>
      </c>
      <c r="R7" s="36" t="s">
        <v>19</v>
      </c>
      <c r="S7" s="36" t="s">
        <v>17</v>
      </c>
      <c r="T7" s="36" t="s">
        <v>18</v>
      </c>
      <c r="U7" s="36" t="s">
        <v>19</v>
      </c>
      <c r="V7" s="36" t="s">
        <v>17</v>
      </c>
      <c r="W7" s="36" t="s">
        <v>18</v>
      </c>
      <c r="X7" s="36" t="s">
        <v>19</v>
      </c>
      <c r="Z7" s="27" t="s">
        <v>59</v>
      </c>
    </row>
    <row r="8" spans="1:30" ht="22.5" customHeight="1">
      <c r="A8" s="57"/>
      <c r="B8" s="56"/>
      <c r="C8" s="56"/>
      <c r="D8" s="56"/>
      <c r="E8" s="56"/>
      <c r="F8" s="56"/>
      <c r="G8" s="65"/>
      <c r="H8" s="56"/>
      <c r="I8" s="56"/>
      <c r="J8" s="56"/>
      <c r="K8" s="56"/>
      <c r="L8" s="56"/>
      <c r="M8" s="5">
        <v>6</v>
      </c>
      <c r="N8" s="5"/>
      <c r="O8" s="6"/>
      <c r="P8" s="58" t="s">
        <v>20</v>
      </c>
      <c r="Q8" s="58"/>
      <c r="R8" s="58"/>
      <c r="S8" s="5">
        <v>3.77</v>
      </c>
      <c r="T8" s="5"/>
      <c r="U8" s="6"/>
      <c r="V8" s="58" t="s">
        <v>58</v>
      </c>
      <c r="W8" s="58"/>
      <c r="X8" s="58"/>
    </row>
    <row r="9" spans="1:30" s="10" customFormat="1">
      <c r="A9" s="6">
        <v>1</v>
      </c>
      <c r="B9" s="24">
        <v>1501</v>
      </c>
      <c r="C9" s="38">
        <v>5</v>
      </c>
      <c r="D9" s="7" t="s">
        <v>61</v>
      </c>
      <c r="E9" s="39">
        <v>38.97</v>
      </c>
      <c r="F9" s="40">
        <f>[1]фосфор!$E$141</f>
        <v>0.7267555555555556</v>
      </c>
      <c r="G9" s="42" t="str">
        <f t="shared" ref="G9:G12" si="0">IF(E9&lt;15.01,"жуда кам",IF(E9&lt;30,"кам",IF(E9&lt;45.01,"ўртача",IF(E9&lt;60.01, "юқори","жуда юқори"))))</f>
        <v>ўртача</v>
      </c>
      <c r="H9" s="6">
        <v>182</v>
      </c>
      <c r="I9" s="40">
        <f>[1]калий!$E$64</f>
        <v>0.91874999999999996</v>
      </c>
      <c r="J9" s="42" t="str">
        <f t="shared" ref="J9:J24" si="1">IF(H9&lt;100.1,"жуда кам",IF(H9&lt;200,"кам",IF(H9&lt;300,"ўртача",IF(H9&lt;400, "юқори","жуда юқори"))))</f>
        <v>кам</v>
      </c>
      <c r="K9" s="41">
        <v>1.8</v>
      </c>
      <c r="L9" s="42" t="str">
        <f>IF(K9&lt;0.81,"жуда кам",IF(K9&lt;1.2,"кам",IF(K9&lt;1.61,"ўртача",IF(K9&lt;2.01, "юқори",IF(K9&gt;2.01,"жуда юқори")))))</f>
        <v>юқори</v>
      </c>
      <c r="M9" s="8">
        <f>+Y9*Z9</f>
        <v>7.7165999999999997</v>
      </c>
      <c r="N9" s="9">
        <f>M9*F9*0.7</f>
        <v>3.9256573439999998</v>
      </c>
      <c r="O9" s="9">
        <f>M9*I9*0.5</f>
        <v>3.5448131249999997</v>
      </c>
      <c r="P9" s="9">
        <f>M9*C9</f>
        <v>38.582999999999998</v>
      </c>
      <c r="Q9" s="9">
        <f>N9*C9</f>
        <v>19.628286719999998</v>
      </c>
      <c r="R9" s="9">
        <f>O9*C9</f>
        <v>17.724065624999998</v>
      </c>
      <c r="S9" s="9">
        <f>+AA9*Z9</f>
        <v>4.8485969999999998</v>
      </c>
      <c r="T9" s="9">
        <f>S9*F9*0.7</f>
        <v>2.4666213644799999</v>
      </c>
      <c r="U9" s="9">
        <f>S9*I9*0.3</f>
        <v>1.3363945481249999</v>
      </c>
      <c r="V9" s="9">
        <f>S9*C9</f>
        <v>24.242984999999997</v>
      </c>
      <c r="W9" s="9">
        <f>T9*C9</f>
        <v>12.3331068224</v>
      </c>
      <c r="X9" s="9">
        <f>U9*C9</f>
        <v>6.6819727406249996</v>
      </c>
      <c r="Y9" s="26">
        <v>6</v>
      </c>
      <c r="Z9" s="10">
        <v>1.2861</v>
      </c>
      <c r="AA9" s="10">
        <v>3.77</v>
      </c>
      <c r="AB9" s="11"/>
      <c r="AC9" s="29" t="s">
        <v>56</v>
      </c>
    </row>
    <row r="10" spans="1:30" s="10" customFormat="1">
      <c r="A10" s="6">
        <v>2</v>
      </c>
      <c r="B10" s="24">
        <v>1501</v>
      </c>
      <c r="C10" s="38">
        <v>3.7</v>
      </c>
      <c r="D10" s="7" t="s">
        <v>61</v>
      </c>
      <c r="E10" s="39">
        <v>20.94</v>
      </c>
      <c r="F10" s="40">
        <f>[1]фосфор!$B$81</f>
        <v>1.0268444444444444</v>
      </c>
      <c r="G10" s="42" t="str">
        <f t="shared" si="0"/>
        <v>кам</v>
      </c>
      <c r="H10" s="6">
        <v>175</v>
      </c>
      <c r="I10" s="40">
        <f>[1]калий!$E$57</f>
        <v>0.9375</v>
      </c>
      <c r="J10" s="42" t="str">
        <f t="shared" si="1"/>
        <v>кам</v>
      </c>
      <c r="K10" s="41">
        <v>1.6</v>
      </c>
      <c r="L10" s="42" t="str">
        <f t="shared" ref="L10:L24" si="2">IF(K10&lt;0.81,"жуда кам",IF(K10&lt;1.2,"кам",IF(K10&lt;1.61,"ўртача",IF(K10&lt;2.01, "юқори",IF(K10&gt;2.01,"жуда юқори")))))</f>
        <v>ўртача</v>
      </c>
      <c r="M10" s="8">
        <f t="shared" ref="M10:M11" si="3">+Y10*Z10</f>
        <v>7.7165999999999997</v>
      </c>
      <c r="N10" s="9">
        <f t="shared" ref="N10:N11" si="4">M10*F10*0.7</f>
        <v>5.5466234879999998</v>
      </c>
      <c r="O10" s="9">
        <f t="shared" ref="O10:O11" si="5">M10*I10*0.5</f>
        <v>3.6171562499999999</v>
      </c>
      <c r="P10" s="9">
        <f t="shared" ref="P10:P11" si="6">M10*C10</f>
        <v>28.55142</v>
      </c>
      <c r="Q10" s="9">
        <f t="shared" ref="Q10:Q11" si="7">N10*C10</f>
        <v>20.5225069056</v>
      </c>
      <c r="R10" s="9">
        <f t="shared" ref="R10:R11" si="8">O10*C10</f>
        <v>13.383478125</v>
      </c>
      <c r="S10" s="9">
        <f t="shared" ref="S10:S11" si="9">+AA10*Z10</f>
        <v>4.8485969999999998</v>
      </c>
      <c r="T10" s="9">
        <f t="shared" ref="T10:T11" si="10">S10*F10*0.7</f>
        <v>3.4851284249599996</v>
      </c>
      <c r="U10" s="9">
        <f t="shared" ref="U10:U11" si="11">S10*I10*0.3</f>
        <v>1.3636679062499999</v>
      </c>
      <c r="V10" s="9">
        <f t="shared" ref="V10:V11" si="12">S10*C10</f>
        <v>17.939808899999999</v>
      </c>
      <c r="W10" s="9">
        <f t="shared" ref="W10:W11" si="13">T10*C10</f>
        <v>12.894975172352</v>
      </c>
      <c r="X10" s="9">
        <f t="shared" ref="X10:X11" si="14">U10*C10</f>
        <v>5.0455712531249999</v>
      </c>
      <c r="Y10" s="26">
        <v>6</v>
      </c>
      <c r="Z10" s="10">
        <v>1.2861</v>
      </c>
      <c r="AA10" s="10">
        <v>3.77</v>
      </c>
      <c r="AC10" s="28" t="s">
        <v>57</v>
      </c>
    </row>
    <row r="11" spans="1:30" s="10" customFormat="1">
      <c r="A11" s="6">
        <v>3</v>
      </c>
      <c r="B11" s="24">
        <v>1510</v>
      </c>
      <c r="C11" s="38">
        <v>4.8</v>
      </c>
      <c r="D11" s="7" t="s">
        <v>62</v>
      </c>
      <c r="E11" s="39">
        <v>12.16</v>
      </c>
      <c r="F11" s="40">
        <f>[1]фосфор!$B$48</f>
        <v>1.1731444444444445</v>
      </c>
      <c r="G11" s="42" t="str">
        <f t="shared" si="0"/>
        <v>жуда кам</v>
      </c>
      <c r="H11" s="6">
        <v>193</v>
      </c>
      <c r="I11" s="40">
        <f>[1]калий!$B$75</f>
        <v>0.890625</v>
      </c>
      <c r="J11" s="42" t="str">
        <f t="shared" si="1"/>
        <v>кам</v>
      </c>
      <c r="K11" s="6">
        <v>2.5</v>
      </c>
      <c r="L11" s="42" t="str">
        <f t="shared" si="2"/>
        <v>жуда юқори</v>
      </c>
      <c r="M11" s="8">
        <f t="shared" si="3"/>
        <v>7.7165999999999997</v>
      </c>
      <c r="N11" s="9">
        <f t="shared" si="4"/>
        <v>6.3368804939999999</v>
      </c>
      <c r="O11" s="9">
        <f t="shared" si="5"/>
        <v>3.4362984374999996</v>
      </c>
      <c r="P11" s="9">
        <f t="shared" si="6"/>
        <v>37.039679999999997</v>
      </c>
      <c r="Q11" s="9">
        <f t="shared" si="7"/>
        <v>30.417026371199999</v>
      </c>
      <c r="R11" s="9">
        <f t="shared" si="8"/>
        <v>16.494232499999999</v>
      </c>
      <c r="S11" s="9">
        <f t="shared" si="9"/>
        <v>4.8485969999999998</v>
      </c>
      <c r="T11" s="9">
        <f t="shared" si="10"/>
        <v>3.98167324373</v>
      </c>
      <c r="U11" s="9">
        <f t="shared" si="11"/>
        <v>1.2954845109374999</v>
      </c>
      <c r="V11" s="9">
        <f t="shared" si="12"/>
        <v>23.273265599999998</v>
      </c>
      <c r="W11" s="9">
        <f t="shared" si="13"/>
        <v>19.112031569903998</v>
      </c>
      <c r="X11" s="9">
        <f t="shared" si="14"/>
        <v>6.2183256524999999</v>
      </c>
      <c r="Y11" s="26">
        <v>6</v>
      </c>
      <c r="Z11" s="10">
        <v>1.2861</v>
      </c>
      <c r="AA11" s="10">
        <v>3.77</v>
      </c>
      <c r="AC11" s="30" t="s">
        <v>55</v>
      </c>
    </row>
    <row r="12" spans="1:30">
      <c r="A12" s="6">
        <v>4</v>
      </c>
      <c r="B12" s="24" t="s">
        <v>74</v>
      </c>
      <c r="C12" s="38">
        <v>6.4</v>
      </c>
      <c r="D12" s="7" t="s">
        <v>62</v>
      </c>
      <c r="E12" s="39">
        <v>36.68</v>
      </c>
      <c r="F12" s="40">
        <f>[1]фосфор!$B$178</f>
        <v>0.76383333333333336</v>
      </c>
      <c r="G12" s="42" t="str">
        <f t="shared" si="0"/>
        <v>ўртача</v>
      </c>
      <c r="H12" s="6">
        <v>148</v>
      </c>
      <c r="I12" s="40">
        <f>[1]калий!$E$30</f>
        <v>1.003125</v>
      </c>
      <c r="J12" s="42" t="str">
        <f t="shared" si="1"/>
        <v>кам</v>
      </c>
      <c r="K12" s="41">
        <v>2.5</v>
      </c>
      <c r="L12" s="42" t="str">
        <f t="shared" si="2"/>
        <v>жуда юқори</v>
      </c>
      <c r="M12" s="8">
        <f t="shared" ref="M12:M15" si="15">+Y12*Z12</f>
        <v>7.7165999999999997</v>
      </c>
      <c r="N12" s="9">
        <f t="shared" ref="N12:N15" si="16">M12*F12*0.7</f>
        <v>4.1259374099999997</v>
      </c>
      <c r="O12" s="9">
        <f t="shared" ref="O12:O15" si="17">M12*I12*0.5</f>
        <v>3.8703571874999998</v>
      </c>
      <c r="P12" s="9">
        <f t="shared" ref="P12:P15" si="18">M12*C12</f>
        <v>49.386240000000001</v>
      </c>
      <c r="Q12" s="9">
        <f t="shared" ref="Q12:Q15" si="19">N12*C12</f>
        <v>26.405999424000001</v>
      </c>
      <c r="R12" s="9">
        <f t="shared" ref="R12:R15" si="20">O12*C12</f>
        <v>24.770285999999999</v>
      </c>
      <c r="S12" s="9">
        <f t="shared" ref="S12:S15" si="21">+AA12*Z12</f>
        <v>4.8485969999999998</v>
      </c>
      <c r="T12" s="9">
        <f t="shared" ref="T12:T15" si="22">S12*F12*0.7</f>
        <v>2.5924640059499997</v>
      </c>
      <c r="U12" s="9">
        <f t="shared" ref="U12:U15" si="23">S12*I12*0.3</f>
        <v>1.4591246596875</v>
      </c>
      <c r="V12" s="9">
        <f t="shared" ref="V12:V15" si="24">S12*C12</f>
        <v>31.0310208</v>
      </c>
      <c r="W12" s="9">
        <f t="shared" ref="W12:W15" si="25">T12*C12</f>
        <v>16.591769638079999</v>
      </c>
      <c r="X12" s="9">
        <f t="shared" ref="X12:X15" si="26">U12*C12</f>
        <v>9.338397822000001</v>
      </c>
      <c r="Y12" s="26">
        <v>6</v>
      </c>
      <c r="Z12" s="10">
        <v>1.2861</v>
      </c>
      <c r="AA12" s="10">
        <v>3.77</v>
      </c>
      <c r="AC12" s="31" t="s">
        <v>21</v>
      </c>
    </row>
    <row r="13" spans="1:30" ht="15" customHeight="1">
      <c r="A13" s="6">
        <v>5</v>
      </c>
      <c r="B13" s="24" t="s">
        <v>75</v>
      </c>
      <c r="C13" s="38">
        <v>5</v>
      </c>
      <c r="D13" s="7" t="s">
        <v>62</v>
      </c>
      <c r="E13" s="39">
        <v>8.0779999999999994</v>
      </c>
      <c r="F13" s="40">
        <f>[1]фосфор!$B$7</f>
        <v>1.2426999999999999</v>
      </c>
      <c r="G13" s="42" t="str">
        <f>IF(E13&lt;15.01,"жуда кам",IF(E13&lt;30,"кам",IF(E13&lt;45.01,"ўртача",IF(E13&lt;60.01, "юқори","жуда юқори"))))</f>
        <v>жуда кам</v>
      </c>
      <c r="H13" s="6">
        <v>163</v>
      </c>
      <c r="I13" s="40">
        <f>[1]калий!$E$45</f>
        <v>0.96562499999999996</v>
      </c>
      <c r="J13" s="42" t="str">
        <f t="shared" si="1"/>
        <v>кам</v>
      </c>
      <c r="K13" s="41">
        <v>1.9</v>
      </c>
      <c r="L13" s="42" t="str">
        <f t="shared" si="2"/>
        <v>юқори</v>
      </c>
      <c r="M13" s="8">
        <f t="shared" si="15"/>
        <v>7.7165999999999997</v>
      </c>
      <c r="N13" s="9">
        <f t="shared" si="16"/>
        <v>6.7125931739999984</v>
      </c>
      <c r="O13" s="9">
        <f t="shared" si="17"/>
        <v>3.7256709374999999</v>
      </c>
      <c r="P13" s="9">
        <f t="shared" si="18"/>
        <v>38.582999999999998</v>
      </c>
      <c r="Q13" s="9">
        <f t="shared" si="19"/>
        <v>33.562965869999992</v>
      </c>
      <c r="R13" s="9">
        <f t="shared" si="20"/>
        <v>18.6283546875</v>
      </c>
      <c r="S13" s="9">
        <f t="shared" si="21"/>
        <v>4.8485969999999998</v>
      </c>
      <c r="T13" s="9">
        <f t="shared" si="22"/>
        <v>4.2177460443299992</v>
      </c>
      <c r="U13" s="9">
        <f t="shared" si="23"/>
        <v>1.4045779434374999</v>
      </c>
      <c r="V13" s="9">
        <f t="shared" si="24"/>
        <v>24.242984999999997</v>
      </c>
      <c r="W13" s="9">
        <f t="shared" si="25"/>
        <v>21.088730221649996</v>
      </c>
      <c r="X13" s="9">
        <f t="shared" si="26"/>
        <v>7.0228897171874998</v>
      </c>
      <c r="Y13" s="26">
        <v>6</v>
      </c>
      <c r="Z13" s="10">
        <v>1.2861</v>
      </c>
      <c r="AA13" s="10">
        <v>3.77</v>
      </c>
      <c r="AC13" s="32" t="s">
        <v>60</v>
      </c>
    </row>
    <row r="14" spans="1:30">
      <c r="A14" s="6">
        <v>6</v>
      </c>
      <c r="B14" s="24" t="s">
        <v>75</v>
      </c>
      <c r="C14" s="38">
        <v>2.4</v>
      </c>
      <c r="D14" s="7" t="s">
        <v>63</v>
      </c>
      <c r="E14" s="39">
        <v>32.380000000000003</v>
      </c>
      <c r="F14" s="40">
        <f>[1]фосфор!$B$135</f>
        <v>0.8360333333333333</v>
      </c>
      <c r="G14" s="42" t="str">
        <f t="shared" ref="G14:G24" si="27">IF(E14&lt;15.01,"жуда кам",IF(E14&lt;30,"кам",IF(E14&lt;45.01,"ўртача",IF(E14&lt;60.01, "юқори","жуда юқори"))))</f>
        <v>ўртача</v>
      </c>
      <c r="H14" s="6">
        <v>183</v>
      </c>
      <c r="I14" s="40">
        <f>[1]калий!$E$65</f>
        <v>0.91562500000000002</v>
      </c>
      <c r="J14" s="42" t="str">
        <f t="shared" si="1"/>
        <v>кам</v>
      </c>
      <c r="K14" s="41">
        <v>2.1</v>
      </c>
      <c r="L14" s="42" t="str">
        <f t="shared" si="2"/>
        <v>жуда юқори</v>
      </c>
      <c r="M14" s="8">
        <f t="shared" si="15"/>
        <v>7.7165999999999997</v>
      </c>
      <c r="N14" s="9">
        <f t="shared" si="16"/>
        <v>4.5159343739999995</v>
      </c>
      <c r="O14" s="9">
        <f t="shared" si="17"/>
        <v>3.5327559374999997</v>
      </c>
      <c r="P14" s="9">
        <f t="shared" si="18"/>
        <v>18.519839999999999</v>
      </c>
      <c r="Q14" s="9">
        <f t="shared" si="19"/>
        <v>10.838242497599998</v>
      </c>
      <c r="R14" s="9">
        <f t="shared" si="20"/>
        <v>8.4786142499999997</v>
      </c>
      <c r="S14" s="9">
        <f t="shared" si="21"/>
        <v>4.8485969999999998</v>
      </c>
      <c r="T14" s="9">
        <f t="shared" si="22"/>
        <v>2.8375120983299995</v>
      </c>
      <c r="U14" s="9">
        <f t="shared" si="23"/>
        <v>1.3318489884375</v>
      </c>
      <c r="V14" s="9">
        <f t="shared" si="24"/>
        <v>11.636632799999999</v>
      </c>
      <c r="W14" s="9">
        <f t="shared" si="25"/>
        <v>6.8100290359919988</v>
      </c>
      <c r="X14" s="9">
        <f t="shared" si="26"/>
        <v>3.1964375722499998</v>
      </c>
      <c r="Y14" s="26">
        <v>6</v>
      </c>
      <c r="Z14" s="10">
        <v>1.2861</v>
      </c>
      <c r="AA14" s="10">
        <v>3.77</v>
      </c>
    </row>
    <row r="15" spans="1:30">
      <c r="A15" s="6">
        <v>7</v>
      </c>
      <c r="B15" s="24" t="s">
        <v>76</v>
      </c>
      <c r="C15" s="38">
        <v>5</v>
      </c>
      <c r="D15" s="7" t="s">
        <v>63</v>
      </c>
      <c r="E15" s="39">
        <v>34.18</v>
      </c>
      <c r="F15" s="40">
        <f>[1]фосфор!$B$153</f>
        <v>0.80644444444444441</v>
      </c>
      <c r="G15" s="42" t="str">
        <f t="shared" si="27"/>
        <v>ўртача</v>
      </c>
      <c r="H15" s="6">
        <v>196</v>
      </c>
      <c r="I15" s="40">
        <f>[1]калий!$B$78</f>
        <v>0.88437499999999991</v>
      </c>
      <c r="J15" s="42" t="str">
        <f t="shared" si="1"/>
        <v>кам</v>
      </c>
      <c r="K15" s="6">
        <v>1.6</v>
      </c>
      <c r="L15" s="42" t="str">
        <f t="shared" si="2"/>
        <v>ўртача</v>
      </c>
      <c r="M15" s="8">
        <f t="shared" si="15"/>
        <v>7.7165999999999997</v>
      </c>
      <c r="N15" s="9">
        <f t="shared" si="16"/>
        <v>4.3561064399999996</v>
      </c>
      <c r="O15" s="9">
        <f t="shared" si="17"/>
        <v>3.4121840624999997</v>
      </c>
      <c r="P15" s="9">
        <f t="shared" si="18"/>
        <v>38.582999999999998</v>
      </c>
      <c r="Q15" s="9">
        <f t="shared" si="19"/>
        <v>21.780532199999996</v>
      </c>
      <c r="R15" s="9">
        <f t="shared" si="20"/>
        <v>17.060920312499999</v>
      </c>
      <c r="S15" s="9">
        <f t="shared" si="21"/>
        <v>4.8485969999999998</v>
      </c>
      <c r="T15" s="9">
        <f t="shared" si="22"/>
        <v>2.7370868797999997</v>
      </c>
      <c r="U15" s="9">
        <f t="shared" si="23"/>
        <v>1.2863933915624999</v>
      </c>
      <c r="V15" s="9">
        <f t="shared" si="24"/>
        <v>24.242984999999997</v>
      </c>
      <c r="W15" s="9">
        <f t="shared" si="25"/>
        <v>13.685434398999998</v>
      </c>
      <c r="X15" s="9">
        <f t="shared" si="26"/>
        <v>6.4319669578124996</v>
      </c>
      <c r="Y15" s="26">
        <v>6</v>
      </c>
      <c r="Z15" s="10">
        <v>1.2861</v>
      </c>
      <c r="AA15" s="10">
        <v>3.77</v>
      </c>
      <c r="AC15" s="55"/>
      <c r="AD15" s="55"/>
    </row>
    <row r="16" spans="1:30">
      <c r="A16" s="6">
        <v>8</v>
      </c>
      <c r="B16" s="24" t="s">
        <v>76</v>
      </c>
      <c r="C16" s="38">
        <v>5.8</v>
      </c>
      <c r="D16" s="7" t="s">
        <v>62</v>
      </c>
      <c r="E16" s="39">
        <v>10.97</v>
      </c>
      <c r="F16" s="40">
        <f>[1]фосфор!$B$36</f>
        <v>1.1934555555555555</v>
      </c>
      <c r="G16" s="42" t="str">
        <f t="shared" si="27"/>
        <v>жуда кам</v>
      </c>
      <c r="H16" s="6">
        <v>198</v>
      </c>
      <c r="I16" s="40">
        <f>[1]калий!$B$80</f>
        <v>0.87812500000000004</v>
      </c>
      <c r="J16" s="42" t="str">
        <f t="shared" si="1"/>
        <v>кам</v>
      </c>
      <c r="K16" s="41">
        <v>1.8</v>
      </c>
      <c r="L16" s="42" t="str">
        <f t="shared" si="2"/>
        <v>юқори</v>
      </c>
      <c r="M16" s="8">
        <f t="shared" ref="M16" si="28">+Y16*Z16</f>
        <v>7.7165999999999997</v>
      </c>
      <c r="N16" s="9">
        <f t="shared" ref="N16" si="29">M16*F16*0.7</f>
        <v>6.4465933979999992</v>
      </c>
      <c r="O16" s="9">
        <f t="shared" ref="O16" si="30">M16*I16*0.5</f>
        <v>3.3880696874999998</v>
      </c>
      <c r="P16" s="9">
        <f t="shared" ref="P16" si="31">M16*C16</f>
        <v>44.756279999999997</v>
      </c>
      <c r="Q16" s="9">
        <f t="shared" ref="Q16" si="32">N16*C16</f>
        <v>37.390241708399991</v>
      </c>
      <c r="R16" s="9">
        <f t="shared" ref="R16" si="33">O16*C16</f>
        <v>19.650804187499997</v>
      </c>
      <c r="S16" s="9">
        <f t="shared" ref="S16" si="34">+AA16*Z16</f>
        <v>4.8485969999999998</v>
      </c>
      <c r="T16" s="9">
        <f t="shared" ref="T16" si="35">S16*F16*0.7</f>
        <v>4.0506095184099991</v>
      </c>
      <c r="U16" s="9">
        <f t="shared" ref="U16" si="36">S16*I16*0.3</f>
        <v>1.2773022721874998</v>
      </c>
      <c r="V16" s="9">
        <f t="shared" ref="V16" si="37">S16*C16</f>
        <v>28.121862599999996</v>
      </c>
      <c r="W16" s="9">
        <f t="shared" ref="W16" si="38">T16*C16</f>
        <v>23.493535206777995</v>
      </c>
      <c r="X16" s="9">
        <f t="shared" ref="X16" si="39">U16*C16</f>
        <v>7.4083531786874985</v>
      </c>
      <c r="Y16" s="26">
        <v>6</v>
      </c>
      <c r="Z16" s="10">
        <v>1.2861</v>
      </c>
      <c r="AA16" s="10">
        <v>3.77</v>
      </c>
    </row>
    <row r="17" spans="1:32">
      <c r="A17" s="6">
        <v>9</v>
      </c>
      <c r="B17" s="24">
        <v>1483</v>
      </c>
      <c r="C17" s="38">
        <v>2.7</v>
      </c>
      <c r="D17" s="7" t="s">
        <v>62</v>
      </c>
      <c r="E17" s="39">
        <v>6.5069999999999997</v>
      </c>
      <c r="F17" s="40">
        <v>1.25</v>
      </c>
      <c r="G17" s="42" t="str">
        <f t="shared" si="27"/>
        <v>жуда кам</v>
      </c>
      <c r="H17" s="6">
        <v>218</v>
      </c>
      <c r="I17" s="40">
        <f>[1]калий!$B$100</f>
        <v>0.828125</v>
      </c>
      <c r="J17" s="42" t="str">
        <f t="shared" si="1"/>
        <v>ўртача</v>
      </c>
      <c r="K17" s="6">
        <v>1.4</v>
      </c>
      <c r="L17" s="42" t="str">
        <f t="shared" si="2"/>
        <v>ўртача</v>
      </c>
      <c r="M17" s="8">
        <f t="shared" ref="M17:M19" si="40">+Y17*Z17</f>
        <v>7.7165999999999997</v>
      </c>
      <c r="N17" s="9">
        <f t="shared" ref="N17:N19" si="41">M17*F17*0.7</f>
        <v>6.7520249999999997</v>
      </c>
      <c r="O17" s="9">
        <f t="shared" ref="O17:O19" si="42">M17*I17*0.5</f>
        <v>3.1951546874999996</v>
      </c>
      <c r="P17" s="9">
        <f t="shared" ref="P17:P19" si="43">M17*C17</f>
        <v>20.834820000000001</v>
      </c>
      <c r="Q17" s="9">
        <f t="shared" ref="Q17:Q19" si="44">N17*C17</f>
        <v>18.2304675</v>
      </c>
      <c r="R17" s="9">
        <f t="shared" ref="R17:R19" si="45">O17*C17</f>
        <v>8.626917656249999</v>
      </c>
      <c r="S17" s="9">
        <f t="shared" ref="S17:S19" si="46">+AA17*Z17</f>
        <v>4.8485969999999998</v>
      </c>
      <c r="T17" s="9">
        <f t="shared" ref="T17:T19" si="47">S17*F17*0.7</f>
        <v>4.2425223749999992</v>
      </c>
      <c r="U17" s="9">
        <f t="shared" ref="U17:U19" si="48">S17*I17*0.3</f>
        <v>1.2045733171874999</v>
      </c>
      <c r="V17" s="9">
        <f t="shared" ref="V17:V19" si="49">S17*C17</f>
        <v>13.091211900000001</v>
      </c>
      <c r="W17" s="9">
        <f t="shared" ref="W17:W19" si="50">T17*C17</f>
        <v>11.454810412499999</v>
      </c>
      <c r="X17" s="9">
        <f t="shared" ref="X17:X19" si="51">U17*C17</f>
        <v>3.2523479564062501</v>
      </c>
      <c r="Y17" s="26">
        <v>6</v>
      </c>
      <c r="Z17" s="10">
        <v>1.2861</v>
      </c>
      <c r="AA17" s="10">
        <v>3.77</v>
      </c>
    </row>
    <row r="18" spans="1:32">
      <c r="A18" s="6">
        <v>10</v>
      </c>
      <c r="B18" s="24">
        <v>1485</v>
      </c>
      <c r="C18" s="38">
        <v>4.8</v>
      </c>
      <c r="D18" s="7" t="s">
        <v>62</v>
      </c>
      <c r="E18" s="39">
        <v>24</v>
      </c>
      <c r="F18" s="40">
        <f>[1]фосфор!$B$112</f>
        <v>0.97499999999999998</v>
      </c>
      <c r="G18" s="42" t="str">
        <f t="shared" si="27"/>
        <v>кам</v>
      </c>
      <c r="H18" s="6">
        <v>235</v>
      </c>
      <c r="I18" s="40">
        <f>[1]калий!$B$117</f>
        <v>0.78749999999999998</v>
      </c>
      <c r="J18" s="42" t="str">
        <f t="shared" si="1"/>
        <v>ўртача</v>
      </c>
      <c r="K18" s="6">
        <v>2.4</v>
      </c>
      <c r="L18" s="42" t="str">
        <f t="shared" si="2"/>
        <v>жуда юқори</v>
      </c>
      <c r="M18" s="8">
        <f t="shared" si="40"/>
        <v>7.7165999999999997</v>
      </c>
      <c r="N18" s="9">
        <f t="shared" si="41"/>
        <v>5.2665794999999997</v>
      </c>
      <c r="O18" s="9">
        <f t="shared" si="42"/>
        <v>3.0384112499999998</v>
      </c>
      <c r="P18" s="9">
        <f t="shared" si="43"/>
        <v>37.039679999999997</v>
      </c>
      <c r="Q18" s="9">
        <f t="shared" si="44"/>
        <v>25.279581599999997</v>
      </c>
      <c r="R18" s="9">
        <f t="shared" si="45"/>
        <v>14.584373999999999</v>
      </c>
      <c r="S18" s="9">
        <f t="shared" si="46"/>
        <v>4.8485969999999998</v>
      </c>
      <c r="T18" s="9">
        <f t="shared" si="47"/>
        <v>3.3091674524999997</v>
      </c>
      <c r="U18" s="9">
        <f t="shared" si="48"/>
        <v>1.1454810412499998</v>
      </c>
      <c r="V18" s="9">
        <f t="shared" si="49"/>
        <v>23.273265599999998</v>
      </c>
      <c r="W18" s="9">
        <f t="shared" si="50"/>
        <v>15.884003771999998</v>
      </c>
      <c r="X18" s="9">
        <f t="shared" si="51"/>
        <v>5.4983089979999988</v>
      </c>
      <c r="Y18" s="26">
        <v>6</v>
      </c>
      <c r="Z18" s="10">
        <v>1.2861</v>
      </c>
      <c r="AA18" s="10">
        <v>3.77</v>
      </c>
    </row>
    <row r="19" spans="1:32">
      <c r="A19" s="6">
        <v>11</v>
      </c>
      <c r="B19" s="24">
        <v>1487</v>
      </c>
      <c r="C19" s="38">
        <v>2.7</v>
      </c>
      <c r="D19" s="7" t="s">
        <v>62</v>
      </c>
      <c r="E19" s="39">
        <v>8.2729999999999997</v>
      </c>
      <c r="F19" s="40">
        <f>[1]фосфор!$B$9</f>
        <v>1.2387999999999999</v>
      </c>
      <c r="G19" s="42" t="str">
        <f t="shared" si="27"/>
        <v>жуда кам</v>
      </c>
      <c r="H19" s="6">
        <v>276</v>
      </c>
      <c r="I19" s="40">
        <f>[1]калий!$E$88</f>
        <v>0.68437499999999996</v>
      </c>
      <c r="J19" s="42" t="str">
        <f t="shared" si="1"/>
        <v>ўртача</v>
      </c>
      <c r="K19" s="41">
        <v>2.1</v>
      </c>
      <c r="L19" s="42" t="str">
        <f t="shared" si="2"/>
        <v>жуда юқори</v>
      </c>
      <c r="M19" s="8">
        <f t="shared" si="40"/>
        <v>7.7165999999999997</v>
      </c>
      <c r="N19" s="9">
        <f t="shared" si="41"/>
        <v>6.6915268559999994</v>
      </c>
      <c r="O19" s="9">
        <f t="shared" si="42"/>
        <v>2.6405240624999999</v>
      </c>
      <c r="P19" s="9">
        <f t="shared" si="43"/>
        <v>20.834820000000001</v>
      </c>
      <c r="Q19" s="9">
        <f t="shared" si="44"/>
        <v>18.067122511200001</v>
      </c>
      <c r="R19" s="9">
        <f t="shared" si="45"/>
        <v>7.1294149687499999</v>
      </c>
      <c r="S19" s="9">
        <f t="shared" si="46"/>
        <v>4.8485969999999998</v>
      </c>
      <c r="T19" s="9">
        <f t="shared" si="47"/>
        <v>4.2045093745199997</v>
      </c>
      <c r="U19" s="9">
        <f t="shared" si="48"/>
        <v>0.99547757156249983</v>
      </c>
      <c r="V19" s="9">
        <f t="shared" si="49"/>
        <v>13.091211900000001</v>
      </c>
      <c r="W19" s="9">
        <f t="shared" si="50"/>
        <v>11.352175311204</v>
      </c>
      <c r="X19" s="9">
        <f t="shared" si="51"/>
        <v>2.6877894432187497</v>
      </c>
      <c r="Y19" s="26">
        <v>6</v>
      </c>
      <c r="Z19" s="10">
        <v>1.2861</v>
      </c>
      <c r="AA19" s="10">
        <v>3.77</v>
      </c>
    </row>
    <row r="20" spans="1:32" s="10" customFormat="1">
      <c r="A20" s="6">
        <v>12</v>
      </c>
      <c r="B20" s="24">
        <v>1761</v>
      </c>
      <c r="C20" s="38">
        <v>5.2</v>
      </c>
      <c r="D20" s="7" t="s">
        <v>61</v>
      </c>
      <c r="E20" s="39">
        <v>14.05</v>
      </c>
      <c r="F20" s="40">
        <f>[1]фосфор!$E$12</f>
        <v>1.1416999999999999</v>
      </c>
      <c r="G20" s="42" t="str">
        <f t="shared" si="27"/>
        <v>жуда кам</v>
      </c>
      <c r="H20" s="6">
        <v>243</v>
      </c>
      <c r="I20" s="40">
        <f>[1]калий!$B$125</f>
        <v>0.765625</v>
      </c>
      <c r="J20" s="42" t="str">
        <f t="shared" si="1"/>
        <v>ўртача</v>
      </c>
      <c r="K20" s="6">
        <v>1.8</v>
      </c>
      <c r="L20" s="42" t="str">
        <f t="shared" si="2"/>
        <v>юқори</v>
      </c>
      <c r="M20" s="8">
        <f t="shared" ref="M20:M24" si="52">+Y20*Z20</f>
        <v>7.7165999999999997</v>
      </c>
      <c r="N20" s="9">
        <f t="shared" ref="N20:N24" si="53">M20*F20*0.7</f>
        <v>6.1670295539999991</v>
      </c>
      <c r="O20" s="9">
        <f t="shared" ref="O20:O24" si="54">M20*I20*0.5</f>
        <v>2.9540109374999997</v>
      </c>
      <c r="P20" s="9">
        <f t="shared" ref="P20:P24" si="55">M20*C20</f>
        <v>40.12632</v>
      </c>
      <c r="Q20" s="9">
        <f t="shared" ref="Q20:Q24" si="56">N20*C20</f>
        <v>32.068553680799994</v>
      </c>
      <c r="R20" s="9">
        <f t="shared" ref="R20:R24" si="57">O20*C20</f>
        <v>15.360856874999998</v>
      </c>
      <c r="S20" s="9">
        <f t="shared" ref="S20:S24" si="58">+AA20*Z20</f>
        <v>4.8485969999999998</v>
      </c>
      <c r="T20" s="9">
        <f t="shared" ref="T20:T24" si="59">S20*F20*0.7</f>
        <v>3.8749502364299993</v>
      </c>
      <c r="U20" s="9">
        <f t="shared" ref="U20:U24" si="60">S20*I20*0.3</f>
        <v>1.1136621234374999</v>
      </c>
      <c r="V20" s="9">
        <f t="shared" ref="V20:V24" si="61">S20*C20</f>
        <v>25.2127044</v>
      </c>
      <c r="W20" s="9">
        <f t="shared" ref="W20:W24" si="62">T20*C20</f>
        <v>20.149741229435996</v>
      </c>
      <c r="X20" s="9">
        <f t="shared" ref="X20:X24" si="63">U20*C20</f>
        <v>5.7910430418749996</v>
      </c>
      <c r="Y20" s="26">
        <v>6</v>
      </c>
      <c r="Z20" s="10">
        <v>1.2861</v>
      </c>
      <c r="AA20" s="10">
        <v>3.77</v>
      </c>
      <c r="AB20" s="1"/>
      <c r="AC20" s="1"/>
      <c r="AD20" s="1"/>
      <c r="AE20" s="1"/>
      <c r="AF20" s="1"/>
    </row>
    <row r="21" spans="1:32" s="10" customFormat="1">
      <c r="A21" s="6">
        <v>13</v>
      </c>
      <c r="B21" s="24">
        <v>1500</v>
      </c>
      <c r="C21" s="38">
        <v>4.7</v>
      </c>
      <c r="D21" s="7" t="s">
        <v>61</v>
      </c>
      <c r="E21" s="39">
        <v>43.06</v>
      </c>
      <c r="F21" s="40">
        <f>[1]фосфор!$B$182</f>
        <v>0.65820000000000001</v>
      </c>
      <c r="G21" s="42" t="str">
        <f t="shared" si="27"/>
        <v>ўртача</v>
      </c>
      <c r="H21" s="6">
        <v>193</v>
      </c>
      <c r="I21" s="40">
        <f>[1]калий!$B$75</f>
        <v>0.890625</v>
      </c>
      <c r="J21" s="42" t="str">
        <f t="shared" si="1"/>
        <v>кам</v>
      </c>
      <c r="K21" s="6">
        <v>1.9</v>
      </c>
      <c r="L21" s="42" t="str">
        <f t="shared" si="2"/>
        <v>юқори</v>
      </c>
      <c r="M21" s="8">
        <f t="shared" si="52"/>
        <v>7.7165999999999997</v>
      </c>
      <c r="N21" s="9">
        <f t="shared" si="53"/>
        <v>3.5553462840000001</v>
      </c>
      <c r="O21" s="9">
        <f t="shared" si="54"/>
        <v>3.4362984374999996</v>
      </c>
      <c r="P21" s="9">
        <f t="shared" si="55"/>
        <v>36.26802</v>
      </c>
      <c r="Q21" s="9">
        <f t="shared" si="56"/>
        <v>16.710127534800002</v>
      </c>
      <c r="R21" s="9">
        <f t="shared" si="57"/>
        <v>16.150602656249998</v>
      </c>
      <c r="S21" s="9">
        <f t="shared" si="58"/>
        <v>4.8485969999999998</v>
      </c>
      <c r="T21" s="9">
        <f t="shared" si="59"/>
        <v>2.23394258178</v>
      </c>
      <c r="U21" s="9">
        <f t="shared" si="60"/>
        <v>1.2954845109374999</v>
      </c>
      <c r="V21" s="9">
        <f t="shared" si="61"/>
        <v>22.788405900000001</v>
      </c>
      <c r="W21" s="9">
        <f t="shared" si="62"/>
        <v>10.499530134366001</v>
      </c>
      <c r="X21" s="9">
        <f t="shared" si="63"/>
        <v>6.0887772014062502</v>
      </c>
      <c r="Y21" s="26">
        <v>6</v>
      </c>
      <c r="Z21" s="10">
        <v>1.2861</v>
      </c>
      <c r="AA21" s="10">
        <v>3.77</v>
      </c>
      <c r="AB21" s="1"/>
      <c r="AC21" s="1"/>
      <c r="AD21" s="1"/>
      <c r="AE21" s="1"/>
      <c r="AF21" s="1"/>
    </row>
    <row r="22" spans="1:32" s="10" customFormat="1">
      <c r="A22" s="6">
        <v>14</v>
      </c>
      <c r="B22" s="24" t="s">
        <v>77</v>
      </c>
      <c r="C22" s="38">
        <v>4.7</v>
      </c>
      <c r="D22" s="7" t="s">
        <v>61</v>
      </c>
      <c r="E22" s="39">
        <v>17.47</v>
      </c>
      <c r="F22" s="40">
        <f>[1]фосфор!$E$46</f>
        <v>1.0842777777777777</v>
      </c>
      <c r="G22" s="42" t="str">
        <f t="shared" si="27"/>
        <v>кам</v>
      </c>
      <c r="H22" s="6">
        <v>175</v>
      </c>
      <c r="I22" s="40">
        <f>[1]калий!$E$57</f>
        <v>0.9375</v>
      </c>
      <c r="J22" s="42" t="str">
        <f t="shared" si="1"/>
        <v>кам</v>
      </c>
      <c r="K22" s="41">
        <v>2</v>
      </c>
      <c r="L22" s="42" t="str">
        <f t="shared" si="2"/>
        <v>юқори</v>
      </c>
      <c r="M22" s="8">
        <f t="shared" si="52"/>
        <v>7.7165999999999997</v>
      </c>
      <c r="N22" s="9">
        <f t="shared" si="53"/>
        <v>5.8568565299999982</v>
      </c>
      <c r="O22" s="9">
        <f t="shared" si="54"/>
        <v>3.6171562499999999</v>
      </c>
      <c r="P22" s="9">
        <f t="shared" si="55"/>
        <v>36.26802</v>
      </c>
      <c r="Q22" s="9">
        <f t="shared" si="56"/>
        <v>27.527225690999991</v>
      </c>
      <c r="R22" s="9">
        <f t="shared" si="57"/>
        <v>17.000634375000001</v>
      </c>
      <c r="S22" s="9">
        <f t="shared" si="58"/>
        <v>4.8485969999999998</v>
      </c>
      <c r="T22" s="9">
        <f t="shared" si="59"/>
        <v>3.6800581863499993</v>
      </c>
      <c r="U22" s="9">
        <f t="shared" si="60"/>
        <v>1.3636679062499999</v>
      </c>
      <c r="V22" s="9">
        <f t="shared" si="61"/>
        <v>22.788405900000001</v>
      </c>
      <c r="W22" s="9">
        <f t="shared" si="62"/>
        <v>17.296273475844998</v>
      </c>
      <c r="X22" s="9">
        <f t="shared" si="63"/>
        <v>6.4092391593749998</v>
      </c>
      <c r="Y22" s="26">
        <v>6</v>
      </c>
      <c r="Z22" s="10">
        <v>1.2861</v>
      </c>
      <c r="AA22" s="10">
        <v>3.77</v>
      </c>
      <c r="AB22" s="1"/>
      <c r="AC22" s="1"/>
      <c r="AD22" s="1"/>
      <c r="AE22" s="1"/>
      <c r="AF22" s="1"/>
    </row>
    <row r="23" spans="1:32" s="10" customFormat="1">
      <c r="A23" s="6">
        <v>15</v>
      </c>
      <c r="B23" s="24" t="s">
        <v>78</v>
      </c>
      <c r="C23" s="38">
        <v>6.6</v>
      </c>
      <c r="D23" s="7" t="s">
        <v>61</v>
      </c>
      <c r="E23" s="39">
        <v>17.690000000000001</v>
      </c>
      <c r="F23" s="40">
        <f>[1]фосфор!$E$48</f>
        <v>1.0805666666666667</v>
      </c>
      <c r="G23" s="42" t="str">
        <f t="shared" si="27"/>
        <v>кам</v>
      </c>
      <c r="H23" s="6">
        <v>187</v>
      </c>
      <c r="I23" s="40">
        <f>[1]калий!$E$69</f>
        <v>0.90625</v>
      </c>
      <c r="J23" s="42" t="str">
        <f t="shared" si="1"/>
        <v>кам</v>
      </c>
      <c r="K23" s="6">
        <v>1.8</v>
      </c>
      <c r="L23" s="42" t="str">
        <f t="shared" si="2"/>
        <v>юқори</v>
      </c>
      <c r="M23" s="8">
        <f t="shared" si="52"/>
        <v>7.7165999999999997</v>
      </c>
      <c r="N23" s="9">
        <f t="shared" si="53"/>
        <v>5.8368105179999992</v>
      </c>
      <c r="O23" s="9">
        <f t="shared" si="54"/>
        <v>3.4965843749999999</v>
      </c>
      <c r="P23" s="9">
        <f t="shared" si="55"/>
        <v>50.929559999999995</v>
      </c>
      <c r="Q23" s="9">
        <f t="shared" si="56"/>
        <v>38.522949418799989</v>
      </c>
      <c r="R23" s="9">
        <f t="shared" si="57"/>
        <v>23.077456874999999</v>
      </c>
      <c r="S23" s="9">
        <f t="shared" si="58"/>
        <v>4.8485969999999998</v>
      </c>
      <c r="T23" s="9">
        <f t="shared" si="59"/>
        <v>3.6674626088099997</v>
      </c>
      <c r="U23" s="9">
        <f t="shared" si="60"/>
        <v>1.3182123093749998</v>
      </c>
      <c r="V23" s="9">
        <f t="shared" si="61"/>
        <v>32.000740199999996</v>
      </c>
      <c r="W23" s="9">
        <f t="shared" si="62"/>
        <v>24.205253218145998</v>
      </c>
      <c r="X23" s="9">
        <f t="shared" si="63"/>
        <v>8.7002012418749981</v>
      </c>
      <c r="Y23" s="26">
        <v>6</v>
      </c>
      <c r="Z23" s="10">
        <v>1.2861</v>
      </c>
      <c r="AA23" s="10">
        <v>3.77</v>
      </c>
      <c r="AB23" s="1"/>
      <c r="AC23" s="55"/>
      <c r="AD23" s="55"/>
      <c r="AE23" s="1"/>
      <c r="AF23" s="1"/>
    </row>
    <row r="24" spans="1:32" s="10" customFormat="1">
      <c r="A24" s="6">
        <v>16</v>
      </c>
      <c r="B24" s="24" t="s">
        <v>79</v>
      </c>
      <c r="C24" s="38">
        <v>5</v>
      </c>
      <c r="D24" s="7" t="s">
        <v>61</v>
      </c>
      <c r="E24" s="39">
        <v>18.3</v>
      </c>
      <c r="F24" s="40">
        <f>[1]фосфор!$E$55</f>
        <v>1.0694333333333332</v>
      </c>
      <c r="G24" s="42" t="str">
        <f t="shared" si="27"/>
        <v>кам</v>
      </c>
      <c r="H24" s="6">
        <v>175</v>
      </c>
      <c r="I24" s="40">
        <f>[1]калий!$E$57</f>
        <v>0.9375</v>
      </c>
      <c r="J24" s="42" t="str">
        <f t="shared" si="1"/>
        <v>кам</v>
      </c>
      <c r="K24" s="6">
        <v>1.8</v>
      </c>
      <c r="L24" s="42" t="str">
        <f t="shared" si="2"/>
        <v>юқори</v>
      </c>
      <c r="M24" s="8">
        <f t="shared" si="52"/>
        <v>7.7165999999999997</v>
      </c>
      <c r="N24" s="9">
        <f t="shared" si="53"/>
        <v>5.7766724819999995</v>
      </c>
      <c r="O24" s="9">
        <f t="shared" si="54"/>
        <v>3.6171562499999999</v>
      </c>
      <c r="P24" s="9">
        <f t="shared" si="55"/>
        <v>38.582999999999998</v>
      </c>
      <c r="Q24" s="9">
        <f t="shared" si="56"/>
        <v>28.883362409999997</v>
      </c>
      <c r="R24" s="9">
        <f t="shared" si="57"/>
        <v>18.08578125</v>
      </c>
      <c r="S24" s="9">
        <f t="shared" si="58"/>
        <v>4.8485969999999998</v>
      </c>
      <c r="T24" s="9">
        <f t="shared" si="59"/>
        <v>3.6296758761899994</v>
      </c>
      <c r="U24" s="9">
        <f t="shared" si="60"/>
        <v>1.3636679062499999</v>
      </c>
      <c r="V24" s="9">
        <f t="shared" si="61"/>
        <v>24.242984999999997</v>
      </c>
      <c r="W24" s="9">
        <f t="shared" si="62"/>
        <v>18.148379380949997</v>
      </c>
      <c r="X24" s="9">
        <f t="shared" si="63"/>
        <v>6.8183395312499995</v>
      </c>
      <c r="Y24" s="26">
        <v>6</v>
      </c>
      <c r="Z24" s="10">
        <v>1.2861</v>
      </c>
      <c r="AA24" s="10">
        <v>3.77</v>
      </c>
      <c r="AB24" s="1"/>
      <c r="AC24" s="1"/>
      <c r="AD24" s="1"/>
      <c r="AE24" s="1"/>
      <c r="AF24" s="1"/>
    </row>
    <row r="25" spans="1:32" s="10" customFormat="1">
      <c r="A25" s="1"/>
      <c r="B25" s="1"/>
      <c r="C25" s="1"/>
      <c r="D25" s="1"/>
      <c r="E25" s="1"/>
      <c r="G25" s="13"/>
      <c r="H25" s="1"/>
      <c r="J25" s="12"/>
      <c r="K25" s="1"/>
      <c r="L25" s="1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s="10" customFormat="1">
      <c r="A26" s="1"/>
      <c r="B26" s="1"/>
      <c r="C26" s="33">
        <f>SUM(C9:C24)</f>
        <v>74.5</v>
      </c>
      <c r="D26" s="1"/>
      <c r="E26" s="1"/>
      <c r="F26" s="12"/>
      <c r="G26" s="1"/>
      <c r="H26" s="1"/>
      <c r="J26" s="12"/>
      <c r="K26" s="1"/>
      <c r="L26" s="1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s="10" customFormat="1">
      <c r="A27" s="1"/>
      <c r="B27" s="1"/>
      <c r="C27" s="1"/>
      <c r="D27" s="1"/>
      <c r="E27" s="33">
        <f>SUM(E9:E26)</f>
        <v>343.70800000000008</v>
      </c>
      <c r="F27" s="12"/>
      <c r="G27" s="1"/>
      <c r="H27" s="1">
        <f>SUM(H9:H26)</f>
        <v>3140</v>
      </c>
      <c r="J27" s="12"/>
      <c r="K27" s="1">
        <f>SUM(K9:K26)</f>
        <v>31</v>
      </c>
      <c r="L27" s="1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s="10" customFormat="1">
      <c r="A28" s="1"/>
      <c r="B28" s="1"/>
      <c r="C28" s="1"/>
      <c r="D28" s="1"/>
      <c r="E28" s="54">
        <f>+E27/16</f>
        <v>21.481750000000005</v>
      </c>
      <c r="F28" s="12"/>
      <c r="G28" s="1"/>
      <c r="H28" s="1">
        <f>+H27/16</f>
        <v>196.25</v>
      </c>
      <c r="J28" s="12"/>
      <c r="K28" s="1">
        <f>+K27/16</f>
        <v>1.9375</v>
      </c>
      <c r="L28" s="1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s="10" customFormat="1">
      <c r="A29" s="1"/>
      <c r="B29" s="1"/>
      <c r="C29" s="1"/>
      <c r="D29" s="1"/>
      <c r="E29" s="1"/>
      <c r="G29" s="13"/>
      <c r="H29" s="1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G30" s="13"/>
      <c r="H30" s="1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G31" s="13"/>
      <c r="H31" s="1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G32" s="13"/>
      <c r="H32" s="1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G33" s="13"/>
      <c r="H33" s="1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G34" s="13"/>
      <c r="H34" s="1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G35" s="13"/>
      <c r="H35" s="1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G36" s="13"/>
      <c r="H36" s="1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G37" s="13"/>
      <c r="H37" s="1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 ht="15.75">
      <c r="A40" s="1"/>
      <c r="B40" s="1"/>
      <c r="G40" s="50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 ht="15.75">
      <c r="A41" s="1"/>
      <c r="B41" s="1"/>
      <c r="C41" s="1"/>
      <c r="D41" s="1"/>
      <c r="E41" s="1"/>
      <c r="F41" s="12"/>
      <c r="G41" s="5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 ht="15.75">
      <c r="A42" s="1"/>
      <c r="B42" s="1"/>
      <c r="C42" s="1"/>
      <c r="D42" s="1"/>
      <c r="E42" s="1"/>
      <c r="G42" s="52"/>
      <c r="H42" s="1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 ht="15.75">
      <c r="A43" s="1"/>
      <c r="B43" s="1"/>
      <c r="C43" s="1"/>
      <c r="D43" s="1"/>
      <c r="E43" s="1"/>
      <c r="G43" s="52"/>
      <c r="H43" s="1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 ht="15.75">
      <c r="A44" s="1"/>
      <c r="B44" s="1"/>
      <c r="C44" s="1"/>
      <c r="D44" s="1"/>
      <c r="E44" s="1"/>
      <c r="G44" s="52"/>
      <c r="H44" s="1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G45" s="13"/>
      <c r="H45" s="1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G46" s="13"/>
      <c r="H46" s="1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G47" s="13"/>
      <c r="H47" s="1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G48" s="13"/>
      <c r="H48" s="1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</sheetData>
  <mergeCells count="25">
    <mergeCell ref="K6:K8"/>
    <mergeCell ref="A1:X1"/>
    <mergeCell ref="A2:X2"/>
    <mergeCell ref="A3:X3"/>
    <mergeCell ref="M5:R5"/>
    <mergeCell ref="S5:X5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J6:J8"/>
    <mergeCell ref="AC15:AD15"/>
    <mergeCell ref="AC23:AD23"/>
    <mergeCell ref="L6:L8"/>
    <mergeCell ref="M6:O6"/>
    <mergeCell ref="P6:R6"/>
    <mergeCell ref="S6:U6"/>
    <mergeCell ref="V6:X6"/>
    <mergeCell ref="P8:R8"/>
    <mergeCell ref="V8:X8"/>
  </mergeCells>
  <conditionalFormatting sqref="G10">
    <cfRule type="cellIs" dxfId="17" priority="17" operator="between">
      <formula>$AD$9</formula>
      <formula>0</formula>
    </cfRule>
    <cfRule type="cellIs" dxfId="16" priority="18" operator="lessThan">
      <formula>$E$10</formula>
    </cfRule>
  </conditionalFormatting>
  <conditionalFormatting sqref="G9:G24">
    <cfRule type="cellIs" dxfId="15" priority="14" operator="between">
      <formula>0</formula>
      <formula>45</formula>
    </cfRule>
    <cfRule type="cellIs" dxfId="14" priority="15" operator="lessThan">
      <formula>15.01</formula>
    </cfRule>
    <cfRule type="cellIs" dxfId="13" priority="16" operator="lessThan">
      <formula>44941</formula>
    </cfRule>
  </conditionalFormatting>
  <conditionalFormatting sqref="G9:G24">
    <cfRule type="cellIs" dxfId="12" priority="13" operator="between">
      <formula>0</formula>
      <formula>25</formula>
    </cfRule>
  </conditionalFormatting>
  <conditionalFormatting sqref="G18">
    <cfRule type="cellIs" dxfId="11" priority="11" operator="between">
      <formula>$AD$9</formula>
      <formula>0</formula>
    </cfRule>
    <cfRule type="cellIs" dxfId="10" priority="12" operator="lessThan">
      <formula>$E$10</formula>
    </cfRule>
  </conditionalFormatting>
  <conditionalFormatting sqref="G24 G20">
    <cfRule type="cellIs" dxfId="9" priority="9" operator="between">
      <formula>$AD$9</formula>
      <formula>0</formula>
    </cfRule>
    <cfRule type="cellIs" dxfId="8" priority="10" operator="lessThan">
      <formula>$E$10</formula>
    </cfRule>
  </conditionalFormatting>
  <conditionalFormatting sqref="G9:G24">
    <cfRule type="cellIs" dxfId="7" priority="7" operator="equal">
      <formula>"кам"</formula>
    </cfRule>
    <cfRule type="cellIs" dxfId="6" priority="8" operator="equal">
      <formula>"""кам"""</formula>
    </cfRule>
  </conditionalFormatting>
  <conditionalFormatting sqref="G9:L24">
    <cfRule type="cellIs" dxfId="5" priority="1" operator="equal">
      <formula>"юқори"</formula>
    </cfRule>
    <cfRule type="cellIs" dxfId="4" priority="2" operator="equal">
      <formula>"жуда юқори"</formula>
    </cfRule>
    <cfRule type="cellIs" dxfId="3" priority="3" operator="equal">
      <formula>"юқори"</formula>
    </cfRule>
    <cfRule type="cellIs" dxfId="2" priority="4" operator="equal">
      <formula>"ўртача"</formula>
    </cfRule>
    <cfRule type="cellIs" dxfId="1" priority="5" operator="equal">
      <formula>"жуда кам"</formula>
    </cfRule>
    <cfRule type="cellIs" dxfId="0" priority="6" operator="equal">
      <formula>"кам"</formula>
    </cfRule>
  </conditionalFormatting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29"/>
  <sheetViews>
    <sheetView view="pageBreakPreview" zoomScale="85" zoomScaleNormal="100" zoomScaleSheetLayoutView="85" workbookViewId="0">
      <selection activeCell="K9" sqref="K9"/>
    </sheetView>
  </sheetViews>
  <sheetFormatPr defaultRowHeight="15"/>
  <cols>
    <col min="2" max="2" width="19.7109375" customWidth="1"/>
    <col min="3" max="12" width="10.42578125" customWidth="1"/>
    <col min="13" max="13" width="13.5703125" customWidth="1"/>
  </cols>
  <sheetData>
    <row r="1" spans="1:17" ht="15.75" customHeight="1">
      <c r="A1" s="92" t="str">
        <f>Жадвал!A1</f>
        <v xml:space="preserve">Фарғона вилояти Тошлоқ тумани Араббой Тухтабой худуди Манзурахон она зийнати фермер хўжалиги томонидан суғорилиб экиладиган 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14"/>
      <c r="O1" s="14"/>
      <c r="P1" s="14"/>
      <c r="Q1" s="14"/>
    </row>
    <row r="2" spans="1:17" ht="15.75" customHeight="1">
      <c r="A2" s="93" t="s">
        <v>22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15"/>
    </row>
    <row r="3" spans="1:17" ht="15.75" customHeight="1">
      <c r="A3" s="93" t="s">
        <v>23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15"/>
    </row>
    <row r="4" spans="1:17" ht="15.75" thickBot="1"/>
    <row r="5" spans="1:17" ht="19.5" thickBot="1">
      <c r="A5" s="66" t="s">
        <v>4</v>
      </c>
      <c r="B5" s="66" t="s">
        <v>24</v>
      </c>
      <c r="C5" s="69" t="s">
        <v>25</v>
      </c>
      <c r="D5" s="70"/>
      <c r="E5" s="70"/>
      <c r="F5" s="70"/>
      <c r="G5" s="70"/>
      <c r="H5" s="70"/>
      <c r="I5" s="70"/>
      <c r="J5" s="70"/>
      <c r="K5" s="70"/>
      <c r="L5" s="71"/>
      <c r="M5" s="66" t="s">
        <v>26</v>
      </c>
    </row>
    <row r="6" spans="1:17" ht="18.75" customHeight="1">
      <c r="A6" s="67"/>
      <c r="B6" s="67"/>
      <c r="C6" s="72" t="s">
        <v>27</v>
      </c>
      <c r="D6" s="73"/>
      <c r="E6" s="74" t="s">
        <v>28</v>
      </c>
      <c r="F6" s="75"/>
      <c r="G6" s="76" t="s">
        <v>29</v>
      </c>
      <c r="H6" s="77"/>
      <c r="I6" s="78" t="s">
        <v>30</v>
      </c>
      <c r="J6" s="79"/>
      <c r="K6" s="80" t="s">
        <v>31</v>
      </c>
      <c r="L6" s="81"/>
      <c r="M6" s="67"/>
    </row>
    <row r="7" spans="1:17" ht="28.5" customHeight="1" thickBot="1">
      <c r="A7" s="67"/>
      <c r="B7" s="67"/>
      <c r="C7" s="82" t="s">
        <v>32</v>
      </c>
      <c r="D7" s="83"/>
      <c r="E7" s="84" t="s">
        <v>33</v>
      </c>
      <c r="F7" s="85"/>
      <c r="G7" s="86" t="s">
        <v>34</v>
      </c>
      <c r="H7" s="87"/>
      <c r="I7" s="88" t="s">
        <v>35</v>
      </c>
      <c r="J7" s="89"/>
      <c r="K7" s="90" t="s">
        <v>36</v>
      </c>
      <c r="L7" s="91"/>
      <c r="M7" s="68"/>
    </row>
    <row r="8" spans="1:17" ht="19.5" thickBot="1">
      <c r="A8" s="68"/>
      <c r="B8" s="68"/>
      <c r="C8" s="16" t="s">
        <v>37</v>
      </c>
      <c r="D8" s="16" t="s">
        <v>38</v>
      </c>
      <c r="E8" s="16" t="s">
        <v>37</v>
      </c>
      <c r="F8" s="16" t="s">
        <v>38</v>
      </c>
      <c r="G8" s="17" t="s">
        <v>37</v>
      </c>
      <c r="H8" s="16" t="s">
        <v>38</v>
      </c>
      <c r="I8" s="17" t="s">
        <v>37</v>
      </c>
      <c r="J8" s="16" t="s">
        <v>38</v>
      </c>
      <c r="K8" s="17" t="s">
        <v>37</v>
      </c>
      <c r="L8" s="16" t="s">
        <v>38</v>
      </c>
      <c r="M8" s="16"/>
    </row>
    <row r="9" spans="1:17" ht="42.75" customHeight="1" thickBot="1">
      <c r="A9" s="18" t="s">
        <v>39</v>
      </c>
      <c r="B9" s="19">
        <f>Жадвал!C26</f>
        <v>74.5</v>
      </c>
      <c r="C9" s="20">
        <f>SUMIF(Жадвал!G9:G24,Жадвал!AC11,Жадвал!C9:C24)</f>
        <v>26.2</v>
      </c>
      <c r="D9" s="21">
        <f>+C9/B9%</f>
        <v>35.167785234899327</v>
      </c>
      <c r="E9" s="20">
        <f>SUMIF(Жадвал!G9:G24,Жадвал!AC12,Жадвал!C9:C24)</f>
        <v>24.799999999999997</v>
      </c>
      <c r="F9" s="21">
        <f>E9/B9*100</f>
        <v>33.288590604026844</v>
      </c>
      <c r="G9" s="22">
        <f>SUMIF(Жадвал!G9:G24,Жадвал!AC10,Жадвал!C9:C24)</f>
        <v>23.5</v>
      </c>
      <c r="H9" s="21">
        <f>+G9/B9%</f>
        <v>31.543624161073826</v>
      </c>
      <c r="I9" s="22">
        <f>SUMIF(Жадвал!G9:G24,Жадвал!AC9,Жадвал!C9:C24)</f>
        <v>0</v>
      </c>
      <c r="J9" s="21">
        <f>+I9/B9%</f>
        <v>0</v>
      </c>
      <c r="K9" s="22">
        <f>SUMIF(Жадвал!G9:G24,Жадвал!AC13,Жадвал!C9:C24)</f>
        <v>0</v>
      </c>
      <c r="L9" s="21">
        <f>+K9/B9%</f>
        <v>0</v>
      </c>
      <c r="M9" s="21">
        <f>+Жадвал!E28</f>
        <v>21.481750000000005</v>
      </c>
      <c r="N9" s="34">
        <f>+L9+J9+H9+F9+D9</f>
        <v>100</v>
      </c>
    </row>
    <row r="10" spans="1:17" ht="18.75">
      <c r="M10">
        <v>86.28</v>
      </c>
      <c r="N10" s="35"/>
    </row>
    <row r="11" spans="1:17" ht="18.75">
      <c r="A11" s="92" t="str">
        <f>A1</f>
        <v xml:space="preserve">Фарғона вилояти Тошлоқ тумани Араббой Тухтабой худуди Манзурахон она зийнати фермер хўжалиги томонидан суғорилиб экиладиган </v>
      </c>
      <c r="B11" s="92"/>
      <c r="C11" s="92"/>
      <c r="D11" s="92"/>
      <c r="E11" s="92"/>
      <c r="F11" s="92"/>
      <c r="G11" s="92"/>
      <c r="H11" s="92"/>
      <c r="I11" s="92"/>
      <c r="J11" s="92"/>
      <c r="K11" s="92"/>
      <c r="L11" s="92"/>
      <c r="M11" s="92"/>
      <c r="N11" s="35"/>
    </row>
    <row r="12" spans="1:17" ht="18.75">
      <c r="A12" s="93" t="s">
        <v>40</v>
      </c>
      <c r="B12" s="93"/>
      <c r="C12" s="93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35"/>
    </row>
    <row r="13" spans="1:17" ht="18.75">
      <c r="A13" s="93" t="s">
        <v>23</v>
      </c>
      <c r="B13" s="93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35"/>
    </row>
    <row r="14" spans="1:17" ht="19.5" thickBot="1">
      <c r="N14" s="35"/>
    </row>
    <row r="15" spans="1:17" ht="19.5" thickBot="1">
      <c r="A15" s="66" t="s">
        <v>4</v>
      </c>
      <c r="B15" s="66" t="s">
        <v>24</v>
      </c>
      <c r="C15" s="69" t="s">
        <v>41</v>
      </c>
      <c r="D15" s="70"/>
      <c r="E15" s="70"/>
      <c r="F15" s="70"/>
      <c r="G15" s="70"/>
      <c r="H15" s="70"/>
      <c r="I15" s="70"/>
      <c r="J15" s="70"/>
      <c r="K15" s="70"/>
      <c r="L15" s="71"/>
      <c r="M15" s="66" t="s">
        <v>26</v>
      </c>
      <c r="N15" s="35"/>
    </row>
    <row r="16" spans="1:17" ht="18.75" customHeight="1">
      <c r="A16" s="67"/>
      <c r="B16" s="67"/>
      <c r="C16" s="72" t="s">
        <v>27</v>
      </c>
      <c r="D16" s="73"/>
      <c r="E16" s="74" t="s">
        <v>28</v>
      </c>
      <c r="F16" s="75"/>
      <c r="G16" s="76" t="s">
        <v>29</v>
      </c>
      <c r="H16" s="77"/>
      <c r="I16" s="78" t="s">
        <v>30</v>
      </c>
      <c r="J16" s="79"/>
      <c r="K16" s="80" t="s">
        <v>31</v>
      </c>
      <c r="L16" s="81"/>
      <c r="M16" s="67"/>
      <c r="N16" s="35"/>
    </row>
    <row r="17" spans="1:14" ht="30" customHeight="1" thickBot="1">
      <c r="A17" s="67"/>
      <c r="B17" s="67"/>
      <c r="C17" s="82" t="s">
        <v>42</v>
      </c>
      <c r="D17" s="83"/>
      <c r="E17" s="84" t="s">
        <v>43</v>
      </c>
      <c r="F17" s="85"/>
      <c r="G17" s="86" t="s">
        <v>44</v>
      </c>
      <c r="H17" s="87"/>
      <c r="I17" s="88" t="s">
        <v>45</v>
      </c>
      <c r="J17" s="89"/>
      <c r="K17" s="90" t="s">
        <v>46</v>
      </c>
      <c r="L17" s="91"/>
      <c r="M17" s="68"/>
      <c r="N17" s="35"/>
    </row>
    <row r="18" spans="1:14" ht="19.5" thickBot="1">
      <c r="A18" s="68"/>
      <c r="B18" s="68"/>
      <c r="C18" s="16" t="s">
        <v>37</v>
      </c>
      <c r="D18" s="16" t="s">
        <v>38</v>
      </c>
      <c r="E18" s="16" t="s">
        <v>37</v>
      </c>
      <c r="F18" s="16" t="s">
        <v>38</v>
      </c>
      <c r="G18" s="17" t="s">
        <v>37</v>
      </c>
      <c r="H18" s="16" t="s">
        <v>38</v>
      </c>
      <c r="I18" s="17" t="s">
        <v>37</v>
      </c>
      <c r="J18" s="16" t="s">
        <v>38</v>
      </c>
      <c r="K18" s="17" t="s">
        <v>37</v>
      </c>
      <c r="L18" s="16" t="s">
        <v>38</v>
      </c>
      <c r="M18" s="16"/>
      <c r="N18" s="35"/>
    </row>
    <row r="19" spans="1:14" ht="42.75" customHeight="1" thickBot="1">
      <c r="A19" s="18" t="s">
        <v>39</v>
      </c>
      <c r="B19" s="19">
        <f>+B9</f>
        <v>74.5</v>
      </c>
      <c r="C19" s="20">
        <f>SUMIF(Жадвал!J9:J24,Жадвал!AC11,Жадвал!C9:C24)</f>
        <v>0</v>
      </c>
      <c r="D19" s="21">
        <f>+C19/B19%</f>
        <v>0</v>
      </c>
      <c r="E19" s="20">
        <f>SUMIF(Жадвал!J9:J24,Жадвал!AC12,Жадвал!C9:C24)</f>
        <v>59.1</v>
      </c>
      <c r="F19" s="21">
        <f>+E19/B19%</f>
        <v>79.328859060402692</v>
      </c>
      <c r="G19" s="22">
        <f>SUMIF(Жадвал!J9:J24,Жадвал!AC10,Жадвал!C9:C24)</f>
        <v>15.399999999999999</v>
      </c>
      <c r="H19" s="21">
        <f>G19/B19*100</f>
        <v>20.671140939597311</v>
      </c>
      <c r="I19" s="22">
        <f>SUMIF(Жадвал!J9:J24,Жадвал!AC9,Жадвал!C9:C24)</f>
        <v>0</v>
      </c>
      <c r="J19" s="21">
        <f>+I19/B19%</f>
        <v>0</v>
      </c>
      <c r="K19" s="22">
        <f>SUMIF(Жадвал!J9:J24,Жадвал!AC13,Жадвал!C9:C24)</f>
        <v>0</v>
      </c>
      <c r="L19" s="21">
        <f>+K19/B19%</f>
        <v>0</v>
      </c>
      <c r="M19" s="21">
        <f>+Жадвал!H28</f>
        <v>196.25</v>
      </c>
      <c r="N19" s="34">
        <f>+L19+J19+H19+F19+D19</f>
        <v>100</v>
      </c>
    </row>
    <row r="20" spans="1:14" ht="18.75">
      <c r="N20" s="35"/>
    </row>
    <row r="21" spans="1:14" ht="18.75">
      <c r="A21" s="92" t="str">
        <f>A1</f>
        <v xml:space="preserve">Фарғона вилояти Тошлоқ тумани Араббой Тухтабой худуди Манзурахон она зийнати фермер хўжалиги томонидан суғорилиб экиладиган </v>
      </c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35"/>
    </row>
    <row r="22" spans="1:14" ht="18.75">
      <c r="A22" s="93" t="s">
        <v>47</v>
      </c>
      <c r="B22" s="93"/>
      <c r="C22" s="93"/>
      <c r="D22" s="93"/>
      <c r="E22" s="93"/>
      <c r="F22" s="93"/>
      <c r="G22" s="93"/>
      <c r="H22" s="93"/>
      <c r="I22" s="93"/>
      <c r="J22" s="93"/>
      <c r="K22" s="93"/>
      <c r="L22" s="93"/>
      <c r="M22" s="93"/>
      <c r="N22" s="35"/>
    </row>
    <row r="23" spans="1:14" ht="18.75">
      <c r="A23" s="93" t="s">
        <v>23</v>
      </c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35"/>
    </row>
    <row r="24" spans="1:14" ht="19.5" thickBot="1">
      <c r="N24" s="35"/>
    </row>
    <row r="25" spans="1:14" ht="19.5" thickBot="1">
      <c r="A25" s="66" t="s">
        <v>4</v>
      </c>
      <c r="B25" s="66" t="s">
        <v>24</v>
      </c>
      <c r="C25" s="69" t="s">
        <v>48</v>
      </c>
      <c r="D25" s="70"/>
      <c r="E25" s="70"/>
      <c r="F25" s="70"/>
      <c r="G25" s="70"/>
      <c r="H25" s="70"/>
      <c r="I25" s="70"/>
      <c r="J25" s="70"/>
      <c r="K25" s="70"/>
      <c r="L25" s="71"/>
      <c r="M25" s="66" t="s">
        <v>49</v>
      </c>
      <c r="N25" s="35"/>
    </row>
    <row r="26" spans="1:14" ht="18.75" customHeight="1">
      <c r="A26" s="67"/>
      <c r="B26" s="67"/>
      <c r="C26" s="72" t="s">
        <v>27</v>
      </c>
      <c r="D26" s="73"/>
      <c r="E26" s="74" t="s">
        <v>28</v>
      </c>
      <c r="F26" s="75"/>
      <c r="G26" s="76" t="s">
        <v>29</v>
      </c>
      <c r="H26" s="77"/>
      <c r="I26" s="78" t="s">
        <v>30</v>
      </c>
      <c r="J26" s="79"/>
      <c r="K26" s="80" t="s">
        <v>31</v>
      </c>
      <c r="L26" s="81"/>
      <c r="M26" s="67"/>
      <c r="N26" s="35"/>
    </row>
    <row r="27" spans="1:14" ht="27.75" customHeight="1" thickBot="1">
      <c r="A27" s="67"/>
      <c r="B27" s="67"/>
      <c r="C27" s="82" t="s">
        <v>50</v>
      </c>
      <c r="D27" s="83"/>
      <c r="E27" s="84" t="s">
        <v>51</v>
      </c>
      <c r="F27" s="85"/>
      <c r="G27" s="86" t="s">
        <v>52</v>
      </c>
      <c r="H27" s="87"/>
      <c r="I27" s="88" t="s">
        <v>53</v>
      </c>
      <c r="J27" s="89"/>
      <c r="K27" s="90" t="s">
        <v>54</v>
      </c>
      <c r="L27" s="91"/>
      <c r="M27" s="68"/>
      <c r="N27" s="35"/>
    </row>
    <row r="28" spans="1:14" ht="19.5" thickBot="1">
      <c r="A28" s="68"/>
      <c r="B28" s="68"/>
      <c r="C28" s="16" t="s">
        <v>37</v>
      </c>
      <c r="D28" s="16" t="s">
        <v>38</v>
      </c>
      <c r="E28" s="16" t="s">
        <v>37</v>
      </c>
      <c r="F28" s="16" t="s">
        <v>38</v>
      </c>
      <c r="G28" s="17" t="s">
        <v>37</v>
      </c>
      <c r="H28" s="16" t="s">
        <v>38</v>
      </c>
      <c r="I28" s="17" t="s">
        <v>37</v>
      </c>
      <c r="J28" s="16" t="s">
        <v>38</v>
      </c>
      <c r="K28" s="17" t="s">
        <v>37</v>
      </c>
      <c r="L28" s="16" t="s">
        <v>38</v>
      </c>
      <c r="M28" s="16"/>
      <c r="N28" s="35"/>
    </row>
    <row r="29" spans="1:14" ht="42.75" customHeight="1" thickBot="1">
      <c r="A29" s="18" t="s">
        <v>39</v>
      </c>
      <c r="B29" s="19">
        <f>+B9</f>
        <v>74.5</v>
      </c>
      <c r="C29" s="20">
        <f>SUMIF(Жадвал!L9:L24,Жадвал!AC11,Жадвал!C9:C24)</f>
        <v>0</v>
      </c>
      <c r="D29" s="21">
        <f>+C29/B29%</f>
        <v>0</v>
      </c>
      <c r="E29" s="20">
        <f>SUMIF(Жадвал!L9:L24,Жадвал!AC12,Жадвал!C9:C24)</f>
        <v>0</v>
      </c>
      <c r="F29" s="21">
        <f>+E29/B29%</f>
        <v>0</v>
      </c>
      <c r="G29" s="22">
        <f>SUMIF(Жадвал!L9:L24,Жадвал!AC10,Жадвал!C9:C24)</f>
        <v>11.399999999999999</v>
      </c>
      <c r="H29" s="21">
        <f>+G29/B29%</f>
        <v>15.30201342281879</v>
      </c>
      <c r="I29" s="25">
        <f>SUMIF(Жадвал!L9:L24,Жадвал!AC9,Жадвал!C9:C24)</f>
        <v>42</v>
      </c>
      <c r="J29" s="21">
        <f>+I29/B29%</f>
        <v>56.375838926174495</v>
      </c>
      <c r="K29" s="22">
        <f>SUMIF(Жадвал!L9:L24,Жадвал!AC13,Жадвал!C9:C24)</f>
        <v>21.099999999999998</v>
      </c>
      <c r="L29" s="21">
        <f>+K29/B29%</f>
        <v>28.322147651006709</v>
      </c>
      <c r="M29" s="23">
        <f>+Жадвал!K28</f>
        <v>1.9375</v>
      </c>
      <c r="N29" s="34">
        <f>+L29+J29+H29+F29+D29</f>
        <v>100</v>
      </c>
    </row>
  </sheetData>
  <mergeCells count="51">
    <mergeCell ref="A1:M1"/>
    <mergeCell ref="A2:M2"/>
    <mergeCell ref="A3:M3"/>
    <mergeCell ref="A5:A8"/>
    <mergeCell ref="B5:B8"/>
    <mergeCell ref="C5:L5"/>
    <mergeCell ref="M5:M7"/>
    <mergeCell ref="C6:D6"/>
    <mergeCell ref="E6:F6"/>
    <mergeCell ref="G6:H6"/>
    <mergeCell ref="I6:J6"/>
    <mergeCell ref="K6:L6"/>
    <mergeCell ref="C7:D7"/>
    <mergeCell ref="E7:F7"/>
    <mergeCell ref="G7:H7"/>
    <mergeCell ref="I7:J7"/>
    <mergeCell ref="K7:L7"/>
    <mergeCell ref="A11:M11"/>
    <mergeCell ref="A12:M12"/>
    <mergeCell ref="A13:M13"/>
    <mergeCell ref="A15:A18"/>
    <mergeCell ref="B15:B18"/>
    <mergeCell ref="C15:L15"/>
    <mergeCell ref="M15:M17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A21:M21"/>
    <mergeCell ref="A22:M22"/>
    <mergeCell ref="A23:M23"/>
    <mergeCell ref="A25:A28"/>
    <mergeCell ref="B25:B28"/>
    <mergeCell ref="C25:L25"/>
    <mergeCell ref="M25:M27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0" orientation="landscape" r:id="rId1"/>
  <colBreaks count="1" manualBreakCount="1">
    <brk id="13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F48"/>
  <sheetViews>
    <sheetView zoomScale="85" zoomScaleNormal="85" zoomScaleSheetLayoutView="95" workbookViewId="0">
      <selection activeCell="M26" sqref="M26"/>
    </sheetView>
  </sheetViews>
  <sheetFormatPr defaultRowHeight="15"/>
  <cols>
    <col min="1" max="1" width="4.5703125" style="1" customWidth="1"/>
    <col min="2" max="2" width="14.7109375" style="1" bestFit="1" customWidth="1"/>
    <col min="3" max="3" width="11.7109375" style="1" bestFit="1" customWidth="1"/>
    <col min="4" max="4" width="13" style="1" customWidth="1"/>
    <col min="5" max="5" width="10.140625" style="1" customWidth="1"/>
    <col min="6" max="6" width="9.5703125" style="10" customWidth="1"/>
    <col min="7" max="7" width="11" style="13" customWidth="1"/>
    <col min="8" max="8" width="6.85546875" style="1" customWidth="1"/>
    <col min="9" max="9" width="7.140625" style="10" customWidth="1"/>
    <col min="10" max="10" width="11.85546875" style="12" customWidth="1"/>
    <col min="11" max="11" width="7.140625" style="1" customWidth="1"/>
    <col min="12" max="12" width="11.7109375" style="12" customWidth="1"/>
    <col min="13" max="24" width="8.5703125" style="1" customWidth="1"/>
    <col min="25" max="28" width="9.140625" style="1"/>
    <col min="29" max="29" width="11.5703125" style="1" customWidth="1"/>
    <col min="30" max="30" width="11.7109375" style="1" bestFit="1" customWidth="1"/>
    <col min="31" max="16384" width="9.140625" style="1"/>
  </cols>
  <sheetData>
    <row r="1" spans="1:25" ht="20.25">
      <c r="A1" s="59" t="s">
        <v>73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</row>
    <row r="2" spans="1:25" ht="20.25">
      <c r="A2" s="59" t="s">
        <v>0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</row>
    <row r="3" spans="1:25" ht="20.25">
      <c r="A3" s="59" t="s">
        <v>1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</row>
    <row r="4" spans="1:25" ht="12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pans="1:25" ht="15.75" customHeight="1">
      <c r="A5" s="2"/>
      <c r="B5" s="2"/>
      <c r="C5" s="2"/>
      <c r="D5" s="2"/>
      <c r="E5" s="2"/>
      <c r="F5" s="3"/>
      <c r="G5" s="4"/>
      <c r="H5" s="2"/>
      <c r="I5" s="3"/>
      <c r="J5" s="4"/>
      <c r="K5" s="2"/>
      <c r="L5" s="4"/>
    </row>
    <row r="6" spans="1:25" ht="50.25" customHeight="1">
      <c r="A6" s="57" t="s">
        <v>4</v>
      </c>
      <c r="B6" s="56" t="s">
        <v>5</v>
      </c>
      <c r="C6" s="56" t="s">
        <v>6</v>
      </c>
      <c r="D6" s="56" t="s">
        <v>7</v>
      </c>
      <c r="E6" s="57" t="s">
        <v>16</v>
      </c>
      <c r="F6" s="57"/>
      <c r="G6" s="57"/>
      <c r="H6" s="57" t="s">
        <v>64</v>
      </c>
      <c r="I6" s="57"/>
      <c r="J6" s="57"/>
      <c r="K6" s="57"/>
      <c r="L6" s="57"/>
      <c r="M6" s="57"/>
      <c r="N6" s="57"/>
      <c r="O6" s="57"/>
      <c r="P6" s="57"/>
    </row>
    <row r="7" spans="1:25" ht="60" customHeight="1">
      <c r="A7" s="57"/>
      <c r="B7" s="56"/>
      <c r="C7" s="56"/>
      <c r="D7" s="56"/>
      <c r="E7" s="94" t="s">
        <v>17</v>
      </c>
      <c r="F7" s="94" t="s">
        <v>18</v>
      </c>
      <c r="G7" s="94" t="s">
        <v>19</v>
      </c>
      <c r="H7" s="96" t="s">
        <v>65</v>
      </c>
      <c r="I7" s="96"/>
      <c r="J7" s="53" t="s">
        <v>66</v>
      </c>
      <c r="K7" s="43" t="s">
        <v>67</v>
      </c>
      <c r="L7" s="53" t="s">
        <v>68</v>
      </c>
      <c r="M7" s="96" t="s">
        <v>69</v>
      </c>
      <c r="N7" s="96"/>
      <c r="O7" s="96" t="s">
        <v>70</v>
      </c>
      <c r="P7" s="96"/>
    </row>
    <row r="8" spans="1:25" ht="22.5" customHeight="1">
      <c r="A8" s="57"/>
      <c r="B8" s="56"/>
      <c r="C8" s="56"/>
      <c r="D8" s="56"/>
      <c r="E8" s="95"/>
      <c r="F8" s="95"/>
      <c r="G8" s="95"/>
      <c r="H8" s="53" t="s">
        <v>71</v>
      </c>
      <c r="I8" s="53" t="s">
        <v>72</v>
      </c>
      <c r="J8" s="53" t="s">
        <v>17</v>
      </c>
      <c r="K8" s="53" t="s">
        <v>71</v>
      </c>
      <c r="L8" s="53" t="s">
        <v>17</v>
      </c>
      <c r="M8" s="53" t="s">
        <v>17</v>
      </c>
      <c r="N8" s="53" t="s">
        <v>72</v>
      </c>
      <c r="O8" s="53" t="s">
        <v>17</v>
      </c>
      <c r="P8" s="53" t="s">
        <v>71</v>
      </c>
      <c r="Q8" s="44" t="s">
        <v>17</v>
      </c>
      <c r="R8" s="44" t="s">
        <v>71</v>
      </c>
      <c r="S8" s="44" t="s">
        <v>72</v>
      </c>
      <c r="T8" s="45"/>
      <c r="U8" s="45"/>
      <c r="V8" s="45"/>
      <c r="W8" s="44" t="s">
        <v>17</v>
      </c>
      <c r="X8" s="44" t="s">
        <v>71</v>
      </c>
      <c r="Y8" s="44" t="s">
        <v>72</v>
      </c>
    </row>
    <row r="9" spans="1:25" s="10" customFormat="1">
      <c r="A9" s="6">
        <v>1</v>
      </c>
      <c r="B9" s="24">
        <v>1501</v>
      </c>
      <c r="C9" s="38">
        <v>5</v>
      </c>
      <c r="D9" s="7" t="s">
        <v>61</v>
      </c>
      <c r="E9" s="9">
        <v>24.242984999999997</v>
      </c>
      <c r="F9" s="9">
        <v>12.3331068224</v>
      </c>
      <c r="G9" s="9">
        <v>6.6819727406249996</v>
      </c>
      <c r="H9" s="46">
        <f t="shared" ref="H9:I10" si="0">+F9</f>
        <v>12.3331068224</v>
      </c>
      <c r="I9" s="46">
        <f t="shared" si="0"/>
        <v>6.6819727406249996</v>
      </c>
      <c r="J9" s="46">
        <f t="shared" ref="J9:J10" si="1">+E9*0.15</f>
        <v>3.6364477499999994</v>
      </c>
      <c r="K9" s="46"/>
      <c r="L9" s="46">
        <f t="shared" ref="L9:L10" si="2">+E9*0.35</f>
        <v>8.4850447499999984</v>
      </c>
      <c r="M9" s="46">
        <f t="shared" ref="M9:M10" si="3">+E9*0.35</f>
        <v>8.4850447499999984</v>
      </c>
      <c r="N9" s="46"/>
      <c r="O9" s="46">
        <f t="shared" ref="O9:O10" si="4">+E9*0.15</f>
        <v>3.6364477499999994</v>
      </c>
      <c r="P9" s="46"/>
      <c r="Q9" s="47">
        <f t="shared" ref="Q9:Q19" si="5">+O9+M9+L9+J9</f>
        <v>24.242984999999994</v>
      </c>
      <c r="R9" s="48">
        <f t="shared" ref="R9:R19" si="6">+P9+K9+H9</f>
        <v>12.3331068224</v>
      </c>
      <c r="S9" s="48">
        <f t="shared" ref="S9:S19" si="7">+N9+I9</f>
        <v>6.6819727406249996</v>
      </c>
      <c r="T9" s="49">
        <f t="shared" ref="T9:V19" si="8">+Q9-E9</f>
        <v>0</v>
      </c>
      <c r="U9" s="49">
        <f t="shared" si="8"/>
        <v>0</v>
      </c>
      <c r="V9" s="49">
        <f t="shared" si="8"/>
        <v>0</v>
      </c>
      <c r="W9" s="47">
        <f t="shared" ref="W9:W19" si="9">+E9/C9</f>
        <v>4.8485969999999998</v>
      </c>
      <c r="X9" s="47">
        <f t="shared" ref="X9:X19" si="10">+F9/C9</f>
        <v>2.4666213644799999</v>
      </c>
      <c r="Y9" s="47">
        <f t="shared" ref="Y9:Y19" si="11">+G9/C9</f>
        <v>1.3363945481249999</v>
      </c>
    </row>
    <row r="10" spans="1:25" s="10" customFormat="1">
      <c r="A10" s="6">
        <v>2</v>
      </c>
      <c r="B10" s="24">
        <v>1501</v>
      </c>
      <c r="C10" s="38">
        <v>3.7</v>
      </c>
      <c r="D10" s="7" t="s">
        <v>61</v>
      </c>
      <c r="E10" s="9">
        <v>17.939808899999999</v>
      </c>
      <c r="F10" s="9">
        <v>12.894975172352</v>
      </c>
      <c r="G10" s="9">
        <v>5.0455712531249999</v>
      </c>
      <c r="H10" s="46">
        <f t="shared" si="0"/>
        <v>12.894975172352</v>
      </c>
      <c r="I10" s="46">
        <f t="shared" si="0"/>
        <v>5.0455712531249999</v>
      </c>
      <c r="J10" s="46">
        <f t="shared" si="1"/>
        <v>2.690971335</v>
      </c>
      <c r="K10" s="46"/>
      <c r="L10" s="46">
        <f t="shared" si="2"/>
        <v>6.2789331149999992</v>
      </c>
      <c r="M10" s="46">
        <f t="shared" si="3"/>
        <v>6.2789331149999992</v>
      </c>
      <c r="N10" s="46"/>
      <c r="O10" s="46">
        <f t="shared" si="4"/>
        <v>2.690971335</v>
      </c>
      <c r="P10" s="46"/>
      <c r="Q10" s="47">
        <f t="shared" si="5"/>
        <v>17.939808899999999</v>
      </c>
      <c r="R10" s="48">
        <f t="shared" si="6"/>
        <v>12.894975172352</v>
      </c>
      <c r="S10" s="48">
        <f t="shared" si="7"/>
        <v>5.0455712531249999</v>
      </c>
      <c r="T10" s="49">
        <f t="shared" si="8"/>
        <v>0</v>
      </c>
      <c r="U10" s="49">
        <f t="shared" si="8"/>
        <v>0</v>
      </c>
      <c r="V10" s="49">
        <f t="shared" si="8"/>
        <v>0</v>
      </c>
      <c r="W10" s="47">
        <f t="shared" si="9"/>
        <v>4.8485969999999998</v>
      </c>
      <c r="X10" s="47">
        <f t="shared" si="10"/>
        <v>3.4851284249599996</v>
      </c>
      <c r="Y10" s="47">
        <f t="shared" si="11"/>
        <v>1.3636679062499999</v>
      </c>
    </row>
    <row r="11" spans="1:25" s="10" customFormat="1">
      <c r="A11" s="6">
        <v>3</v>
      </c>
      <c r="B11" s="24">
        <v>1510</v>
      </c>
      <c r="C11" s="38">
        <v>4.8</v>
      </c>
      <c r="D11" s="7" t="s">
        <v>62</v>
      </c>
      <c r="E11" s="9">
        <v>37.039679999999997</v>
      </c>
      <c r="F11" s="9">
        <v>30.417026371199999</v>
      </c>
      <c r="G11" s="9">
        <v>16.494232499999999</v>
      </c>
      <c r="H11" s="46">
        <f t="shared" ref="H11:H19" si="12">+F11*0.7</f>
        <v>21.291918459839998</v>
      </c>
      <c r="I11" s="46">
        <f t="shared" ref="I11:I19" si="13">+G11*0.5</f>
        <v>8.2471162499999995</v>
      </c>
      <c r="J11" s="46">
        <f t="shared" ref="J11:J19" si="14">+E11*0.25</f>
        <v>9.2599199999999993</v>
      </c>
      <c r="K11" s="46">
        <f t="shared" ref="K11:K19" si="15">+F11*0.15</f>
        <v>4.5625539556799994</v>
      </c>
      <c r="L11" s="46">
        <f t="shared" ref="L11:L19" si="16">+E11*0.25</f>
        <v>9.2599199999999993</v>
      </c>
      <c r="M11" s="46">
        <f t="shared" ref="M11:M19" si="17">+E11*0.25</f>
        <v>9.2599199999999993</v>
      </c>
      <c r="N11" s="46">
        <f t="shared" ref="N11:N19" si="18">+G11*0.5</f>
        <v>8.2471162499999995</v>
      </c>
      <c r="O11" s="46">
        <f t="shared" ref="O11:O19" si="19">+E11*0.25</f>
        <v>9.2599199999999993</v>
      </c>
      <c r="P11" s="46">
        <f t="shared" ref="P11:P19" si="20">+F11*0.15</f>
        <v>4.5625539556799994</v>
      </c>
      <c r="Q11" s="47">
        <f t="shared" si="5"/>
        <v>37.039679999999997</v>
      </c>
      <c r="R11" s="48">
        <f t="shared" si="6"/>
        <v>30.417026371199995</v>
      </c>
      <c r="S11" s="48">
        <f t="shared" si="7"/>
        <v>16.494232499999999</v>
      </c>
      <c r="T11" s="49">
        <f t="shared" si="8"/>
        <v>0</v>
      </c>
      <c r="U11" s="49">
        <f t="shared" si="8"/>
        <v>0</v>
      </c>
      <c r="V11" s="49">
        <f t="shared" si="8"/>
        <v>0</v>
      </c>
      <c r="W11" s="47">
        <f t="shared" si="9"/>
        <v>7.7165999999999997</v>
      </c>
      <c r="X11" s="47">
        <f t="shared" si="10"/>
        <v>6.3368804939999999</v>
      </c>
      <c r="Y11" s="47">
        <f t="shared" si="11"/>
        <v>3.4362984375000001</v>
      </c>
    </row>
    <row r="12" spans="1:25">
      <c r="A12" s="6">
        <v>4</v>
      </c>
      <c r="B12" s="24" t="s">
        <v>74</v>
      </c>
      <c r="C12" s="38">
        <v>6.4</v>
      </c>
      <c r="D12" s="7" t="s">
        <v>62</v>
      </c>
      <c r="E12" s="9">
        <v>49.386240000000001</v>
      </c>
      <c r="F12" s="9">
        <v>26.405999424000001</v>
      </c>
      <c r="G12" s="9">
        <v>24.770285999999999</v>
      </c>
      <c r="H12" s="46">
        <f t="shared" si="12"/>
        <v>18.4841995968</v>
      </c>
      <c r="I12" s="46">
        <f t="shared" si="13"/>
        <v>12.385142999999999</v>
      </c>
      <c r="J12" s="46">
        <f t="shared" si="14"/>
        <v>12.34656</v>
      </c>
      <c r="K12" s="46">
        <f t="shared" si="15"/>
        <v>3.9608999136</v>
      </c>
      <c r="L12" s="46">
        <f t="shared" si="16"/>
        <v>12.34656</v>
      </c>
      <c r="M12" s="46">
        <f t="shared" si="17"/>
        <v>12.34656</v>
      </c>
      <c r="N12" s="46">
        <f t="shared" si="18"/>
        <v>12.385142999999999</v>
      </c>
      <c r="O12" s="46">
        <f t="shared" si="19"/>
        <v>12.34656</v>
      </c>
      <c r="P12" s="46">
        <f t="shared" si="20"/>
        <v>3.9608999136</v>
      </c>
      <c r="Q12" s="47">
        <f t="shared" si="5"/>
        <v>49.386240000000001</v>
      </c>
      <c r="R12" s="48">
        <f t="shared" si="6"/>
        <v>26.405999424000001</v>
      </c>
      <c r="S12" s="48">
        <f t="shared" si="7"/>
        <v>24.770285999999999</v>
      </c>
      <c r="T12" s="49">
        <f t="shared" si="8"/>
        <v>0</v>
      </c>
      <c r="U12" s="49">
        <f t="shared" si="8"/>
        <v>0</v>
      </c>
      <c r="V12" s="49">
        <f t="shared" si="8"/>
        <v>0</v>
      </c>
      <c r="W12" s="47">
        <f t="shared" si="9"/>
        <v>7.7165999999999997</v>
      </c>
      <c r="X12" s="47">
        <f t="shared" si="10"/>
        <v>4.1259374099999997</v>
      </c>
      <c r="Y12" s="47">
        <f t="shared" si="11"/>
        <v>3.8703571874999998</v>
      </c>
    </row>
    <row r="13" spans="1:25" ht="15" customHeight="1">
      <c r="A13" s="6">
        <v>5</v>
      </c>
      <c r="B13" s="24" t="s">
        <v>75</v>
      </c>
      <c r="C13" s="38">
        <v>5</v>
      </c>
      <c r="D13" s="7" t="s">
        <v>62</v>
      </c>
      <c r="E13" s="9">
        <v>38.582999999999998</v>
      </c>
      <c r="F13" s="9">
        <v>33.562965869999992</v>
      </c>
      <c r="G13" s="9">
        <v>18.6283546875</v>
      </c>
      <c r="H13" s="46">
        <f t="shared" si="12"/>
        <v>23.494076108999995</v>
      </c>
      <c r="I13" s="46">
        <f t="shared" si="13"/>
        <v>9.3141773437499999</v>
      </c>
      <c r="J13" s="46">
        <f t="shared" si="14"/>
        <v>9.6457499999999996</v>
      </c>
      <c r="K13" s="46">
        <f t="shared" si="15"/>
        <v>5.0344448804999988</v>
      </c>
      <c r="L13" s="46">
        <f t="shared" si="16"/>
        <v>9.6457499999999996</v>
      </c>
      <c r="M13" s="46">
        <f t="shared" si="17"/>
        <v>9.6457499999999996</v>
      </c>
      <c r="N13" s="46">
        <f t="shared" si="18"/>
        <v>9.3141773437499999</v>
      </c>
      <c r="O13" s="46">
        <f t="shared" si="19"/>
        <v>9.6457499999999996</v>
      </c>
      <c r="P13" s="46">
        <f t="shared" si="20"/>
        <v>5.0344448804999988</v>
      </c>
      <c r="Q13" s="47">
        <f t="shared" si="5"/>
        <v>38.582999999999998</v>
      </c>
      <c r="R13" s="48">
        <f t="shared" si="6"/>
        <v>33.562965869999992</v>
      </c>
      <c r="S13" s="48">
        <f t="shared" si="7"/>
        <v>18.6283546875</v>
      </c>
      <c r="T13" s="49">
        <f t="shared" si="8"/>
        <v>0</v>
      </c>
      <c r="U13" s="49">
        <f t="shared" si="8"/>
        <v>0</v>
      </c>
      <c r="V13" s="49">
        <f t="shared" si="8"/>
        <v>0</v>
      </c>
      <c r="W13" s="47">
        <f t="shared" si="9"/>
        <v>7.7165999999999997</v>
      </c>
      <c r="X13" s="47">
        <f t="shared" si="10"/>
        <v>6.7125931739999984</v>
      </c>
      <c r="Y13" s="47">
        <f t="shared" si="11"/>
        <v>3.7256709374999999</v>
      </c>
    </row>
    <row r="14" spans="1:25">
      <c r="A14" s="6">
        <v>6</v>
      </c>
      <c r="B14" s="24" t="s">
        <v>75</v>
      </c>
      <c r="C14" s="38">
        <v>2.4</v>
      </c>
      <c r="D14" s="7" t="s">
        <v>63</v>
      </c>
      <c r="E14" s="9">
        <v>18.519839999999999</v>
      </c>
      <c r="F14" s="9">
        <v>10.838242497599998</v>
      </c>
      <c r="G14" s="9">
        <v>8.4786142499999997</v>
      </c>
      <c r="H14" s="46">
        <f t="shared" si="12"/>
        <v>7.5867697483199983</v>
      </c>
      <c r="I14" s="46">
        <f t="shared" si="13"/>
        <v>4.2393071249999998</v>
      </c>
      <c r="J14" s="46">
        <f t="shared" si="14"/>
        <v>4.6299599999999996</v>
      </c>
      <c r="K14" s="46">
        <f t="shared" si="15"/>
        <v>1.6257363746399995</v>
      </c>
      <c r="L14" s="46">
        <f t="shared" si="16"/>
        <v>4.6299599999999996</v>
      </c>
      <c r="M14" s="46">
        <f t="shared" si="17"/>
        <v>4.6299599999999996</v>
      </c>
      <c r="N14" s="46">
        <f t="shared" si="18"/>
        <v>4.2393071249999998</v>
      </c>
      <c r="O14" s="46">
        <f t="shared" si="19"/>
        <v>4.6299599999999996</v>
      </c>
      <c r="P14" s="46">
        <f t="shared" si="20"/>
        <v>1.6257363746399995</v>
      </c>
      <c r="Q14" s="47">
        <f t="shared" si="5"/>
        <v>18.519839999999999</v>
      </c>
      <c r="R14" s="48">
        <f t="shared" si="6"/>
        <v>10.838242497599998</v>
      </c>
      <c r="S14" s="48">
        <f t="shared" si="7"/>
        <v>8.4786142499999997</v>
      </c>
      <c r="T14" s="49">
        <f t="shared" si="8"/>
        <v>0</v>
      </c>
      <c r="U14" s="49">
        <f t="shared" si="8"/>
        <v>0</v>
      </c>
      <c r="V14" s="49">
        <f t="shared" si="8"/>
        <v>0</v>
      </c>
      <c r="W14" s="47">
        <f t="shared" si="9"/>
        <v>7.7165999999999997</v>
      </c>
      <c r="X14" s="47">
        <f t="shared" si="10"/>
        <v>4.5159343739999995</v>
      </c>
      <c r="Y14" s="47">
        <f t="shared" si="11"/>
        <v>3.5327559375000002</v>
      </c>
    </row>
    <row r="15" spans="1:25">
      <c r="A15" s="6">
        <v>7</v>
      </c>
      <c r="B15" s="24" t="s">
        <v>76</v>
      </c>
      <c r="C15" s="38">
        <v>5</v>
      </c>
      <c r="D15" s="7" t="s">
        <v>63</v>
      </c>
      <c r="E15" s="9">
        <v>38.582999999999998</v>
      </c>
      <c r="F15" s="9">
        <v>21.780532199999996</v>
      </c>
      <c r="G15" s="9">
        <v>17.060920312499999</v>
      </c>
      <c r="H15" s="46">
        <f t="shared" si="12"/>
        <v>15.246372539999996</v>
      </c>
      <c r="I15" s="46">
        <f t="shared" si="13"/>
        <v>8.5304601562499993</v>
      </c>
      <c r="J15" s="46">
        <f t="shared" si="14"/>
        <v>9.6457499999999996</v>
      </c>
      <c r="K15" s="46">
        <f t="shared" si="15"/>
        <v>3.2670798299999992</v>
      </c>
      <c r="L15" s="46">
        <f t="shared" si="16"/>
        <v>9.6457499999999996</v>
      </c>
      <c r="M15" s="46">
        <f t="shared" si="17"/>
        <v>9.6457499999999996</v>
      </c>
      <c r="N15" s="46">
        <f t="shared" si="18"/>
        <v>8.5304601562499993</v>
      </c>
      <c r="O15" s="46">
        <f t="shared" si="19"/>
        <v>9.6457499999999996</v>
      </c>
      <c r="P15" s="46">
        <f t="shared" si="20"/>
        <v>3.2670798299999992</v>
      </c>
      <c r="Q15" s="47">
        <f t="shared" si="5"/>
        <v>38.582999999999998</v>
      </c>
      <c r="R15" s="48">
        <f t="shared" si="6"/>
        <v>21.780532199999996</v>
      </c>
      <c r="S15" s="48">
        <f t="shared" si="7"/>
        <v>17.060920312499999</v>
      </c>
      <c r="T15" s="49">
        <f t="shared" si="8"/>
        <v>0</v>
      </c>
      <c r="U15" s="49">
        <f t="shared" si="8"/>
        <v>0</v>
      </c>
      <c r="V15" s="49">
        <f t="shared" si="8"/>
        <v>0</v>
      </c>
      <c r="W15" s="47">
        <f t="shared" si="9"/>
        <v>7.7165999999999997</v>
      </c>
      <c r="X15" s="47">
        <f t="shared" si="10"/>
        <v>4.3561064399999996</v>
      </c>
      <c r="Y15" s="47">
        <f t="shared" si="11"/>
        <v>3.4121840624999997</v>
      </c>
    </row>
    <row r="16" spans="1:25">
      <c r="A16" s="6">
        <v>8</v>
      </c>
      <c r="B16" s="24" t="s">
        <v>76</v>
      </c>
      <c r="C16" s="38">
        <v>5.8</v>
      </c>
      <c r="D16" s="7" t="s">
        <v>62</v>
      </c>
      <c r="E16" s="9">
        <v>44.756279999999997</v>
      </c>
      <c r="F16" s="9">
        <v>37.390241708399991</v>
      </c>
      <c r="G16" s="9">
        <v>19.650804187499997</v>
      </c>
      <c r="H16" s="46">
        <f t="shared" si="12"/>
        <v>26.173169195879993</v>
      </c>
      <c r="I16" s="46">
        <f t="shared" si="13"/>
        <v>9.8254020937499984</v>
      </c>
      <c r="J16" s="46">
        <f t="shared" si="14"/>
        <v>11.189069999999999</v>
      </c>
      <c r="K16" s="46">
        <f t="shared" si="15"/>
        <v>5.6085362562599981</v>
      </c>
      <c r="L16" s="46">
        <f t="shared" si="16"/>
        <v>11.189069999999999</v>
      </c>
      <c r="M16" s="46">
        <f t="shared" si="17"/>
        <v>11.189069999999999</v>
      </c>
      <c r="N16" s="46">
        <f t="shared" si="18"/>
        <v>9.8254020937499984</v>
      </c>
      <c r="O16" s="46">
        <f t="shared" si="19"/>
        <v>11.189069999999999</v>
      </c>
      <c r="P16" s="46">
        <f t="shared" si="20"/>
        <v>5.6085362562599981</v>
      </c>
      <c r="Q16" s="47">
        <f t="shared" si="5"/>
        <v>44.756279999999997</v>
      </c>
      <c r="R16" s="48">
        <f t="shared" si="6"/>
        <v>37.390241708399991</v>
      </c>
      <c r="S16" s="48">
        <f t="shared" si="7"/>
        <v>19.650804187499997</v>
      </c>
      <c r="T16" s="49">
        <f t="shared" si="8"/>
        <v>0</v>
      </c>
      <c r="U16" s="49">
        <f t="shared" si="8"/>
        <v>0</v>
      </c>
      <c r="V16" s="49">
        <f t="shared" si="8"/>
        <v>0</v>
      </c>
      <c r="W16" s="47">
        <f t="shared" si="9"/>
        <v>7.7165999999999997</v>
      </c>
      <c r="X16" s="47">
        <f t="shared" si="10"/>
        <v>6.4465933979999983</v>
      </c>
      <c r="Y16" s="47">
        <f t="shared" si="11"/>
        <v>3.3880696874999994</v>
      </c>
    </row>
    <row r="17" spans="1:32">
      <c r="A17" s="6">
        <v>9</v>
      </c>
      <c r="B17" s="24">
        <v>1483</v>
      </c>
      <c r="C17" s="38">
        <v>2.7</v>
      </c>
      <c r="D17" s="7" t="s">
        <v>62</v>
      </c>
      <c r="E17" s="9">
        <v>20.834820000000001</v>
      </c>
      <c r="F17" s="9">
        <v>18.2304675</v>
      </c>
      <c r="G17" s="9">
        <v>8.626917656249999</v>
      </c>
      <c r="H17" s="46">
        <f t="shared" si="12"/>
        <v>12.761327249999999</v>
      </c>
      <c r="I17" s="46">
        <f t="shared" si="13"/>
        <v>4.3134588281249995</v>
      </c>
      <c r="J17" s="46">
        <f t="shared" si="14"/>
        <v>5.2087050000000001</v>
      </c>
      <c r="K17" s="46">
        <f t="shared" si="15"/>
        <v>2.7345701249999999</v>
      </c>
      <c r="L17" s="46">
        <f t="shared" si="16"/>
        <v>5.2087050000000001</v>
      </c>
      <c r="M17" s="46">
        <f t="shared" si="17"/>
        <v>5.2087050000000001</v>
      </c>
      <c r="N17" s="46">
        <f t="shared" si="18"/>
        <v>4.3134588281249995</v>
      </c>
      <c r="O17" s="46">
        <f t="shared" si="19"/>
        <v>5.2087050000000001</v>
      </c>
      <c r="P17" s="46">
        <f t="shared" si="20"/>
        <v>2.7345701249999999</v>
      </c>
      <c r="Q17" s="47">
        <f t="shared" si="5"/>
        <v>20.834820000000001</v>
      </c>
      <c r="R17" s="48">
        <f t="shared" si="6"/>
        <v>18.2304675</v>
      </c>
      <c r="S17" s="48">
        <f t="shared" si="7"/>
        <v>8.626917656249999</v>
      </c>
      <c r="T17" s="49">
        <f t="shared" si="8"/>
        <v>0</v>
      </c>
      <c r="U17" s="49">
        <f t="shared" si="8"/>
        <v>0</v>
      </c>
      <c r="V17" s="49">
        <f t="shared" si="8"/>
        <v>0</v>
      </c>
      <c r="W17" s="47">
        <f t="shared" si="9"/>
        <v>7.7165999999999997</v>
      </c>
      <c r="X17" s="47">
        <f t="shared" si="10"/>
        <v>6.7520249999999997</v>
      </c>
      <c r="Y17" s="47">
        <f t="shared" si="11"/>
        <v>3.1951546874999992</v>
      </c>
    </row>
    <row r="18" spans="1:32">
      <c r="A18" s="6">
        <v>10</v>
      </c>
      <c r="B18" s="24">
        <v>1485</v>
      </c>
      <c r="C18" s="38">
        <v>4.8</v>
      </c>
      <c r="D18" s="7" t="s">
        <v>62</v>
      </c>
      <c r="E18" s="9">
        <v>37.039679999999997</v>
      </c>
      <c r="F18" s="9">
        <v>25.279581599999997</v>
      </c>
      <c r="G18" s="9">
        <v>14.584373999999999</v>
      </c>
      <c r="H18" s="46">
        <f t="shared" si="12"/>
        <v>17.695707119999998</v>
      </c>
      <c r="I18" s="46">
        <f t="shared" si="13"/>
        <v>7.2921869999999993</v>
      </c>
      <c r="J18" s="46">
        <f t="shared" si="14"/>
        <v>9.2599199999999993</v>
      </c>
      <c r="K18" s="46">
        <f t="shared" si="15"/>
        <v>3.7919372399999993</v>
      </c>
      <c r="L18" s="46">
        <f t="shared" si="16"/>
        <v>9.2599199999999993</v>
      </c>
      <c r="M18" s="46">
        <f t="shared" si="17"/>
        <v>9.2599199999999993</v>
      </c>
      <c r="N18" s="46">
        <f t="shared" si="18"/>
        <v>7.2921869999999993</v>
      </c>
      <c r="O18" s="46">
        <f t="shared" si="19"/>
        <v>9.2599199999999993</v>
      </c>
      <c r="P18" s="46">
        <f t="shared" si="20"/>
        <v>3.7919372399999993</v>
      </c>
      <c r="Q18" s="47">
        <f t="shared" si="5"/>
        <v>37.039679999999997</v>
      </c>
      <c r="R18" s="48">
        <f t="shared" si="6"/>
        <v>25.279581599999997</v>
      </c>
      <c r="S18" s="48">
        <f t="shared" si="7"/>
        <v>14.584373999999999</v>
      </c>
      <c r="T18" s="49">
        <f t="shared" si="8"/>
        <v>0</v>
      </c>
      <c r="U18" s="49">
        <f t="shared" si="8"/>
        <v>0</v>
      </c>
      <c r="V18" s="49">
        <f t="shared" si="8"/>
        <v>0</v>
      </c>
      <c r="W18" s="47">
        <f t="shared" si="9"/>
        <v>7.7165999999999997</v>
      </c>
      <c r="X18" s="47">
        <f t="shared" si="10"/>
        <v>5.2665794999999997</v>
      </c>
      <c r="Y18" s="47">
        <f t="shared" si="11"/>
        <v>3.0384112499999998</v>
      </c>
    </row>
    <row r="19" spans="1:32">
      <c r="A19" s="6">
        <v>11</v>
      </c>
      <c r="B19" s="24">
        <v>1487</v>
      </c>
      <c r="C19" s="38">
        <v>2.7</v>
      </c>
      <c r="D19" s="7" t="s">
        <v>62</v>
      </c>
      <c r="E19" s="9">
        <v>20.834820000000001</v>
      </c>
      <c r="F19" s="9">
        <v>18.067122511200001</v>
      </c>
      <c r="G19" s="9">
        <v>7.1294149687499999</v>
      </c>
      <c r="H19" s="46">
        <f t="shared" si="12"/>
        <v>12.64698575784</v>
      </c>
      <c r="I19" s="46">
        <f t="shared" si="13"/>
        <v>3.564707484375</v>
      </c>
      <c r="J19" s="46">
        <f t="shared" si="14"/>
        <v>5.2087050000000001</v>
      </c>
      <c r="K19" s="46">
        <f t="shared" si="15"/>
        <v>2.7100683766800002</v>
      </c>
      <c r="L19" s="46">
        <f t="shared" si="16"/>
        <v>5.2087050000000001</v>
      </c>
      <c r="M19" s="46">
        <f t="shared" si="17"/>
        <v>5.2087050000000001</v>
      </c>
      <c r="N19" s="46">
        <f t="shared" si="18"/>
        <v>3.564707484375</v>
      </c>
      <c r="O19" s="46">
        <f t="shared" si="19"/>
        <v>5.2087050000000001</v>
      </c>
      <c r="P19" s="46">
        <f t="shared" si="20"/>
        <v>2.7100683766800002</v>
      </c>
      <c r="Q19" s="47">
        <f t="shared" si="5"/>
        <v>20.834820000000001</v>
      </c>
      <c r="R19" s="48">
        <f t="shared" si="6"/>
        <v>18.067122511200001</v>
      </c>
      <c r="S19" s="48">
        <f t="shared" si="7"/>
        <v>7.1294149687499999</v>
      </c>
      <c r="T19" s="49">
        <f t="shared" si="8"/>
        <v>0</v>
      </c>
      <c r="U19" s="49">
        <f t="shared" si="8"/>
        <v>0</v>
      </c>
      <c r="V19" s="49">
        <f t="shared" si="8"/>
        <v>0</v>
      </c>
      <c r="W19" s="47">
        <f t="shared" si="9"/>
        <v>7.7165999999999997</v>
      </c>
      <c r="X19" s="47">
        <f t="shared" si="10"/>
        <v>6.6915268560000003</v>
      </c>
      <c r="Y19" s="47">
        <f t="shared" si="11"/>
        <v>2.6405240624999999</v>
      </c>
    </row>
    <row r="20" spans="1:32" s="10" customFormat="1">
      <c r="A20" s="6">
        <v>12</v>
      </c>
      <c r="B20" s="24">
        <v>1761</v>
      </c>
      <c r="C20" s="38">
        <v>5.2</v>
      </c>
      <c r="D20" s="7" t="s">
        <v>61</v>
      </c>
      <c r="E20" s="9">
        <v>25.2127044</v>
      </c>
      <c r="F20" s="9">
        <v>20.149741229435996</v>
      </c>
      <c r="G20" s="9">
        <v>5.7910430418749996</v>
      </c>
      <c r="H20" s="46">
        <f t="shared" ref="H20:I24" si="21">+F20</f>
        <v>20.149741229435996</v>
      </c>
      <c r="I20" s="46">
        <f t="shared" si="21"/>
        <v>5.7910430418749996</v>
      </c>
      <c r="J20" s="46">
        <f t="shared" ref="J20:J24" si="22">+E20*0.15</f>
        <v>3.7819056599999996</v>
      </c>
      <c r="K20" s="46"/>
      <c r="L20" s="46">
        <f t="shared" ref="L20:L24" si="23">+E20*0.35</f>
        <v>8.8244465399999985</v>
      </c>
      <c r="M20" s="46">
        <f t="shared" ref="M20:M24" si="24">+E20*0.35</f>
        <v>8.8244465399999985</v>
      </c>
      <c r="N20" s="46"/>
      <c r="O20" s="46">
        <f t="shared" ref="O20:O24" si="25">+E20*0.15</f>
        <v>3.7819056599999996</v>
      </c>
      <c r="P20" s="46"/>
      <c r="Q20" s="47">
        <f t="shared" ref="Q20:Q24" si="26">+O20+M20+L20+J20</f>
        <v>25.212704399999996</v>
      </c>
      <c r="R20" s="48">
        <f t="shared" ref="R20:R24" si="27">+P20+K20+H20</f>
        <v>20.149741229435996</v>
      </c>
      <c r="S20" s="48">
        <f t="shared" ref="S20:S24" si="28">+N20+I20</f>
        <v>5.7910430418749996</v>
      </c>
      <c r="T20" s="49">
        <f t="shared" ref="T20:V24" si="29">+Q20-E20</f>
        <v>0</v>
      </c>
      <c r="U20" s="49">
        <f t="shared" si="29"/>
        <v>0</v>
      </c>
      <c r="V20" s="49">
        <f t="shared" si="29"/>
        <v>0</v>
      </c>
      <c r="W20" s="47">
        <f t="shared" ref="W20:W24" si="30">+E20/C20</f>
        <v>4.8485969999999998</v>
      </c>
      <c r="X20" s="47">
        <f t="shared" ref="X20:X24" si="31">+F20/C20</f>
        <v>3.8749502364299993</v>
      </c>
      <c r="Y20" s="47">
        <f t="shared" ref="Y20:Y24" si="32">+G20/C20</f>
        <v>1.1136621234374999</v>
      </c>
    </row>
    <row r="21" spans="1:32" s="10" customFormat="1">
      <c r="A21" s="6">
        <v>13</v>
      </c>
      <c r="B21" s="24">
        <v>1500</v>
      </c>
      <c r="C21" s="38">
        <v>4.7</v>
      </c>
      <c r="D21" s="7" t="s">
        <v>61</v>
      </c>
      <c r="E21" s="9">
        <v>22.788405900000001</v>
      </c>
      <c r="F21" s="9">
        <v>10.499530134366001</v>
      </c>
      <c r="G21" s="9">
        <v>6.0887772014062502</v>
      </c>
      <c r="H21" s="46">
        <f t="shared" si="21"/>
        <v>10.499530134366001</v>
      </c>
      <c r="I21" s="46">
        <f t="shared" si="21"/>
        <v>6.0887772014062502</v>
      </c>
      <c r="J21" s="46">
        <f t="shared" si="22"/>
        <v>3.418260885</v>
      </c>
      <c r="K21" s="46"/>
      <c r="L21" s="46">
        <f t="shared" si="23"/>
        <v>7.9759420649999999</v>
      </c>
      <c r="M21" s="46">
        <f t="shared" si="24"/>
        <v>7.9759420649999999</v>
      </c>
      <c r="N21" s="46"/>
      <c r="O21" s="46">
        <f t="shared" si="25"/>
        <v>3.418260885</v>
      </c>
      <c r="P21" s="46"/>
      <c r="Q21" s="47">
        <f t="shared" si="26"/>
        <v>22.788405899999997</v>
      </c>
      <c r="R21" s="48">
        <f t="shared" si="27"/>
        <v>10.499530134366001</v>
      </c>
      <c r="S21" s="48">
        <f t="shared" si="28"/>
        <v>6.0887772014062502</v>
      </c>
      <c r="T21" s="49">
        <f t="shared" si="29"/>
        <v>0</v>
      </c>
      <c r="U21" s="49">
        <f t="shared" si="29"/>
        <v>0</v>
      </c>
      <c r="V21" s="49">
        <f t="shared" si="29"/>
        <v>0</v>
      </c>
      <c r="W21" s="47">
        <f t="shared" si="30"/>
        <v>4.8485969999999998</v>
      </c>
      <c r="X21" s="47">
        <f t="shared" si="31"/>
        <v>2.23394258178</v>
      </c>
      <c r="Y21" s="47">
        <f t="shared" si="32"/>
        <v>1.2954845109374999</v>
      </c>
    </row>
    <row r="22" spans="1:32" s="10" customFormat="1">
      <c r="A22" s="6">
        <v>14</v>
      </c>
      <c r="B22" s="24" t="s">
        <v>77</v>
      </c>
      <c r="C22" s="38">
        <v>4.7</v>
      </c>
      <c r="D22" s="7" t="s">
        <v>61</v>
      </c>
      <c r="E22" s="9">
        <v>22.788405900000001</v>
      </c>
      <c r="F22" s="9">
        <v>17.296273475844998</v>
      </c>
      <c r="G22" s="9">
        <v>6.4092391593749998</v>
      </c>
      <c r="H22" s="46">
        <f t="shared" si="21"/>
        <v>17.296273475844998</v>
      </c>
      <c r="I22" s="46">
        <f t="shared" si="21"/>
        <v>6.4092391593749998</v>
      </c>
      <c r="J22" s="46">
        <f t="shared" si="22"/>
        <v>3.418260885</v>
      </c>
      <c r="K22" s="46"/>
      <c r="L22" s="46">
        <f t="shared" si="23"/>
        <v>7.9759420649999999</v>
      </c>
      <c r="M22" s="46">
        <f t="shared" si="24"/>
        <v>7.9759420649999999</v>
      </c>
      <c r="N22" s="46"/>
      <c r="O22" s="46">
        <f t="shared" si="25"/>
        <v>3.418260885</v>
      </c>
      <c r="P22" s="46"/>
      <c r="Q22" s="47">
        <f t="shared" si="26"/>
        <v>22.788405899999997</v>
      </c>
      <c r="R22" s="48">
        <f t="shared" si="27"/>
        <v>17.296273475844998</v>
      </c>
      <c r="S22" s="48">
        <f t="shared" si="28"/>
        <v>6.4092391593749998</v>
      </c>
      <c r="T22" s="49">
        <f t="shared" si="29"/>
        <v>0</v>
      </c>
      <c r="U22" s="49">
        <f t="shared" si="29"/>
        <v>0</v>
      </c>
      <c r="V22" s="49">
        <f t="shared" si="29"/>
        <v>0</v>
      </c>
      <c r="W22" s="47">
        <f t="shared" si="30"/>
        <v>4.8485969999999998</v>
      </c>
      <c r="X22" s="47">
        <f t="shared" si="31"/>
        <v>3.6800581863499997</v>
      </c>
      <c r="Y22" s="47">
        <f t="shared" si="32"/>
        <v>1.3636679062499999</v>
      </c>
    </row>
    <row r="23" spans="1:32" s="10" customFormat="1">
      <c r="A23" s="6">
        <v>15</v>
      </c>
      <c r="B23" s="24" t="s">
        <v>78</v>
      </c>
      <c r="C23" s="38">
        <v>6.6</v>
      </c>
      <c r="D23" s="7" t="s">
        <v>61</v>
      </c>
      <c r="E23" s="9">
        <v>32.000740199999996</v>
      </c>
      <c r="F23" s="9">
        <v>24.205253218145998</v>
      </c>
      <c r="G23" s="9">
        <v>8.7002012418749981</v>
      </c>
      <c r="H23" s="46">
        <f t="shared" si="21"/>
        <v>24.205253218145998</v>
      </c>
      <c r="I23" s="46">
        <f t="shared" si="21"/>
        <v>8.7002012418749981</v>
      </c>
      <c r="J23" s="46">
        <f t="shared" si="22"/>
        <v>4.8001110299999992</v>
      </c>
      <c r="K23" s="46"/>
      <c r="L23" s="46">
        <f t="shared" si="23"/>
        <v>11.200259069999998</v>
      </c>
      <c r="M23" s="46">
        <f t="shared" si="24"/>
        <v>11.200259069999998</v>
      </c>
      <c r="N23" s="46"/>
      <c r="O23" s="46">
        <f t="shared" si="25"/>
        <v>4.8001110299999992</v>
      </c>
      <c r="P23" s="46"/>
      <c r="Q23" s="47">
        <f t="shared" si="26"/>
        <v>32.000740199999996</v>
      </c>
      <c r="R23" s="48">
        <f t="shared" si="27"/>
        <v>24.205253218145998</v>
      </c>
      <c r="S23" s="48">
        <f t="shared" si="28"/>
        <v>8.7002012418749981</v>
      </c>
      <c r="T23" s="49">
        <f t="shared" si="29"/>
        <v>0</v>
      </c>
      <c r="U23" s="49">
        <f t="shared" si="29"/>
        <v>0</v>
      </c>
      <c r="V23" s="49">
        <f t="shared" si="29"/>
        <v>0</v>
      </c>
      <c r="W23" s="47">
        <f t="shared" si="30"/>
        <v>4.8485969999999998</v>
      </c>
      <c r="X23" s="47">
        <f t="shared" si="31"/>
        <v>3.6674626088099997</v>
      </c>
      <c r="Y23" s="47">
        <f t="shared" si="32"/>
        <v>1.3182123093749998</v>
      </c>
    </row>
    <row r="24" spans="1:32" s="10" customFormat="1">
      <c r="A24" s="6">
        <v>16</v>
      </c>
      <c r="B24" s="24" t="s">
        <v>79</v>
      </c>
      <c r="C24" s="38">
        <v>5</v>
      </c>
      <c r="D24" s="7" t="s">
        <v>61</v>
      </c>
      <c r="E24" s="9">
        <v>24.242984999999997</v>
      </c>
      <c r="F24" s="9">
        <v>18.148379380949997</v>
      </c>
      <c r="G24" s="9">
        <v>6.8183395312499995</v>
      </c>
      <c r="H24" s="46">
        <f t="shared" si="21"/>
        <v>18.148379380949997</v>
      </c>
      <c r="I24" s="46">
        <f t="shared" si="21"/>
        <v>6.8183395312499995</v>
      </c>
      <c r="J24" s="46">
        <f t="shared" si="22"/>
        <v>3.6364477499999994</v>
      </c>
      <c r="K24" s="46"/>
      <c r="L24" s="46">
        <f t="shared" si="23"/>
        <v>8.4850447499999984</v>
      </c>
      <c r="M24" s="46">
        <f t="shared" si="24"/>
        <v>8.4850447499999984</v>
      </c>
      <c r="N24" s="46"/>
      <c r="O24" s="46">
        <f t="shared" si="25"/>
        <v>3.6364477499999994</v>
      </c>
      <c r="P24" s="46"/>
      <c r="Q24" s="47">
        <f t="shared" si="26"/>
        <v>24.242984999999994</v>
      </c>
      <c r="R24" s="48">
        <f t="shared" si="27"/>
        <v>18.148379380949997</v>
      </c>
      <c r="S24" s="48">
        <f t="shared" si="28"/>
        <v>6.8183395312499995</v>
      </c>
      <c r="T24" s="49">
        <f t="shared" si="29"/>
        <v>0</v>
      </c>
      <c r="U24" s="49">
        <f t="shared" si="29"/>
        <v>0</v>
      </c>
      <c r="V24" s="49">
        <f t="shared" si="29"/>
        <v>0</v>
      </c>
      <c r="W24" s="47">
        <f t="shared" si="30"/>
        <v>4.8485969999999998</v>
      </c>
      <c r="X24" s="47">
        <f t="shared" si="31"/>
        <v>3.6296758761899994</v>
      </c>
      <c r="Y24" s="47">
        <f t="shared" si="32"/>
        <v>1.3636679062499999</v>
      </c>
    </row>
    <row r="25" spans="1:32" s="10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32" s="10" customFormat="1">
      <c r="A26" s="1"/>
      <c r="B26" s="1"/>
      <c r="C26" s="33">
        <f>SUM(C9:C24)</f>
        <v>74.5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32" s="10" customForma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32" s="10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32" s="10" customFormat="1">
      <c r="A29" s="1"/>
      <c r="B29" s="1"/>
      <c r="C29" s="1"/>
      <c r="D29" s="1"/>
      <c r="E29" s="1"/>
      <c r="G29" s="13"/>
      <c r="H29" s="1"/>
      <c r="J29" s="12"/>
      <c r="K29" s="1"/>
      <c r="L29" s="1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s="10" customFormat="1">
      <c r="A30" s="1"/>
      <c r="B30" s="1"/>
      <c r="C30" s="1"/>
      <c r="D30" s="1"/>
      <c r="E30" s="1"/>
      <c r="G30" s="13"/>
      <c r="H30" s="1"/>
      <c r="J30" s="12"/>
      <c r="K30" s="1"/>
      <c r="L30" s="1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s="10" customFormat="1">
      <c r="A31" s="1"/>
      <c r="B31" s="1"/>
      <c r="C31" s="1"/>
      <c r="D31" s="1"/>
      <c r="E31" s="1"/>
      <c r="G31" s="13"/>
      <c r="H31" s="1"/>
      <c r="J31" s="12"/>
      <c r="K31" s="1"/>
      <c r="L31" s="1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s="10" customFormat="1">
      <c r="A32" s="1"/>
      <c r="B32" s="1"/>
      <c r="C32" s="1"/>
      <c r="D32" s="1"/>
      <c r="E32" s="1"/>
      <c r="G32" s="13"/>
      <c r="H32" s="1"/>
      <c r="J32" s="12"/>
      <c r="K32" s="1"/>
      <c r="L32" s="1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s="10" customFormat="1">
      <c r="A33" s="1"/>
      <c r="B33" s="1"/>
      <c r="C33" s="1"/>
      <c r="D33" s="1"/>
      <c r="E33" s="1"/>
      <c r="G33" s="13"/>
      <c r="H33" s="1"/>
      <c r="J33" s="12"/>
      <c r="K33" s="1"/>
      <c r="L33" s="1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s="10" customFormat="1">
      <c r="A34" s="1"/>
      <c r="B34" s="1"/>
      <c r="C34" s="1"/>
      <c r="D34" s="1"/>
      <c r="E34" s="1"/>
      <c r="G34" s="13"/>
      <c r="H34" s="1"/>
      <c r="J34" s="12"/>
      <c r="K34" s="1"/>
      <c r="L34" s="1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s="10" customFormat="1">
      <c r="A35" s="1"/>
      <c r="B35" s="1"/>
      <c r="C35" s="1"/>
      <c r="D35" s="1"/>
      <c r="E35" s="1"/>
      <c r="G35" s="13"/>
      <c r="H35" s="1"/>
      <c r="J35" s="12"/>
      <c r="K35" s="1"/>
      <c r="L35" s="1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s="10" customFormat="1">
      <c r="A36" s="1"/>
      <c r="B36" s="1"/>
      <c r="C36" s="1"/>
      <c r="D36" s="1"/>
      <c r="E36" s="1"/>
      <c r="G36" s="13"/>
      <c r="H36" s="1"/>
      <c r="J36" s="12"/>
      <c r="K36" s="1"/>
      <c r="L36" s="1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s="10" customFormat="1">
      <c r="A37" s="1"/>
      <c r="B37" s="1"/>
      <c r="C37" s="1"/>
      <c r="D37" s="1"/>
      <c r="E37" s="1"/>
      <c r="G37" s="13"/>
      <c r="H37" s="1"/>
      <c r="J37" s="12"/>
      <c r="K37" s="1"/>
      <c r="L37" s="1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s="10" customFormat="1">
      <c r="A38" s="1"/>
      <c r="B38" s="1"/>
      <c r="L38" s="1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s="10" customFormat="1">
      <c r="A39" s="1"/>
      <c r="B39" s="1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s="10" customFormat="1" ht="15.75">
      <c r="A40" s="1"/>
      <c r="B40" s="1"/>
      <c r="G40" s="50"/>
      <c r="L40" s="1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s="10" customFormat="1" ht="15.75">
      <c r="A41" s="1"/>
      <c r="B41" s="1"/>
      <c r="C41" s="1"/>
      <c r="D41" s="1"/>
      <c r="E41" s="1"/>
      <c r="F41" s="12"/>
      <c r="G41" s="51"/>
      <c r="H41" s="12"/>
      <c r="J41" s="12"/>
      <c r="K41" s="1"/>
      <c r="L41" s="1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s="10" customFormat="1" ht="15.75">
      <c r="A42" s="1"/>
      <c r="B42" s="1"/>
      <c r="C42" s="1"/>
      <c r="D42" s="1"/>
      <c r="E42" s="1"/>
      <c r="G42" s="52"/>
      <c r="H42" s="1"/>
      <c r="J42" s="12"/>
      <c r="K42" s="1"/>
      <c r="L42" s="1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s="10" customFormat="1" ht="15.75">
      <c r="A43" s="1"/>
      <c r="B43" s="1"/>
      <c r="C43" s="1"/>
      <c r="D43" s="1"/>
      <c r="E43" s="1"/>
      <c r="G43" s="52"/>
      <c r="H43" s="1"/>
      <c r="J43" s="12"/>
      <c r="K43" s="1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s="10" customFormat="1" ht="15.75">
      <c r="A44" s="1"/>
      <c r="B44" s="1"/>
      <c r="C44" s="1"/>
      <c r="D44" s="1"/>
      <c r="E44" s="1"/>
      <c r="G44" s="52"/>
      <c r="H44" s="1"/>
      <c r="J44" s="12"/>
      <c r="K44" s="1"/>
      <c r="L44" s="1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s="10" customFormat="1">
      <c r="A45" s="1"/>
      <c r="B45" s="1"/>
      <c r="C45" s="1"/>
      <c r="D45" s="1"/>
      <c r="E45" s="1"/>
      <c r="G45" s="13"/>
      <c r="H45" s="1"/>
      <c r="J45" s="12"/>
      <c r="K45" s="1"/>
      <c r="L45" s="1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s="10" customFormat="1">
      <c r="A46" s="1"/>
      <c r="B46" s="1"/>
      <c r="C46" s="1"/>
      <c r="D46" s="1"/>
      <c r="E46" s="1"/>
      <c r="G46" s="13"/>
      <c r="H46" s="1"/>
      <c r="J46" s="12"/>
      <c r="K46" s="1"/>
      <c r="L46" s="1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s="10" customFormat="1">
      <c r="A47" s="1"/>
      <c r="B47" s="1"/>
      <c r="C47" s="1"/>
      <c r="D47" s="1"/>
      <c r="E47" s="1"/>
      <c r="G47" s="13"/>
      <c r="H47" s="1"/>
      <c r="J47" s="12"/>
      <c r="K47" s="1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s="10" customFormat="1">
      <c r="A48" s="1"/>
      <c r="B48" s="1"/>
      <c r="C48" s="1"/>
      <c r="D48" s="1"/>
      <c r="E48" s="1"/>
      <c r="G48" s="13"/>
      <c r="H48" s="1"/>
      <c r="J48" s="12"/>
      <c r="K48" s="1"/>
      <c r="L48" s="1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</sheetData>
  <mergeCells count="15">
    <mergeCell ref="A1:X1"/>
    <mergeCell ref="A2:X2"/>
    <mergeCell ref="A3:X3"/>
    <mergeCell ref="A6:A8"/>
    <mergeCell ref="B6:B8"/>
    <mergeCell ref="C6:C8"/>
    <mergeCell ref="D6:D8"/>
    <mergeCell ref="E7:E8"/>
    <mergeCell ref="F7:F8"/>
    <mergeCell ref="G7:G8"/>
    <mergeCell ref="H6:P6"/>
    <mergeCell ref="H7:I7"/>
    <mergeCell ref="M7:N7"/>
    <mergeCell ref="O7:P7"/>
    <mergeCell ref="E6:G6"/>
  </mergeCells>
  <printOptions horizontalCentered="1"/>
  <pageMargins left="0.11811023622047245" right="0.11811023622047245" top="0.55118110236220474" bottom="0.35433070866141736" header="0.31496062992125984" footer="0.31496062992125984"/>
  <pageSetup paperSize="9" scale="67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5</vt:i4>
      </vt:variant>
    </vt:vector>
  </HeadingPairs>
  <TitlesOfParts>
    <vt:vector size="8" baseType="lpstr">
      <vt:lpstr>Жадвал</vt:lpstr>
      <vt:lpstr>3.</vt:lpstr>
      <vt:lpstr>4</vt:lpstr>
      <vt:lpstr>'4'!Заголовки_для_печати</vt:lpstr>
      <vt:lpstr>Жадвал!Заголовки_для_печати</vt:lpstr>
      <vt:lpstr>'3.'!Область_печати</vt:lpstr>
      <vt:lpstr>'4'!Область_печати</vt:lpstr>
      <vt:lpstr>Жадвал!Область_печати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E-MaxPCShop</cp:lastModifiedBy>
  <cp:lastPrinted>2022-12-19T06:44:24Z</cp:lastPrinted>
  <dcterms:created xsi:type="dcterms:W3CDTF">2021-12-28T07:29:34Z</dcterms:created>
  <dcterms:modified xsi:type="dcterms:W3CDTF">2023-05-18T09:45:22Z</dcterms:modified>
</cp:coreProperties>
</file>