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MaxPCShop\Desktop\Tumanlar\Тошлоқ\Араббой Тухтабой\Тоғлик Омад файз\"/>
    </mc:Choice>
  </mc:AlternateContent>
  <xr:revisionPtr revIDLastSave="0" documentId="13_ncr:1_{2DB3EB05-06F4-4529-B874-D58AD60B61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Жадвал" sheetId="1" r:id="rId1"/>
    <sheet name="3." sheetId="2" r:id="rId2"/>
    <sheet name="4" sheetId="3" r:id="rId3"/>
  </sheets>
  <externalReferences>
    <externalReference r:id="rId4"/>
  </externalReference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3" l="1"/>
  <c r="X21" i="3"/>
  <c r="W21" i="3"/>
  <c r="P21" i="3"/>
  <c r="R21" i="3" s="1"/>
  <c r="U21" i="3" s="1"/>
  <c r="O21" i="3"/>
  <c r="Q21" i="3" s="1"/>
  <c r="T21" i="3" s="1"/>
  <c r="N21" i="3"/>
  <c r="S21" i="3" s="1"/>
  <c r="V21" i="3" s="1"/>
  <c r="M21" i="3"/>
  <c r="L21" i="3"/>
  <c r="K21" i="3"/>
  <c r="J21" i="3"/>
  <c r="I21" i="3"/>
  <c r="H21" i="3"/>
  <c r="Y20" i="3"/>
  <c r="X20" i="3"/>
  <c r="W20" i="3"/>
  <c r="P20" i="3"/>
  <c r="O20" i="3"/>
  <c r="Q20" i="3" s="1"/>
  <c r="T20" i="3" s="1"/>
  <c r="N20" i="3"/>
  <c r="S20" i="3" s="1"/>
  <c r="V20" i="3" s="1"/>
  <c r="M20" i="3"/>
  <c r="L20" i="3"/>
  <c r="K20" i="3"/>
  <c r="J20" i="3"/>
  <c r="I20" i="3"/>
  <c r="H20" i="3"/>
  <c r="Y18" i="3"/>
  <c r="X18" i="3"/>
  <c r="W18" i="3"/>
  <c r="P18" i="3"/>
  <c r="R18" i="3" s="1"/>
  <c r="U18" i="3" s="1"/>
  <c r="O18" i="3"/>
  <c r="Q18" i="3" s="1"/>
  <c r="T18" i="3" s="1"/>
  <c r="N18" i="3"/>
  <c r="M18" i="3"/>
  <c r="L18" i="3"/>
  <c r="K18" i="3"/>
  <c r="J18" i="3"/>
  <c r="I18" i="3"/>
  <c r="H18" i="3"/>
  <c r="Y17" i="3"/>
  <c r="X17" i="3"/>
  <c r="W17" i="3"/>
  <c r="P17" i="3"/>
  <c r="R17" i="3" s="1"/>
  <c r="U17" i="3" s="1"/>
  <c r="O17" i="3"/>
  <c r="Q17" i="3" s="1"/>
  <c r="T17" i="3" s="1"/>
  <c r="N17" i="3"/>
  <c r="M17" i="3"/>
  <c r="L17" i="3"/>
  <c r="K17" i="3"/>
  <c r="J17" i="3"/>
  <c r="I17" i="3"/>
  <c r="H17" i="3"/>
  <c r="Y15" i="3"/>
  <c r="X15" i="3"/>
  <c r="W15" i="3"/>
  <c r="P15" i="3"/>
  <c r="R15" i="3" s="1"/>
  <c r="U15" i="3" s="1"/>
  <c r="O15" i="3"/>
  <c r="N15" i="3"/>
  <c r="S15" i="3" s="1"/>
  <c r="V15" i="3" s="1"/>
  <c r="M15" i="3"/>
  <c r="L15" i="3"/>
  <c r="K15" i="3"/>
  <c r="J15" i="3"/>
  <c r="I15" i="3"/>
  <c r="H15" i="3"/>
  <c r="Y14" i="3"/>
  <c r="X14" i="3"/>
  <c r="W14" i="3"/>
  <c r="S14" i="3"/>
  <c r="V14" i="3" s="1"/>
  <c r="P14" i="3"/>
  <c r="O14" i="3"/>
  <c r="N14" i="3"/>
  <c r="M14" i="3"/>
  <c r="L14" i="3"/>
  <c r="K14" i="3"/>
  <c r="J14" i="3"/>
  <c r="I14" i="3"/>
  <c r="H14" i="3"/>
  <c r="Y13" i="3"/>
  <c r="X13" i="3"/>
  <c r="W13" i="3"/>
  <c r="R13" i="3"/>
  <c r="U13" i="3" s="1"/>
  <c r="P13" i="3"/>
  <c r="O13" i="3"/>
  <c r="N13" i="3"/>
  <c r="M13" i="3"/>
  <c r="L13" i="3"/>
  <c r="K13" i="3"/>
  <c r="J13" i="3"/>
  <c r="I13" i="3"/>
  <c r="H13" i="3"/>
  <c r="Y12" i="3"/>
  <c r="X12" i="3"/>
  <c r="W12" i="3"/>
  <c r="P12" i="3"/>
  <c r="R12" i="3" s="1"/>
  <c r="U12" i="3" s="1"/>
  <c r="O12" i="3"/>
  <c r="N12" i="3"/>
  <c r="M12" i="3"/>
  <c r="L12" i="3"/>
  <c r="K12" i="3"/>
  <c r="J12" i="3"/>
  <c r="I12" i="3"/>
  <c r="S12" i="3" s="1"/>
  <c r="V12" i="3" s="1"/>
  <c r="H12" i="3"/>
  <c r="Y11" i="3"/>
  <c r="X11" i="3"/>
  <c r="W11" i="3"/>
  <c r="P11" i="3"/>
  <c r="O11" i="3"/>
  <c r="N11" i="3"/>
  <c r="S11" i="3" s="1"/>
  <c r="V11" i="3" s="1"/>
  <c r="M11" i="3"/>
  <c r="L11" i="3"/>
  <c r="K11" i="3"/>
  <c r="J11" i="3"/>
  <c r="I11" i="3"/>
  <c r="H11" i="3"/>
  <c r="R11" i="3" s="1"/>
  <c r="U11" i="3" s="1"/>
  <c r="Y10" i="3"/>
  <c r="X10" i="3"/>
  <c r="W10" i="3"/>
  <c r="P10" i="3"/>
  <c r="O10" i="3"/>
  <c r="N10" i="3"/>
  <c r="S10" i="3" s="1"/>
  <c r="V10" i="3" s="1"/>
  <c r="M10" i="3"/>
  <c r="Q10" i="3" s="1"/>
  <c r="T10" i="3" s="1"/>
  <c r="L10" i="3"/>
  <c r="K10" i="3"/>
  <c r="J10" i="3"/>
  <c r="I10" i="3"/>
  <c r="H10" i="3"/>
  <c r="Y19" i="3"/>
  <c r="X19" i="3"/>
  <c r="W19" i="3"/>
  <c r="R19" i="3"/>
  <c r="U19" i="3" s="1"/>
  <c r="O19" i="3"/>
  <c r="M19" i="3"/>
  <c r="L19" i="3"/>
  <c r="J19" i="3"/>
  <c r="I19" i="3"/>
  <c r="S19" i="3" s="1"/>
  <c r="V19" i="3" s="1"/>
  <c r="H19" i="3"/>
  <c r="Y16" i="3"/>
  <c r="X16" i="3"/>
  <c r="W16" i="3"/>
  <c r="O16" i="3"/>
  <c r="M16" i="3"/>
  <c r="L16" i="3"/>
  <c r="J16" i="3"/>
  <c r="I16" i="3"/>
  <c r="S16" i="3" s="1"/>
  <c r="V16" i="3" s="1"/>
  <c r="H16" i="3"/>
  <c r="R16" i="3" s="1"/>
  <c r="U16" i="3" s="1"/>
  <c r="Y9" i="3"/>
  <c r="X9" i="3"/>
  <c r="W9" i="3"/>
  <c r="O9" i="3"/>
  <c r="M9" i="3"/>
  <c r="L9" i="3"/>
  <c r="J9" i="3"/>
  <c r="I9" i="3"/>
  <c r="S9" i="3" s="1"/>
  <c r="V9" i="3" s="1"/>
  <c r="H9" i="3"/>
  <c r="R9" i="3" s="1"/>
  <c r="U9" i="3" s="1"/>
  <c r="C23" i="3"/>
  <c r="Q12" i="3" l="1"/>
  <c r="T12" i="3" s="1"/>
  <c r="Q16" i="3"/>
  <c r="T16" i="3" s="1"/>
  <c r="Q19" i="3"/>
  <c r="T19" i="3" s="1"/>
  <c r="Q11" i="3"/>
  <c r="T11" i="3" s="1"/>
  <c r="S13" i="3"/>
  <c r="V13" i="3" s="1"/>
  <c r="R10" i="3"/>
  <c r="U10" i="3" s="1"/>
  <c r="Q13" i="3"/>
  <c r="T13" i="3" s="1"/>
  <c r="Q15" i="3"/>
  <c r="T15" i="3" s="1"/>
  <c r="Q14" i="3"/>
  <c r="T14" i="3" s="1"/>
  <c r="R14" i="3"/>
  <c r="U14" i="3" s="1"/>
  <c r="S17" i="3"/>
  <c r="V17" i="3" s="1"/>
  <c r="S18" i="3"/>
  <c r="V18" i="3" s="1"/>
  <c r="Q9" i="3"/>
  <c r="T9" i="3" s="1"/>
  <c r="R20" i="3"/>
  <c r="U20" i="3" s="1"/>
  <c r="I13" i="1"/>
  <c r="I20" i="1"/>
  <c r="I19" i="1"/>
  <c r="I18" i="1"/>
  <c r="I17" i="1"/>
  <c r="I16" i="1"/>
  <c r="I15" i="1"/>
  <c r="I14" i="1"/>
  <c r="I21" i="1"/>
  <c r="I12" i="1"/>
  <c r="I11" i="1"/>
  <c r="I10" i="1"/>
  <c r="I9" i="1"/>
  <c r="F18" i="1"/>
  <c r="F15" i="1"/>
  <c r="F21" i="1"/>
  <c r="F20" i="1"/>
  <c r="F19" i="1"/>
  <c r="F16" i="1"/>
  <c r="F13" i="1"/>
  <c r="F12" i="1"/>
  <c r="F10" i="1"/>
  <c r="F9" i="1"/>
  <c r="C23" i="1" l="1"/>
  <c r="M17" i="1"/>
  <c r="N17" i="1" s="1"/>
  <c r="Q17" i="1" s="1"/>
  <c r="S17" i="1"/>
  <c r="V17" i="1" s="1"/>
  <c r="M18" i="1"/>
  <c r="N18" i="1" s="1"/>
  <c r="Q18" i="1" s="1"/>
  <c r="S18" i="1"/>
  <c r="V18" i="1" s="1"/>
  <c r="U18" i="1"/>
  <c r="X18" i="1" s="1"/>
  <c r="M19" i="1"/>
  <c r="N19" i="1" s="1"/>
  <c r="Q19" i="1" s="1"/>
  <c r="S19" i="1"/>
  <c r="V19" i="1" s="1"/>
  <c r="U19" i="1"/>
  <c r="X19" i="1" s="1"/>
  <c r="M20" i="1"/>
  <c r="N20" i="1" s="1"/>
  <c r="Q20" i="1" s="1"/>
  <c r="S20" i="1"/>
  <c r="T20" i="1" s="1"/>
  <c r="W20" i="1" s="1"/>
  <c r="U20" i="1"/>
  <c r="X20" i="1" s="1"/>
  <c r="V20" i="1"/>
  <c r="M21" i="1"/>
  <c r="N21" i="1" s="1"/>
  <c r="Q21" i="1" s="1"/>
  <c r="S21" i="1"/>
  <c r="T21" i="1" s="1"/>
  <c r="W21" i="1" s="1"/>
  <c r="U21" i="1"/>
  <c r="X21" i="1" s="1"/>
  <c r="V21" i="1"/>
  <c r="E24" i="1"/>
  <c r="E25" i="1" s="1"/>
  <c r="H24" i="1"/>
  <c r="H25" i="1" s="1"/>
  <c r="K24" i="1"/>
  <c r="K25" i="1" s="1"/>
  <c r="U17" i="1" l="1"/>
  <c r="X17" i="1" s="1"/>
  <c r="P21" i="1"/>
  <c r="P20" i="1"/>
  <c r="T19" i="1"/>
  <c r="W19" i="1" s="1"/>
  <c r="P19" i="1"/>
  <c r="T18" i="1"/>
  <c r="W18" i="1" s="1"/>
  <c r="P18" i="1"/>
  <c r="T17" i="1"/>
  <c r="W17" i="1" s="1"/>
  <c r="P17" i="1"/>
  <c r="O21" i="1"/>
  <c r="R21" i="1" s="1"/>
  <c r="O20" i="1"/>
  <c r="R20" i="1" s="1"/>
  <c r="O19" i="1"/>
  <c r="R19" i="1" s="1"/>
  <c r="O18" i="1"/>
  <c r="R18" i="1" s="1"/>
  <c r="O17" i="1"/>
  <c r="R17" i="1" s="1"/>
  <c r="N16" i="1" l="1"/>
  <c r="Q16" i="1" s="1"/>
  <c r="M16" i="1"/>
  <c r="O16" i="1" s="1"/>
  <c r="R16" i="1" s="1"/>
  <c r="S16" i="1"/>
  <c r="U16" i="1" s="1"/>
  <c r="X16" i="1" s="1"/>
  <c r="P16" i="1" l="1"/>
  <c r="T16" i="1"/>
  <c r="W16" i="1" s="1"/>
  <c r="V16" i="1"/>
  <c r="A21" i="2" l="1"/>
  <c r="A11" i="2"/>
  <c r="M11" i="1" l="1"/>
  <c r="O11" i="1" s="1"/>
  <c r="R11" i="1" s="1"/>
  <c r="S11" i="1"/>
  <c r="U11" i="1" s="1"/>
  <c r="X11" i="1" s="1"/>
  <c r="M12" i="1"/>
  <c r="P12" i="1" s="1"/>
  <c r="S12" i="1"/>
  <c r="U12" i="1" s="1"/>
  <c r="X12" i="1" s="1"/>
  <c r="M13" i="1"/>
  <c r="O13" i="1" s="1"/>
  <c r="R13" i="1" s="1"/>
  <c r="S13" i="1"/>
  <c r="U13" i="1" s="1"/>
  <c r="X13" i="1" s="1"/>
  <c r="M14" i="1"/>
  <c r="N14" i="1" s="1"/>
  <c r="Q14" i="1" s="1"/>
  <c r="S14" i="1"/>
  <c r="U14" i="1" s="1"/>
  <c r="X14" i="1" s="1"/>
  <c r="M15" i="1"/>
  <c r="O15" i="1" s="1"/>
  <c r="R15" i="1" s="1"/>
  <c r="S15" i="1"/>
  <c r="U15" i="1" s="1"/>
  <c r="X15" i="1" s="1"/>
  <c r="T13" i="1" l="1"/>
  <c r="W13" i="1" s="1"/>
  <c r="T12" i="1"/>
  <c r="W12" i="1" s="1"/>
  <c r="N15" i="1"/>
  <c r="Q15" i="1" s="1"/>
  <c r="O12" i="1"/>
  <c r="R12" i="1" s="1"/>
  <c r="N11" i="1"/>
  <c r="Q11" i="1" s="1"/>
  <c r="N12" i="1"/>
  <c r="Q12" i="1" s="1"/>
  <c r="P14" i="1"/>
  <c r="O14" i="1"/>
  <c r="R14" i="1" s="1"/>
  <c r="T15" i="1"/>
  <c r="W15" i="1" s="1"/>
  <c r="T14" i="1"/>
  <c r="W14" i="1" s="1"/>
  <c r="N13" i="1"/>
  <c r="Q13" i="1" s="1"/>
  <c r="T11" i="1"/>
  <c r="W11" i="1" s="1"/>
  <c r="P15" i="1"/>
  <c r="P13" i="1"/>
  <c r="P11" i="1"/>
  <c r="V15" i="1"/>
  <c r="V14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<sst xmlns="http://schemas.openxmlformats.org/spreadsheetml/2006/main" count="223" uniqueCount="75">
  <si>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</si>
  <si>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</si>
  <si>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</si>
  <si>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</si>
  <si>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</si>
  <si>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</si>
  <si>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</si>
  <si>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</si>
  <si>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</si>
  <si>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</si>
  <si>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</si>
  <si>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</si>
  <si>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</si>
  <si>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</si>
  <si>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</si>
  <si>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</si>
  <si>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</si>
  <si>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</si>
  <si>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</si>
  <si>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</si>
  <si>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</si>
  <si>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</si>
  <si>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</si>
  <si>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</si>
  <si>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</si>
  <si>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</si>
  <si>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</si>
  <si>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</si>
  <si>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</si>
  <si>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</si>
  <si>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</si>
  <si>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</si>
  <si>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</si>
  <si>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</si>
  <si>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</si>
  <si>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</si>
  <si>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</si>
  <si>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</si>
  <si>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</si>
  <si>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</si>
  <si>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</si>
  <si>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</si>
  <si>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</si>
  <si>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</si>
  <si>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</si>
  <si>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</si>
  <si>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</si>
  <si>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</si>
  <si>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</si>
  <si>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</si>
  <si>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</si>
  <si>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</si>
  <si>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</si>
  <si>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</si>
  <si>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</si>
  <si>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</si>
  <si>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</si>
  <si>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</si>
  <si>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</si>
  <si>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</si>
  <si>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</si>
  <si>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</si>
  <si>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пахта</t>
  </si>
  <si>
    <t>1589-1590-1591</t>
  </si>
  <si>
    <t>пахта-ғалла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</si>
  <si>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</si>
  <si>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</si>
  <si>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</si>
  <si>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</si>
  <si>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</si>
  <si>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</si>
  <si>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</si>
  <si>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</si>
  <si>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</si>
  <si>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Тошлоқ тумани Араббой Тухтабой  худуди Тоғлик Омад файз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</si>
</sst>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р_._-;\-* #,##0.00_р_._-;_-* &quot;-&quot;??_р_._-;_-@_-"/>
    <numFmt numFmtId="166" formatCode="0.0000"/>
  </numFmts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" fillId="0" borderId="0"/>
    <xf numFmtId="0" fontId="13" fillId="0" borderId="0"/>
    <xf numFmtId="0" fontId="1" fillId="0" borderId="0"/>
    <xf numFmtId="0" fontId="12" fillId="0" borderId="0"/>
    <xf numFmtId="165" fontId="12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0" fillId="0" borderId="0" xfId="0" applyFont="1"/>
    <xf numFmtId="0" fontId="10" fillId="4" borderId="0" xfId="0" applyFont="1" applyFill="1"/>
    <xf numFmtId="0" fontId="2" fillId="0" borderId="0" xfId="0" applyFont="1"/>
    <xf numFmtId="0" fontId="16" fillId="0" borderId="0" xfId="0" applyFont="1"/>
    <xf numFmtId="0" fontId="17" fillId="0" borderId="13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64" fontId="18" fillId="0" borderId="13" xfId="0" applyNumberFormat="1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64" fontId="19" fillId="0" borderId="13" xfId="0" applyNumberFormat="1" applyFont="1" applyBorder="1" applyAlignment="1">
      <alignment horizontal="center" vertical="center" wrapText="1"/>
    </xf>
    <xf numFmtId="164" fontId="18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164" fontId="23" fillId="9" borderId="4" xfId="0" applyNumberFormat="1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</cellXfs>
  <cellStyles count="16">
    <cellStyle name="Обычный" xfId="0" builtinId="0"/>
    <cellStyle name="Обычный 10" xfId="1" xr:uid="{00000000-0005-0000-0000-000001000000}"/>
    <cellStyle name="Обычный 10 2" xfId="2" xr:uid="{00000000-0005-0000-0000-000002000000}"/>
    <cellStyle name="Обычный 10 4" xfId="3" xr:uid="{00000000-0005-0000-0000-000003000000}"/>
    <cellStyle name="Обычный 2" xfId="4" xr:uid="{00000000-0005-0000-0000-000004000000}"/>
    <cellStyle name="Обычный 2 2" xfId="5" xr:uid="{00000000-0005-0000-0000-000005000000}"/>
    <cellStyle name="Обычный 2 2 2" xfId="6" xr:uid="{00000000-0005-0000-0000-000006000000}"/>
    <cellStyle name="Обычный 2 2 3" xfId="7" xr:uid="{00000000-0005-0000-0000-000007000000}"/>
    <cellStyle name="Обычный 2 4 2" xfId="8" xr:uid="{00000000-0005-0000-0000-000008000000}"/>
    <cellStyle name="Обычный 3" xfId="9" xr:uid="{00000000-0005-0000-0000-000009000000}"/>
    <cellStyle name="Обычный 4" xfId="10" xr:uid="{00000000-0005-0000-0000-00000A000000}"/>
    <cellStyle name="Обычный 6" xfId="11" xr:uid="{00000000-0005-0000-0000-00000B000000}"/>
    <cellStyle name="Обычный 61" xfId="12" xr:uid="{00000000-0005-0000-0000-00000C000000}"/>
    <cellStyle name="Обычный 66" xfId="13" xr:uid="{00000000-0005-0000-0000-00000D000000}"/>
    <cellStyle name="Обычный 7" xfId="14" xr:uid="{00000000-0005-0000-0000-00000E000000}"/>
    <cellStyle name="Финансовый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%20&#1081;&#1080;&#1083;\&#1040;&#1075;&#1088;&#1086;-&#1090;&#1072;&#1093;&#1083;&#1080;&#1083;\&#1092;&#1086;&#1089;&#1092;&#1086;&#1088;,%20&#1082;&#1072;&#1083;&#1080;&#1081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3)"/>
      <sheetName val="фосфор"/>
      <sheetName val="калий"/>
    </sheetNames>
    <sheetDataSet>
      <sheetData sheetId="0" refreshError="1"/>
      <sheetData sheetId="1" refreshError="1">
        <row r="2">
          <cell r="B2">
            <v>1.25</v>
          </cell>
          <cell r="E2">
            <v>1.1583000000000001</v>
          </cell>
        </row>
        <row r="3">
          <cell r="E3">
            <v>1.1564555555555556</v>
          </cell>
        </row>
        <row r="5">
          <cell r="E5">
            <v>1.1527666666666667</v>
          </cell>
        </row>
        <row r="7">
          <cell r="E7">
            <v>1.1490777777777779</v>
          </cell>
        </row>
        <row r="11">
          <cell r="E11">
            <v>1.1435444444444445</v>
          </cell>
        </row>
        <row r="24">
          <cell r="B24">
            <v>1.2120111111111112</v>
          </cell>
        </row>
        <row r="33">
          <cell r="B33">
            <v>1.1971666666666667</v>
          </cell>
        </row>
        <row r="37">
          <cell r="B37">
            <v>1.1916</v>
          </cell>
        </row>
        <row r="61">
          <cell r="E61">
            <v>1.0601555555555555</v>
          </cell>
        </row>
      </sheetData>
      <sheetData sheetId="2" refreshError="1">
        <row r="2">
          <cell r="B2">
            <v>1.25</v>
          </cell>
        </row>
        <row r="27">
          <cell r="E27">
            <v>1.0125</v>
          </cell>
        </row>
        <row r="38">
          <cell r="E38">
            <v>0.984375</v>
          </cell>
        </row>
        <row r="41">
          <cell r="E41">
            <v>0.97500000000000009</v>
          </cell>
        </row>
        <row r="42">
          <cell r="E42">
            <v>0.97499999999999998</v>
          </cell>
        </row>
        <row r="55">
          <cell r="E55">
            <v>0.94062500000000004</v>
          </cell>
        </row>
        <row r="61">
          <cell r="E61">
            <v>0.92500000000000004</v>
          </cell>
        </row>
        <row r="66">
          <cell r="E66">
            <v>0.91250000000000009</v>
          </cell>
        </row>
        <row r="67">
          <cell r="E67">
            <v>0.91249999999999998</v>
          </cell>
        </row>
        <row r="78">
          <cell r="B78">
            <v>0.88437499999999991</v>
          </cell>
        </row>
        <row r="90">
          <cell r="E90">
            <v>0.67812500000000009</v>
          </cell>
        </row>
        <row r="101">
          <cell r="E101">
            <v>0.65</v>
          </cell>
        </row>
        <row r="108">
          <cell r="E108">
            <v>0.63437499999999991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G78"/>
  <sheetViews>
    <sheetView tabSelected="1" zoomScale="85" zoomScaleNormal="85" zoomScaleSheetLayoutView="95" workbookViewId="0">
      <selection activeCell="A9" sqref="A9:X21"/>
    </sheetView>
  </sheetViews>
  <sheetFormatPr defaultRowHeight="15"/>
  <cols>
    <col min="1" max="1" width="4.5703125" style="1" customWidth="1"/>
    <col min="2" max="2" width="14.7109375" style="1" bestFit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9" customWidth="1"/>
    <col min="7" max="7" width="12.85546875" style="12" customWidth="1"/>
    <col min="8" max="8" width="6.85546875" style="1" customWidth="1"/>
    <col min="9" max="9" width="7.140625" style="9" customWidth="1"/>
    <col min="10" max="10" width="11.85546875" style="11" customWidth="1"/>
    <col min="11" max="11" width="7.140625" style="1" customWidth="1"/>
    <col min="12" max="12" width="11.7109375" style="11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2" t="s">
        <v>74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33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33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33" ht="12" customHeight="1" thickBo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3" t="s">
        <v>2</v>
      </c>
      <c r="N5" s="54"/>
      <c r="O5" s="54"/>
      <c r="P5" s="54"/>
      <c r="Q5" s="54"/>
      <c r="R5" s="55"/>
      <c r="S5" s="56" t="s">
        <v>3</v>
      </c>
      <c r="T5" s="56"/>
      <c r="U5" s="56"/>
      <c r="V5" s="56"/>
      <c r="W5" s="56"/>
      <c r="X5" s="57"/>
    </row>
    <row r="6" spans="1:33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60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8" t="s">
        <v>15</v>
      </c>
      <c r="N6" s="58"/>
      <c r="O6" s="58"/>
      <c r="P6" s="58" t="s">
        <v>16</v>
      </c>
      <c r="Q6" s="58"/>
      <c r="R6" s="58"/>
      <c r="S6" s="58" t="s">
        <v>15</v>
      </c>
      <c r="T6" s="58"/>
      <c r="U6" s="58"/>
      <c r="V6" s="58" t="s">
        <v>16</v>
      </c>
      <c r="W6" s="58"/>
      <c r="X6" s="58"/>
    </row>
    <row r="7" spans="1:33" ht="60" customHeight="1">
      <c r="A7" s="58"/>
      <c r="B7" s="51"/>
      <c r="C7" s="51"/>
      <c r="D7" s="51"/>
      <c r="E7" s="51"/>
      <c r="F7" s="51"/>
      <c r="G7" s="60"/>
      <c r="H7" s="51"/>
      <c r="I7" s="51"/>
      <c r="J7" s="51"/>
      <c r="K7" s="51"/>
      <c r="L7" s="51"/>
      <c r="M7" s="34" t="s">
        <v>17</v>
      </c>
      <c r="N7" s="34" t="s">
        <v>18</v>
      </c>
      <c r="O7" s="34" t="s">
        <v>19</v>
      </c>
      <c r="P7" s="34" t="s">
        <v>17</v>
      </c>
      <c r="Q7" s="34" t="s">
        <v>18</v>
      </c>
      <c r="R7" s="34" t="s">
        <v>19</v>
      </c>
      <c r="S7" s="34" t="s">
        <v>17</v>
      </c>
      <c r="T7" s="34" t="s">
        <v>18</v>
      </c>
      <c r="U7" s="34" t="s">
        <v>19</v>
      </c>
      <c r="V7" s="34" t="s">
        <v>17</v>
      </c>
      <c r="W7" s="34" t="s">
        <v>18</v>
      </c>
      <c r="X7" s="34" t="s">
        <v>19</v>
      </c>
      <c r="Z7" s="25" t="s">
        <v>59</v>
      </c>
    </row>
    <row r="8" spans="1:33" ht="22.5" customHeight="1">
      <c r="A8" s="58"/>
      <c r="B8" s="59"/>
      <c r="C8" s="51"/>
      <c r="D8" s="51"/>
      <c r="E8" s="51"/>
      <c r="F8" s="51"/>
      <c r="G8" s="60"/>
      <c r="H8" s="51"/>
      <c r="I8" s="51"/>
      <c r="J8" s="51"/>
      <c r="K8" s="51"/>
      <c r="L8" s="51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58</v>
      </c>
      <c r="W8" s="61"/>
      <c r="X8" s="61"/>
    </row>
    <row r="9" spans="1:33" s="9" customFormat="1">
      <c r="A9" s="38">
        <v>1</v>
      </c>
      <c r="B9" s="39">
        <v>1535</v>
      </c>
      <c r="C9" s="39">
        <v>1.3</v>
      </c>
      <c r="D9" s="41" t="s">
        <v>61</v>
      </c>
      <c r="E9" s="40">
        <v>11.09</v>
      </c>
      <c r="F9" s="36">
        <f>[1]фосфор!$B$37</f>
        <v>1.1916</v>
      </c>
      <c r="G9" s="28" t="s">
        <v>55</v>
      </c>
      <c r="H9" s="6">
        <v>289</v>
      </c>
      <c r="I9" s="36">
        <f>[1]калий!$E$101</f>
        <v>0.65</v>
      </c>
      <c r="J9" s="26" t="s">
        <v>57</v>
      </c>
      <c r="K9" s="37">
        <v>0.8</v>
      </c>
      <c r="L9" s="28" t="s">
        <v>55</v>
      </c>
      <c r="M9" s="7">
        <f>+Y9*Z9</f>
        <v>7.7165999999999997</v>
      </c>
      <c r="N9" s="8">
        <f>M9*F9*0.7</f>
        <v>6.4365703920000001</v>
      </c>
      <c r="O9" s="8">
        <f>M9*I9*0.5</f>
        <v>2.507895</v>
      </c>
      <c r="P9" s="8">
        <f>M9*C9</f>
        <v>10.03158</v>
      </c>
      <c r="Q9" s="8">
        <f>N9*C9</f>
        <v>8.3675415096000005</v>
      </c>
      <c r="R9" s="8">
        <f>O9*C9</f>
        <v>3.2602635000000002</v>
      </c>
      <c r="S9" s="8">
        <f>+AA9*Z9</f>
        <v>4.8485969999999998</v>
      </c>
      <c r="T9" s="8">
        <f>S9*F9*0.7</f>
        <v>4.0443117296399995</v>
      </c>
      <c r="U9" s="8">
        <f>S9*I9*0.3</f>
        <v>0.9454764149999999</v>
      </c>
      <c r="V9" s="8">
        <f>S9*C9</f>
        <v>6.3031760999999999</v>
      </c>
      <c r="W9" s="8">
        <f>T9*C9</f>
        <v>5.2576052485319993</v>
      </c>
      <c r="X9" s="8">
        <f>U9*C9</f>
        <v>1.2291193395</v>
      </c>
      <c r="Y9" s="24">
        <v>6</v>
      </c>
      <c r="Z9" s="9">
        <v>1.2861</v>
      </c>
      <c r="AA9" s="9">
        <v>3.77</v>
      </c>
      <c r="AB9" s="10"/>
      <c r="AC9" s="27" t="s">
        <v>56</v>
      </c>
    </row>
    <row r="10" spans="1:33" s="9" customFormat="1">
      <c r="A10" s="38">
        <v>2</v>
      </c>
      <c r="B10" s="39">
        <v>1536</v>
      </c>
      <c r="C10" s="39">
        <v>3.4</v>
      </c>
      <c r="D10" s="41" t="s">
        <v>62</v>
      </c>
      <c r="E10" s="40">
        <v>9.7170000000000005</v>
      </c>
      <c r="F10" s="36">
        <f>[1]фосфор!$B$24</f>
        <v>1.2120111111111112</v>
      </c>
      <c r="G10" s="28" t="s">
        <v>55</v>
      </c>
      <c r="H10" s="6">
        <v>296</v>
      </c>
      <c r="I10" s="36">
        <f>[1]калий!$E$108</f>
        <v>0.63437499999999991</v>
      </c>
      <c r="J10" s="26" t="s">
        <v>57</v>
      </c>
      <c r="K10" s="37">
        <v>0.7</v>
      </c>
      <c r="L10" s="28" t="s">
        <v>55</v>
      </c>
      <c r="M10" s="7">
        <f t="shared" ref="M10:M11" si="0">+Y10*Z10</f>
        <v>7.7165999999999997</v>
      </c>
      <c r="N10" s="8">
        <f t="shared" ref="N10:N11" si="1">M10*F10*0.7</f>
        <v>6.5468234579999987</v>
      </c>
      <c r="O10" s="8">
        <f t="shared" ref="O10:O11" si="2">M10*I10*0.5</f>
        <v>2.4476090624999998</v>
      </c>
      <c r="P10" s="8">
        <f t="shared" ref="P10:P11" si="3">M10*C10</f>
        <v>26.236439999999998</v>
      </c>
      <c r="Q10" s="8">
        <f t="shared" ref="Q10:Q11" si="4">N10*C10</f>
        <v>22.259199757199994</v>
      </c>
      <c r="R10" s="8">
        <f t="shared" ref="R10:R11" si="5">O10*C10</f>
        <v>8.3218708124999985</v>
      </c>
      <c r="S10" s="8">
        <f t="shared" ref="S10:S11" si="6">+AA10*Z10</f>
        <v>4.8485969999999998</v>
      </c>
      <c r="T10" s="8">
        <f t="shared" ref="T10:T11" si="7">S10*F10*0.7</f>
        <v>4.1135874061099997</v>
      </c>
      <c r="U10" s="8">
        <f t="shared" ref="U10:U11" si="8">S10*I10*0.3</f>
        <v>0.92274861656249973</v>
      </c>
      <c r="V10" s="8">
        <f t="shared" ref="V10:V11" si="9">S10*C10</f>
        <v>16.485229799999999</v>
      </c>
      <c r="W10" s="8">
        <f t="shared" ref="W10:W11" si="10">T10*C10</f>
        <v>13.986197180773999</v>
      </c>
      <c r="X10" s="8">
        <f t="shared" ref="X10:X11" si="11">U10*C10</f>
        <v>3.1373452963124988</v>
      </c>
      <c r="Y10" s="24">
        <v>6</v>
      </c>
      <c r="Z10" s="9">
        <v>1.2861</v>
      </c>
      <c r="AA10" s="9">
        <v>3.77</v>
      </c>
      <c r="AC10" s="26" t="s">
        <v>57</v>
      </c>
    </row>
    <row r="11" spans="1:33" s="9" customFormat="1">
      <c r="A11" s="38">
        <v>3</v>
      </c>
      <c r="B11" s="39">
        <v>1537</v>
      </c>
      <c r="C11" s="39">
        <v>4.2</v>
      </c>
      <c r="D11" s="41" t="s">
        <v>62</v>
      </c>
      <c r="E11" s="40">
        <v>81.77</v>
      </c>
      <c r="F11" s="36">
        <v>0.373</v>
      </c>
      <c r="G11" s="30" t="s">
        <v>60</v>
      </c>
      <c r="H11" s="6">
        <v>278</v>
      </c>
      <c r="I11" s="36">
        <f>[1]калий!$E$90</f>
        <v>0.67812500000000009</v>
      </c>
      <c r="J11" s="26" t="s">
        <v>57</v>
      </c>
      <c r="K11" s="6">
        <v>1.1000000000000001</v>
      </c>
      <c r="L11" s="29" t="s">
        <v>21</v>
      </c>
      <c r="M11" s="7">
        <f t="shared" si="0"/>
        <v>7.7165999999999997</v>
      </c>
      <c r="N11" s="8">
        <f t="shared" si="1"/>
        <v>2.01480426</v>
      </c>
      <c r="O11" s="8">
        <f t="shared" si="2"/>
        <v>2.6164096875</v>
      </c>
      <c r="P11" s="8">
        <f t="shared" si="3"/>
        <v>32.40972</v>
      </c>
      <c r="Q11" s="8">
        <f t="shared" si="4"/>
        <v>8.4621778919999997</v>
      </c>
      <c r="R11" s="8">
        <f t="shared" si="5"/>
        <v>10.9889206875</v>
      </c>
      <c r="S11" s="8">
        <f t="shared" si="6"/>
        <v>4.8485969999999998</v>
      </c>
      <c r="T11" s="8">
        <f t="shared" si="7"/>
        <v>1.2659686767</v>
      </c>
      <c r="U11" s="8">
        <f t="shared" si="8"/>
        <v>0.9863864521875001</v>
      </c>
      <c r="V11" s="8">
        <f t="shared" si="9"/>
        <v>20.364107400000002</v>
      </c>
      <c r="W11" s="8">
        <f t="shared" si="10"/>
        <v>5.3170684421400001</v>
      </c>
      <c r="X11" s="8">
        <f t="shared" si="11"/>
        <v>4.1428230991875008</v>
      </c>
      <c r="Y11" s="24">
        <v>6</v>
      </c>
      <c r="Z11" s="9">
        <v>1.2861</v>
      </c>
      <c r="AA11" s="9">
        <v>3.77</v>
      </c>
      <c r="AC11" s="28" t="s">
        <v>55</v>
      </c>
    </row>
    <row r="12" spans="1:33">
      <c r="A12" s="38">
        <v>4</v>
      </c>
      <c r="B12" s="39">
        <v>1538</v>
      </c>
      <c r="C12" s="39">
        <v>5.4</v>
      </c>
      <c r="D12" s="41" t="s">
        <v>62</v>
      </c>
      <c r="E12" s="40">
        <v>13.98</v>
      </c>
      <c r="F12" s="36">
        <f>[1]фосфор!$E$11</f>
        <v>1.1435444444444445</v>
      </c>
      <c r="G12" s="28" t="s">
        <v>55</v>
      </c>
      <c r="H12" s="6">
        <v>296</v>
      </c>
      <c r="I12" s="36">
        <f>[1]калий!$E$108</f>
        <v>0.63437499999999991</v>
      </c>
      <c r="J12" s="26" t="s">
        <v>57</v>
      </c>
      <c r="K12" s="37">
        <v>1</v>
      </c>
      <c r="L12" s="29" t="s">
        <v>21</v>
      </c>
      <c r="M12" s="7">
        <f t="shared" ref="M12:M15" si="12">+Y12*Z12</f>
        <v>7.7165999999999997</v>
      </c>
      <c r="N12" s="8">
        <f t="shared" ref="N12:N15" si="13">M12*F12*0.7</f>
        <v>6.1769925419999998</v>
      </c>
      <c r="O12" s="8">
        <f t="shared" ref="O12:O15" si="14">M12*I12*0.5</f>
        <v>2.4476090624999998</v>
      </c>
      <c r="P12" s="8">
        <f t="shared" ref="P12:P15" si="15">M12*C12</f>
        <v>41.669640000000001</v>
      </c>
      <c r="Q12" s="8">
        <f t="shared" ref="Q12:Q15" si="16">N12*C12</f>
        <v>33.355759726800002</v>
      </c>
      <c r="R12" s="8">
        <f t="shared" ref="R12:R15" si="17">O12*C12</f>
        <v>13.2170889375</v>
      </c>
      <c r="S12" s="8">
        <f t="shared" ref="S12:S15" si="18">+AA12*Z12</f>
        <v>4.8485969999999998</v>
      </c>
      <c r="T12" s="8">
        <f t="shared" ref="T12:T15" si="19">S12*F12*0.7</f>
        <v>3.8812103138899996</v>
      </c>
      <c r="U12" s="8">
        <f t="shared" ref="U12:U15" si="20">S12*I12*0.3</f>
        <v>0.92274861656249973</v>
      </c>
      <c r="V12" s="8">
        <f t="shared" ref="V12:V15" si="21">S12*C12</f>
        <v>26.182423800000002</v>
      </c>
      <c r="W12" s="8">
        <f t="shared" ref="W12:W15" si="22">T12*C12</f>
        <v>20.958535695005999</v>
      </c>
      <c r="X12" s="8">
        <f t="shared" ref="X12:X15" si="23">U12*C12</f>
        <v>4.9828425294374989</v>
      </c>
      <c r="Y12" s="24">
        <v>6</v>
      </c>
      <c r="Z12" s="9">
        <v>1.2861</v>
      </c>
      <c r="AA12" s="9">
        <v>3.77</v>
      </c>
      <c r="AC12" s="29" t="s">
        <v>21</v>
      </c>
    </row>
    <row r="13" spans="1:33" ht="15" customHeight="1">
      <c r="A13" s="38">
        <v>5</v>
      </c>
      <c r="B13" s="39">
        <v>1539</v>
      </c>
      <c r="C13" s="39">
        <v>2.7</v>
      </c>
      <c r="D13" s="41" t="s">
        <v>64</v>
      </c>
      <c r="E13" s="40">
        <v>13.59</v>
      </c>
      <c r="F13" s="36">
        <f>[1]фосфор!$E$7</f>
        <v>1.1490777777777779</v>
      </c>
      <c r="G13" s="28" t="s">
        <v>55</v>
      </c>
      <c r="H13" s="6">
        <v>145</v>
      </c>
      <c r="I13" s="36">
        <f>[1]калий!$E$27</f>
        <v>1.0125</v>
      </c>
      <c r="J13" s="29" t="s">
        <v>21</v>
      </c>
      <c r="K13" s="6">
        <v>0.8</v>
      </c>
      <c r="L13" s="28" t="s">
        <v>55</v>
      </c>
      <c r="M13" s="7">
        <f t="shared" si="12"/>
        <v>7.7165999999999997</v>
      </c>
      <c r="N13" s="8">
        <f t="shared" si="13"/>
        <v>6.2068815059999993</v>
      </c>
      <c r="O13" s="8">
        <f t="shared" si="14"/>
        <v>3.9065287499999997</v>
      </c>
      <c r="P13" s="8">
        <f t="shared" si="15"/>
        <v>20.834820000000001</v>
      </c>
      <c r="Q13" s="8">
        <f t="shared" si="16"/>
        <v>16.7585800662</v>
      </c>
      <c r="R13" s="8">
        <f t="shared" si="17"/>
        <v>10.547627625000001</v>
      </c>
      <c r="S13" s="8">
        <f t="shared" si="18"/>
        <v>4.8485969999999998</v>
      </c>
      <c r="T13" s="8">
        <f t="shared" si="19"/>
        <v>3.8999905462699997</v>
      </c>
      <c r="U13" s="8">
        <f t="shared" si="20"/>
        <v>1.47276133875</v>
      </c>
      <c r="V13" s="8">
        <f t="shared" si="21"/>
        <v>13.091211900000001</v>
      </c>
      <c r="W13" s="8">
        <f t="shared" si="22"/>
        <v>10.529974474929</v>
      </c>
      <c r="X13" s="8">
        <f t="shared" si="23"/>
        <v>3.9764556146250003</v>
      </c>
      <c r="Y13" s="24">
        <v>6</v>
      </c>
      <c r="Z13" s="9">
        <v>1.2861</v>
      </c>
      <c r="AA13" s="9">
        <v>3.77</v>
      </c>
      <c r="AC13" s="30" t="s">
        <v>60</v>
      </c>
      <c r="AG13" s="1">
        <v>300</v>
      </c>
    </row>
    <row r="14" spans="1:33">
      <c r="A14" s="38">
        <v>6</v>
      </c>
      <c r="B14" s="39">
        <v>1540</v>
      </c>
      <c r="C14" s="39">
        <v>5.3</v>
      </c>
      <c r="D14" s="41" t="s">
        <v>64</v>
      </c>
      <c r="E14" s="40">
        <v>71.8</v>
      </c>
      <c r="F14" s="36">
        <v>0.373</v>
      </c>
      <c r="G14" s="30" t="s">
        <v>60</v>
      </c>
      <c r="H14" s="6">
        <v>156</v>
      </c>
      <c r="I14" s="36">
        <f>[1]калий!$E$38</f>
        <v>0.984375</v>
      </c>
      <c r="J14" s="29" t="s">
        <v>21</v>
      </c>
      <c r="K14" s="37">
        <v>0.9</v>
      </c>
      <c r="L14" s="29" t="s">
        <v>21</v>
      </c>
      <c r="M14" s="7">
        <f t="shared" si="12"/>
        <v>7.7165999999999997</v>
      </c>
      <c r="N14" s="8">
        <f t="shared" si="13"/>
        <v>2.01480426</v>
      </c>
      <c r="O14" s="8">
        <f t="shared" si="14"/>
        <v>3.7980140625000001</v>
      </c>
      <c r="P14" s="8">
        <f t="shared" si="15"/>
        <v>40.897979999999997</v>
      </c>
      <c r="Q14" s="8">
        <f t="shared" si="16"/>
        <v>10.678462578</v>
      </c>
      <c r="R14" s="8">
        <f t="shared" si="17"/>
        <v>20.129474531250001</v>
      </c>
      <c r="S14" s="8">
        <f t="shared" si="18"/>
        <v>4.8485969999999998</v>
      </c>
      <c r="T14" s="8">
        <f t="shared" si="19"/>
        <v>1.2659686767</v>
      </c>
      <c r="U14" s="8">
        <f t="shared" si="20"/>
        <v>1.4318513015625001</v>
      </c>
      <c r="V14" s="8">
        <f t="shared" si="21"/>
        <v>25.697564099999997</v>
      </c>
      <c r="W14" s="8">
        <f t="shared" si="22"/>
        <v>6.7096339865100001</v>
      </c>
      <c r="X14" s="8">
        <f t="shared" si="23"/>
        <v>7.58881189828125</v>
      </c>
      <c r="Y14" s="24">
        <v>6</v>
      </c>
      <c r="Z14" s="9">
        <v>1.2861</v>
      </c>
      <c r="AA14" s="9">
        <v>3.77</v>
      </c>
    </row>
    <row r="15" spans="1:33">
      <c r="A15" s="38">
        <v>7</v>
      </c>
      <c r="B15" s="39">
        <v>1576</v>
      </c>
      <c r="C15" s="42">
        <v>5</v>
      </c>
      <c r="D15" s="41" t="s">
        <v>62</v>
      </c>
      <c r="E15" s="40">
        <v>18.989999999999998</v>
      </c>
      <c r="F15" s="36">
        <f>[1]фосфор!$E$61</f>
        <v>1.0601555555555555</v>
      </c>
      <c r="G15" s="29" t="s">
        <v>21</v>
      </c>
      <c r="H15" s="6">
        <v>173</v>
      </c>
      <c r="I15" s="36">
        <f>[1]калий!$E$55</f>
        <v>0.94062500000000004</v>
      </c>
      <c r="J15" s="29" t="s">
        <v>21</v>
      </c>
      <c r="K15" s="6">
        <v>0.9</v>
      </c>
      <c r="L15" s="29" t="s">
        <v>21</v>
      </c>
      <c r="M15" s="7">
        <f t="shared" si="12"/>
        <v>7.7165999999999997</v>
      </c>
      <c r="N15" s="8">
        <f t="shared" si="13"/>
        <v>5.7265574519999989</v>
      </c>
      <c r="O15" s="8">
        <f t="shared" si="14"/>
        <v>3.6292134374999998</v>
      </c>
      <c r="P15" s="8">
        <f t="shared" si="15"/>
        <v>38.582999999999998</v>
      </c>
      <c r="Q15" s="8">
        <f t="shared" si="16"/>
        <v>28.632787259999994</v>
      </c>
      <c r="R15" s="8">
        <f t="shared" si="17"/>
        <v>18.146067187499998</v>
      </c>
      <c r="S15" s="8">
        <f t="shared" si="18"/>
        <v>4.8485969999999998</v>
      </c>
      <c r="T15" s="8">
        <f t="shared" si="19"/>
        <v>3.5981869323399995</v>
      </c>
      <c r="U15" s="8">
        <f t="shared" si="20"/>
        <v>1.3682134659375</v>
      </c>
      <c r="V15" s="8">
        <f t="shared" si="21"/>
        <v>24.242984999999997</v>
      </c>
      <c r="W15" s="8">
        <f t="shared" si="22"/>
        <v>17.990934661699999</v>
      </c>
      <c r="X15" s="8">
        <f t="shared" si="23"/>
        <v>6.8410673296875002</v>
      </c>
      <c r="Y15" s="24">
        <v>6</v>
      </c>
      <c r="Z15" s="9">
        <v>1.2861</v>
      </c>
      <c r="AA15" s="9">
        <v>3.77</v>
      </c>
    </row>
    <row r="16" spans="1:33">
      <c r="A16" s="38">
        <v>8</v>
      </c>
      <c r="B16" s="39">
        <v>1576</v>
      </c>
      <c r="C16" s="39">
        <v>2.2000000000000002</v>
      </c>
      <c r="D16" s="41" t="s">
        <v>61</v>
      </c>
      <c r="E16" s="40">
        <v>13.39</v>
      </c>
      <c r="F16" s="36">
        <f>[1]фосфор!$E$5</f>
        <v>1.1527666666666667</v>
      </c>
      <c r="G16" s="28" t="s">
        <v>55</v>
      </c>
      <c r="H16" s="6">
        <v>184</v>
      </c>
      <c r="I16" s="36">
        <f>[1]калий!$E$66</f>
        <v>0.91250000000000009</v>
      </c>
      <c r="J16" s="29" t="s">
        <v>21</v>
      </c>
      <c r="K16" s="6">
        <v>1.3</v>
      </c>
      <c r="L16" s="26" t="s">
        <v>57</v>
      </c>
      <c r="M16" s="7">
        <f t="shared" ref="M16:M17" si="24">+Y16*Z16</f>
        <v>7.7165999999999997</v>
      </c>
      <c r="N16" s="8">
        <f t="shared" ref="N16:N17" si="25">M16*F16*0.7</f>
        <v>6.2268074819999999</v>
      </c>
      <c r="O16" s="8">
        <f t="shared" ref="O16:O17" si="26">M16*I16*0.5</f>
        <v>3.5206987500000002</v>
      </c>
      <c r="P16" s="8">
        <f t="shared" ref="P16:P17" si="27">M16*C16</f>
        <v>16.976520000000001</v>
      </c>
      <c r="Q16" s="8">
        <f t="shared" ref="Q16:Q17" si="28">N16*C16</f>
        <v>13.698976460400001</v>
      </c>
      <c r="R16" s="8">
        <f t="shared" ref="R16:R17" si="29">O16*C16</f>
        <v>7.7455372500000008</v>
      </c>
      <c r="S16" s="8">
        <f t="shared" ref="S16:S17" si="30">+AA16*Z16</f>
        <v>4.8485969999999998</v>
      </c>
      <c r="T16" s="8">
        <f t="shared" ref="T16:T17" si="31">S16*F16*0.7</f>
        <v>3.9125107011899996</v>
      </c>
      <c r="U16" s="8">
        <f t="shared" ref="U16:U17" si="32">S16*I16*0.3</f>
        <v>1.3273034287500001</v>
      </c>
      <c r="V16" s="8">
        <f t="shared" ref="V16:V17" si="33">S16*C16</f>
        <v>10.6669134</v>
      </c>
      <c r="W16" s="8">
        <f t="shared" ref="W16:W17" si="34">T16*C16</f>
        <v>8.607523542617999</v>
      </c>
      <c r="X16" s="8">
        <f t="shared" ref="X16:X17" si="35">U16*C16</f>
        <v>2.9200675432500005</v>
      </c>
      <c r="Y16" s="24">
        <v>6</v>
      </c>
      <c r="Z16" s="9">
        <v>1.2861</v>
      </c>
      <c r="AA16" s="9">
        <v>3.77</v>
      </c>
    </row>
    <row r="17" spans="1:32">
      <c r="A17" s="38">
        <v>9</v>
      </c>
      <c r="B17" s="39">
        <v>1577</v>
      </c>
      <c r="C17" s="42">
        <v>5</v>
      </c>
      <c r="D17" s="41" t="s">
        <v>64</v>
      </c>
      <c r="E17" s="40">
        <v>71.8</v>
      </c>
      <c r="F17" s="36">
        <v>0.373</v>
      </c>
      <c r="G17" s="30" t="s">
        <v>60</v>
      </c>
      <c r="H17" s="6">
        <v>159</v>
      </c>
      <c r="I17" s="36">
        <f>[1]калий!$E$41</f>
        <v>0.97500000000000009</v>
      </c>
      <c r="J17" s="29" t="s">
        <v>21</v>
      </c>
      <c r="K17" s="6">
        <v>0.6</v>
      </c>
      <c r="L17" s="28" t="s">
        <v>55</v>
      </c>
      <c r="M17" s="7">
        <f t="shared" si="24"/>
        <v>7.7165999999999997</v>
      </c>
      <c r="N17" s="8">
        <f t="shared" si="25"/>
        <v>2.01480426</v>
      </c>
      <c r="O17" s="8">
        <f t="shared" si="26"/>
        <v>3.7618425000000002</v>
      </c>
      <c r="P17" s="8">
        <f t="shared" si="27"/>
        <v>38.582999999999998</v>
      </c>
      <c r="Q17" s="8">
        <f t="shared" si="28"/>
        <v>10.0740213</v>
      </c>
      <c r="R17" s="8">
        <f t="shared" si="29"/>
        <v>18.809212500000001</v>
      </c>
      <c r="S17" s="8">
        <f t="shared" si="30"/>
        <v>4.8485969999999998</v>
      </c>
      <c r="T17" s="8">
        <f t="shared" si="31"/>
        <v>1.2659686767</v>
      </c>
      <c r="U17" s="8">
        <f t="shared" si="32"/>
        <v>1.4182146225000001</v>
      </c>
      <c r="V17" s="8">
        <f t="shared" si="33"/>
        <v>24.242984999999997</v>
      </c>
      <c r="W17" s="8">
        <f t="shared" si="34"/>
        <v>6.3298433835000001</v>
      </c>
      <c r="X17" s="8">
        <f t="shared" si="35"/>
        <v>7.0910731125000002</v>
      </c>
      <c r="Y17" s="24">
        <v>6</v>
      </c>
      <c r="Z17" s="9">
        <v>1.2861</v>
      </c>
      <c r="AA17" s="9">
        <v>3.77</v>
      </c>
    </row>
    <row r="18" spans="1:32">
      <c r="A18" s="38">
        <v>10</v>
      </c>
      <c r="B18" s="39">
        <v>1577</v>
      </c>
      <c r="C18" s="42">
        <v>3</v>
      </c>
      <c r="D18" s="41" t="s">
        <v>62</v>
      </c>
      <c r="E18" s="40">
        <v>18.989999999999998</v>
      </c>
      <c r="F18" s="36">
        <f>[1]фосфор!$E$61</f>
        <v>1.0601555555555555</v>
      </c>
      <c r="G18" s="29" t="s">
        <v>21</v>
      </c>
      <c r="H18" s="6">
        <v>160</v>
      </c>
      <c r="I18" s="36">
        <f>[1]калий!$E$42</f>
        <v>0.97499999999999998</v>
      </c>
      <c r="J18" s="29" t="s">
        <v>21</v>
      </c>
      <c r="K18" s="6">
        <v>1.8</v>
      </c>
      <c r="L18" s="27" t="s">
        <v>56</v>
      </c>
      <c r="M18" s="7">
        <f t="shared" ref="M18:M21" si="36">+Y18*Z18</f>
        <v>7.7165999999999997</v>
      </c>
      <c r="N18" s="8">
        <f t="shared" ref="N18:N21" si="37">M18*F18*0.7</f>
        <v>5.7265574519999989</v>
      </c>
      <c r="O18" s="8">
        <f t="shared" ref="O18:O21" si="38">M18*I18*0.5</f>
        <v>3.7618424999999998</v>
      </c>
      <c r="P18" s="8">
        <f t="shared" ref="P18:P21" si="39">M18*C18</f>
        <v>23.149799999999999</v>
      </c>
      <c r="Q18" s="8">
        <f t="shared" ref="Q18:Q21" si="40">N18*C18</f>
        <v>17.179672355999998</v>
      </c>
      <c r="R18" s="8">
        <f t="shared" ref="R18:R21" si="41">O18*C18</f>
        <v>11.285527499999999</v>
      </c>
      <c r="S18" s="8">
        <f t="shared" ref="S18:S21" si="42">+AA18*Z18</f>
        <v>4.8485969999999998</v>
      </c>
      <c r="T18" s="8">
        <f t="shared" ref="T18:T21" si="43">S18*F18*0.7</f>
        <v>3.5981869323399995</v>
      </c>
      <c r="U18" s="8">
        <f t="shared" ref="U18:U21" si="44">S18*I18*0.3</f>
        <v>1.4182146224999999</v>
      </c>
      <c r="V18" s="8">
        <f t="shared" ref="V18:V21" si="45">S18*C18</f>
        <v>14.545790999999999</v>
      </c>
      <c r="W18" s="8">
        <f t="shared" ref="W18:W21" si="46">T18*C18</f>
        <v>10.794560797019999</v>
      </c>
      <c r="X18" s="8">
        <f t="shared" ref="X18:X21" si="47">U18*C18</f>
        <v>4.2546438674999996</v>
      </c>
      <c r="Y18" s="24">
        <v>6</v>
      </c>
      <c r="Z18" s="9">
        <v>1.2861</v>
      </c>
      <c r="AA18" s="9">
        <v>3.77</v>
      </c>
    </row>
    <row r="19" spans="1:32">
      <c r="A19" s="38">
        <v>11</v>
      </c>
      <c r="B19" s="39">
        <v>1585</v>
      </c>
      <c r="C19" s="39">
        <v>4.8</v>
      </c>
      <c r="D19" s="41" t="s">
        <v>61</v>
      </c>
      <c r="E19" s="40">
        <v>13.15</v>
      </c>
      <c r="F19" s="36">
        <f>[1]фосфор!$E$3</f>
        <v>1.1564555555555556</v>
      </c>
      <c r="G19" s="28" t="s">
        <v>55</v>
      </c>
      <c r="H19" s="6">
        <v>179</v>
      </c>
      <c r="I19" s="36">
        <f>[1]калий!$E$61</f>
        <v>0.92500000000000004</v>
      </c>
      <c r="J19" s="29" t="s">
        <v>21</v>
      </c>
      <c r="K19" s="6">
        <v>0.6</v>
      </c>
      <c r="L19" s="28" t="s">
        <v>55</v>
      </c>
      <c r="M19" s="7">
        <f t="shared" si="36"/>
        <v>7.7165999999999997</v>
      </c>
      <c r="N19" s="8">
        <f t="shared" si="37"/>
        <v>6.2467334579999996</v>
      </c>
      <c r="O19" s="8">
        <f t="shared" si="38"/>
        <v>3.5689275</v>
      </c>
      <c r="P19" s="8">
        <f t="shared" si="39"/>
        <v>37.039679999999997</v>
      </c>
      <c r="Q19" s="8">
        <f t="shared" si="40"/>
        <v>29.984320598399997</v>
      </c>
      <c r="R19" s="8">
        <f t="shared" si="41"/>
        <v>17.130852000000001</v>
      </c>
      <c r="S19" s="8">
        <f t="shared" si="42"/>
        <v>4.8485969999999998</v>
      </c>
      <c r="T19" s="8">
        <f t="shared" si="43"/>
        <v>3.9250308561099998</v>
      </c>
      <c r="U19" s="8">
        <f t="shared" si="44"/>
        <v>1.3454856675</v>
      </c>
      <c r="V19" s="8">
        <f t="shared" si="45"/>
        <v>23.273265599999998</v>
      </c>
      <c r="W19" s="8">
        <f t="shared" si="46"/>
        <v>18.840148109327998</v>
      </c>
      <c r="X19" s="8">
        <f t="shared" si="47"/>
        <v>6.4583312039999994</v>
      </c>
      <c r="Y19" s="24">
        <v>6</v>
      </c>
      <c r="Z19" s="9">
        <v>1.2861</v>
      </c>
      <c r="AA19" s="9">
        <v>3.77</v>
      </c>
    </row>
    <row r="20" spans="1:32" s="9" customFormat="1">
      <c r="A20" s="38">
        <v>12</v>
      </c>
      <c r="B20" s="39">
        <v>1588</v>
      </c>
      <c r="C20" s="42">
        <v>3</v>
      </c>
      <c r="D20" s="41" t="s">
        <v>64</v>
      </c>
      <c r="E20" s="40">
        <v>13.01</v>
      </c>
      <c r="F20" s="36">
        <f>[1]фосфор!$E$2</f>
        <v>1.1583000000000001</v>
      </c>
      <c r="G20" s="28" t="s">
        <v>55</v>
      </c>
      <c r="H20" s="6">
        <v>185</v>
      </c>
      <c r="I20" s="36">
        <f>[1]калий!$E$67</f>
        <v>0.91249999999999998</v>
      </c>
      <c r="J20" s="29" t="s">
        <v>21</v>
      </c>
      <c r="K20" s="6">
        <v>1.6</v>
      </c>
      <c r="L20" s="26" t="s">
        <v>57</v>
      </c>
      <c r="M20" s="7">
        <f t="shared" si="36"/>
        <v>7.7165999999999997</v>
      </c>
      <c r="N20" s="8">
        <f t="shared" si="37"/>
        <v>6.2566964459999994</v>
      </c>
      <c r="O20" s="8">
        <f t="shared" si="38"/>
        <v>3.5206987499999998</v>
      </c>
      <c r="P20" s="8">
        <f t="shared" si="39"/>
        <v>23.149799999999999</v>
      </c>
      <c r="Q20" s="8">
        <f t="shared" si="40"/>
        <v>18.770089337999998</v>
      </c>
      <c r="R20" s="8">
        <f t="shared" si="41"/>
        <v>10.56209625</v>
      </c>
      <c r="S20" s="8">
        <f t="shared" si="42"/>
        <v>4.8485969999999998</v>
      </c>
      <c r="T20" s="8">
        <f t="shared" si="43"/>
        <v>3.9312909335699997</v>
      </c>
      <c r="U20" s="8">
        <f t="shared" si="44"/>
        <v>1.3273034287499998</v>
      </c>
      <c r="V20" s="8">
        <f t="shared" si="45"/>
        <v>14.545790999999999</v>
      </c>
      <c r="W20" s="8">
        <f t="shared" si="46"/>
        <v>11.793872800709998</v>
      </c>
      <c r="X20" s="8">
        <f t="shared" si="47"/>
        <v>3.9819102862499998</v>
      </c>
      <c r="Y20" s="24">
        <v>6</v>
      </c>
      <c r="Z20" s="9">
        <v>1.2861</v>
      </c>
      <c r="AA20" s="9">
        <v>3.77</v>
      </c>
      <c r="AB20" s="1"/>
      <c r="AC20" s="1"/>
      <c r="AD20" s="1"/>
      <c r="AE20" s="1"/>
      <c r="AF20" s="1"/>
    </row>
    <row r="21" spans="1:32" s="9" customFormat="1">
      <c r="A21" s="38">
        <v>13</v>
      </c>
      <c r="B21" s="39" t="s">
        <v>63</v>
      </c>
      <c r="C21" s="39">
        <v>5.9</v>
      </c>
      <c r="D21" s="41" t="s">
        <v>62</v>
      </c>
      <c r="E21" s="40">
        <v>10.62</v>
      </c>
      <c r="F21" s="36">
        <f>[1]фосфор!$B$33</f>
        <v>1.1971666666666667</v>
      </c>
      <c r="G21" s="28" t="s">
        <v>55</v>
      </c>
      <c r="H21" s="6">
        <v>196</v>
      </c>
      <c r="I21" s="36">
        <f>[1]калий!$B$78</f>
        <v>0.88437499999999991</v>
      </c>
      <c r="J21" s="29" t="s">
        <v>21</v>
      </c>
      <c r="K21" s="37">
        <v>1</v>
      </c>
      <c r="L21" s="29" t="s">
        <v>21</v>
      </c>
      <c r="M21" s="7">
        <f t="shared" si="36"/>
        <v>7.7165999999999997</v>
      </c>
      <c r="N21" s="8">
        <f t="shared" si="37"/>
        <v>6.46663941</v>
      </c>
      <c r="O21" s="8">
        <f t="shared" si="38"/>
        <v>3.4121840624999997</v>
      </c>
      <c r="P21" s="8">
        <f t="shared" si="39"/>
        <v>45.527940000000001</v>
      </c>
      <c r="Q21" s="8">
        <f t="shared" si="40"/>
        <v>38.153172519000002</v>
      </c>
      <c r="R21" s="8">
        <f t="shared" si="41"/>
        <v>20.131885968749998</v>
      </c>
      <c r="S21" s="8">
        <f t="shared" si="42"/>
        <v>4.8485969999999998</v>
      </c>
      <c r="T21" s="8">
        <f t="shared" si="43"/>
        <v>4.0632050959499999</v>
      </c>
      <c r="U21" s="8">
        <f t="shared" si="44"/>
        <v>1.2863933915624999</v>
      </c>
      <c r="V21" s="8">
        <f t="shared" si="45"/>
        <v>28.606722300000001</v>
      </c>
      <c r="W21" s="8">
        <f t="shared" si="46"/>
        <v>23.972910066105001</v>
      </c>
      <c r="X21" s="8">
        <f t="shared" si="47"/>
        <v>7.5897210102187493</v>
      </c>
      <c r="Y21" s="24">
        <v>6</v>
      </c>
      <c r="Z21" s="9">
        <v>1.2861</v>
      </c>
      <c r="AA21" s="9">
        <v>3.77</v>
      </c>
      <c r="AB21" s="1"/>
      <c r="AC21" s="1"/>
      <c r="AD21" s="1"/>
      <c r="AE21" s="1"/>
      <c r="AF21" s="1"/>
    </row>
    <row r="22" spans="1:32" s="9" customFormat="1">
      <c r="A22" s="1"/>
      <c r="B22" s="1"/>
      <c r="L22" s="1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9" customFormat="1">
      <c r="A23" s="1"/>
      <c r="B23" s="1"/>
      <c r="C23" s="31">
        <f>SUM(C9:C21)</f>
        <v>51.199999999999996</v>
      </c>
      <c r="D23" s="1"/>
      <c r="E23" s="1"/>
      <c r="F23" s="11"/>
      <c r="G23" s="1"/>
      <c r="H23" s="1"/>
      <c r="J23" s="11"/>
      <c r="K23" s="1"/>
      <c r="L23" s="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9" customFormat="1">
      <c r="A24" s="1"/>
      <c r="B24" s="1"/>
      <c r="C24" s="1"/>
      <c r="D24" s="1"/>
      <c r="E24" s="31">
        <f>SUM(E9:E23)</f>
        <v>361.89699999999999</v>
      </c>
      <c r="F24" s="11"/>
      <c r="G24" s="1"/>
      <c r="H24" s="1">
        <f>SUM(H9:H23)</f>
        <v>2696</v>
      </c>
      <c r="J24" s="11"/>
      <c r="K24" s="1">
        <f>SUM(K9:K23)</f>
        <v>13.100000000000001</v>
      </c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9" customFormat="1">
      <c r="A25" s="1"/>
      <c r="B25" s="1"/>
      <c r="C25" s="1"/>
      <c r="D25" s="1"/>
      <c r="E25" s="1">
        <f>+E24/13</f>
        <v>27.838230769230769</v>
      </c>
      <c r="F25" s="11"/>
      <c r="G25" s="1"/>
      <c r="H25" s="1">
        <f>+H24/13</f>
        <v>207.38461538461539</v>
      </c>
      <c r="J25" s="11"/>
      <c r="K25" s="1">
        <f>+K24/13</f>
        <v>1.0076923076923079</v>
      </c>
      <c r="L25" s="1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9" customFormat="1">
      <c r="A26" s="1"/>
      <c r="B26" s="1"/>
      <c r="C26" s="1"/>
      <c r="D26" s="1"/>
      <c r="E26" s="1"/>
      <c r="F26" s="11"/>
      <c r="G26" s="1"/>
      <c r="H26" s="11"/>
      <c r="J26" s="11"/>
      <c r="K26" s="1"/>
      <c r="L26" s="1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9" customFormat="1">
      <c r="A27" s="1"/>
      <c r="B27" s="1"/>
      <c r="C27" s="1"/>
      <c r="D27" s="1"/>
      <c r="E27" s="1"/>
      <c r="F27" s="11"/>
      <c r="G27" s="1"/>
      <c r="H27" s="11"/>
      <c r="J27" s="11"/>
      <c r="K27" s="1"/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9" customFormat="1">
      <c r="A28" s="1"/>
      <c r="B28" s="1"/>
      <c r="C28" s="1"/>
      <c r="D28" s="1"/>
      <c r="E28" s="1"/>
      <c r="F28" s="11"/>
      <c r="G28" s="1"/>
      <c r="H28" s="11"/>
      <c r="J28" s="11"/>
      <c r="K28" s="1"/>
      <c r="L28" s="1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9" customFormat="1">
      <c r="A29" s="1"/>
      <c r="B29" s="1"/>
      <c r="C29" s="1"/>
      <c r="D29" s="1"/>
      <c r="E29" s="1"/>
      <c r="F29" s="11"/>
      <c r="G29" s="1"/>
      <c r="H29" s="11"/>
      <c r="J29" s="11"/>
      <c r="K29" s="1"/>
      <c r="L29" s="1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9" customFormat="1">
      <c r="A30" s="1"/>
      <c r="B30" s="1"/>
      <c r="C30" s="1"/>
      <c r="D30" s="1"/>
      <c r="E30" s="1"/>
      <c r="F30" s="11"/>
      <c r="G30" s="1"/>
      <c r="H30" s="11"/>
      <c r="J30" s="11"/>
      <c r="K30" s="1"/>
      <c r="L30" s="1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9" customFormat="1">
      <c r="A31" s="1"/>
      <c r="B31" s="1"/>
      <c r="C31" s="1"/>
      <c r="D31" s="1"/>
      <c r="E31" s="1"/>
      <c r="F31" s="11"/>
      <c r="G31" s="1"/>
      <c r="H31" s="11"/>
      <c r="J31" s="11"/>
      <c r="K31" s="1"/>
      <c r="L31" s="1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9" customFormat="1">
      <c r="A32" s="1"/>
      <c r="B32" s="1"/>
      <c r="C32" s="1"/>
      <c r="D32" s="1"/>
      <c r="E32" s="1"/>
      <c r="F32" s="11"/>
      <c r="G32" s="1"/>
      <c r="H32" s="11"/>
      <c r="J32" s="11"/>
      <c r="K32" s="1"/>
      <c r="L32" s="1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9" customFormat="1">
      <c r="A33" s="1"/>
      <c r="B33" s="1"/>
      <c r="C33" s="1"/>
      <c r="D33" s="1"/>
      <c r="E33" s="1"/>
      <c r="F33" s="11"/>
      <c r="G33" s="1"/>
      <c r="H33" s="11"/>
      <c r="J33" s="11"/>
      <c r="K33" s="1"/>
      <c r="L33" s="1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9" customFormat="1">
      <c r="A34" s="1"/>
      <c r="B34" s="1"/>
      <c r="C34" s="1"/>
      <c r="D34" s="1"/>
      <c r="E34" s="1"/>
      <c r="F34" s="11"/>
      <c r="G34" s="1"/>
      <c r="H34" s="11"/>
      <c r="J34" s="11"/>
      <c r="K34" s="1"/>
      <c r="L34" s="1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9" customFormat="1">
      <c r="A35" s="1"/>
      <c r="B35" s="1"/>
      <c r="C35" s="1"/>
      <c r="D35" s="1"/>
      <c r="E35" s="1"/>
      <c r="F35" s="11"/>
      <c r="G35" s="1"/>
      <c r="H35" s="11"/>
      <c r="J35" s="11"/>
      <c r="K35" s="1"/>
      <c r="L35" s="1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9" customFormat="1">
      <c r="A36" s="1"/>
      <c r="B36" s="1"/>
      <c r="C36" s="1"/>
      <c r="D36" s="1"/>
      <c r="E36" s="1"/>
      <c r="F36" s="11"/>
      <c r="G36" s="1"/>
      <c r="H36" s="11"/>
      <c r="J36" s="11"/>
      <c r="K36" s="1"/>
      <c r="L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9" customFormat="1">
      <c r="A37" s="1"/>
      <c r="B37" s="1"/>
      <c r="C37" s="1"/>
      <c r="D37" s="1"/>
      <c r="E37" s="1"/>
      <c r="F37" s="11"/>
      <c r="G37" s="1"/>
      <c r="H37" s="11"/>
      <c r="J37" s="11"/>
      <c r="K37" s="1"/>
      <c r="L37" s="1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9" customFormat="1">
      <c r="A38" s="1"/>
      <c r="B38" s="1"/>
      <c r="C38" s="1"/>
      <c r="D38" s="1"/>
      <c r="E38" s="1"/>
      <c r="F38" s="11"/>
      <c r="G38" s="1"/>
      <c r="H38" s="11"/>
      <c r="J38" s="11"/>
      <c r="K38" s="1"/>
      <c r="L38" s="1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9" customFormat="1">
      <c r="A39" s="1"/>
      <c r="B39" s="1"/>
      <c r="C39" s="1"/>
      <c r="D39" s="1"/>
      <c r="E39" s="1"/>
      <c r="F39" s="11"/>
      <c r="G39" s="1"/>
      <c r="H39" s="11"/>
      <c r="J39" s="11"/>
      <c r="K39" s="1"/>
      <c r="L39" s="1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9" customFormat="1">
      <c r="A40" s="1"/>
      <c r="B40" s="1"/>
      <c r="C40" s="1"/>
      <c r="D40" s="1"/>
      <c r="E40" s="1"/>
      <c r="F40" s="11"/>
      <c r="G40" s="1"/>
      <c r="H40" s="11"/>
      <c r="J40" s="11"/>
      <c r="K40" s="1"/>
      <c r="L40" s="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9" customFormat="1">
      <c r="A41" s="1"/>
      <c r="B41" s="1"/>
      <c r="C41" s="1"/>
      <c r="D41" s="1"/>
      <c r="E41" s="1"/>
      <c r="F41" s="11"/>
      <c r="G41" s="1"/>
      <c r="H41" s="11"/>
      <c r="J41" s="11"/>
      <c r="K41" s="1"/>
      <c r="L41" s="1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9" customFormat="1">
      <c r="A42" s="1"/>
      <c r="B42" s="1"/>
      <c r="C42" s="1"/>
      <c r="D42" s="1"/>
      <c r="E42" s="1"/>
      <c r="F42" s="11"/>
      <c r="G42" s="1"/>
      <c r="H42" s="11"/>
      <c r="J42" s="11"/>
      <c r="K42" s="1"/>
      <c r="L42" s="1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9" customFormat="1">
      <c r="A43" s="1"/>
      <c r="B43" s="1"/>
      <c r="C43" s="1"/>
      <c r="D43" s="1"/>
      <c r="E43" s="1"/>
      <c r="F43" s="11"/>
      <c r="G43" s="1"/>
      <c r="H43" s="11"/>
      <c r="J43" s="11"/>
      <c r="K43" s="1"/>
      <c r="L43" s="1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9" customFormat="1">
      <c r="A44" s="1"/>
      <c r="B44" s="1"/>
      <c r="C44" s="1"/>
      <c r="D44" s="1"/>
      <c r="E44" s="1"/>
      <c r="F44" s="11"/>
      <c r="G44" s="1"/>
      <c r="H44" s="11"/>
      <c r="J44" s="11"/>
      <c r="K44" s="1"/>
      <c r="L44" s="1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9" customFormat="1">
      <c r="A45" s="1"/>
      <c r="B45" s="1"/>
      <c r="C45" s="1"/>
      <c r="D45" s="1"/>
      <c r="E45" s="1"/>
      <c r="F45" s="11"/>
      <c r="G45" s="1"/>
      <c r="H45" s="11"/>
      <c r="J45" s="11"/>
      <c r="K45" s="1"/>
      <c r="L45" s="1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9" customFormat="1">
      <c r="A46" s="1"/>
      <c r="B46" s="1"/>
      <c r="C46" s="1"/>
      <c r="D46" s="1"/>
      <c r="E46" s="1"/>
      <c r="F46" s="11"/>
      <c r="G46" s="1"/>
      <c r="H46" s="11"/>
      <c r="J46" s="11"/>
      <c r="K46" s="1"/>
      <c r="L46" s="1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9" customFormat="1">
      <c r="A47" s="1"/>
      <c r="B47" s="1"/>
      <c r="C47" s="1"/>
      <c r="D47" s="1"/>
      <c r="E47" s="1"/>
      <c r="F47" s="11"/>
      <c r="G47" s="1"/>
      <c r="H47" s="11"/>
      <c r="J47" s="11"/>
      <c r="K47" s="1"/>
      <c r="L47" s="1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9" customFormat="1">
      <c r="A48" s="1"/>
      <c r="B48" s="1"/>
      <c r="C48" s="1"/>
      <c r="D48" s="1"/>
      <c r="E48" s="1"/>
      <c r="F48" s="11"/>
      <c r="G48" s="1"/>
      <c r="H48" s="11"/>
      <c r="J48" s="11"/>
      <c r="K48" s="1"/>
      <c r="L48" s="1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9" customFormat="1">
      <c r="A49" s="1"/>
      <c r="B49" s="1"/>
      <c r="C49" s="1"/>
      <c r="D49" s="1"/>
      <c r="E49" s="1"/>
      <c r="F49" s="11"/>
      <c r="G49" s="1"/>
      <c r="H49" s="11"/>
      <c r="J49" s="11"/>
      <c r="K49" s="1"/>
      <c r="L49" s="1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9" customFormat="1">
      <c r="A50" s="1"/>
      <c r="B50" s="1"/>
      <c r="C50" s="1"/>
      <c r="D50" s="1"/>
      <c r="E50" s="1"/>
      <c r="F50" s="11"/>
      <c r="G50" s="1"/>
      <c r="H50" s="11"/>
      <c r="J50" s="11"/>
      <c r="K50" s="1"/>
      <c r="L50" s="1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9" customFormat="1">
      <c r="A51" s="1"/>
      <c r="B51" s="1"/>
      <c r="C51" s="1"/>
      <c r="D51" s="1"/>
      <c r="E51" s="1"/>
      <c r="F51" s="11"/>
      <c r="G51" s="1"/>
      <c r="H51" s="11"/>
      <c r="J51" s="11"/>
      <c r="K51" s="1"/>
      <c r="L51" s="1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9" customFormat="1">
      <c r="A52" s="1"/>
      <c r="B52" s="1"/>
      <c r="C52" s="1"/>
      <c r="D52" s="1"/>
      <c r="E52" s="1"/>
      <c r="F52" s="11"/>
      <c r="G52" s="1"/>
      <c r="H52" s="11"/>
      <c r="J52" s="11"/>
      <c r="K52" s="1"/>
      <c r="L52" s="1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9" customFormat="1">
      <c r="A53" s="1"/>
      <c r="B53" s="1"/>
      <c r="C53" s="1"/>
      <c r="D53" s="1"/>
      <c r="E53" s="1"/>
      <c r="F53" s="11"/>
      <c r="G53" s="1"/>
      <c r="H53" s="11"/>
      <c r="J53" s="11"/>
      <c r="K53" s="1"/>
      <c r="L53" s="1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9" customFormat="1">
      <c r="A54" s="1"/>
      <c r="B54" s="1"/>
      <c r="C54" s="1"/>
      <c r="D54" s="1"/>
      <c r="E54" s="1"/>
      <c r="G54" s="12"/>
      <c r="H54" s="1"/>
      <c r="J54" s="11"/>
      <c r="K54" s="1"/>
      <c r="L54" s="1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9" customFormat="1">
      <c r="A55" s="1"/>
      <c r="B55" s="1"/>
      <c r="C55" s="1"/>
      <c r="D55" s="1"/>
      <c r="E55" s="1"/>
      <c r="G55" s="12"/>
      <c r="H55" s="1"/>
      <c r="J55" s="11"/>
      <c r="K55" s="1"/>
      <c r="L55" s="1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9" customFormat="1">
      <c r="A56" s="1"/>
      <c r="B56" s="1"/>
      <c r="C56" s="1"/>
      <c r="D56" s="1"/>
      <c r="E56" s="1"/>
      <c r="G56" s="12"/>
      <c r="H56" s="1"/>
      <c r="J56" s="11"/>
      <c r="K56" s="1"/>
      <c r="L56" s="1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9" customFormat="1">
      <c r="A57" s="1"/>
      <c r="B57" s="1"/>
      <c r="C57" s="1"/>
      <c r="D57" s="1"/>
      <c r="E57" s="1"/>
      <c r="G57" s="12"/>
      <c r="H57" s="1"/>
      <c r="J57" s="11"/>
      <c r="K57" s="1"/>
      <c r="L57" s="1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9" customFormat="1">
      <c r="A58" s="1"/>
      <c r="B58" s="1"/>
      <c r="C58" s="1"/>
      <c r="D58" s="1"/>
      <c r="E58" s="1"/>
      <c r="G58" s="12"/>
      <c r="H58" s="1"/>
      <c r="J58" s="11"/>
      <c r="K58" s="1"/>
      <c r="L58" s="1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9" customFormat="1">
      <c r="A59" s="1"/>
      <c r="B59" s="1"/>
      <c r="C59" s="1"/>
      <c r="D59" s="1"/>
      <c r="E59" s="1"/>
      <c r="G59" s="12"/>
      <c r="H59" s="1"/>
      <c r="J59" s="11"/>
      <c r="K59" s="1"/>
      <c r="L59" s="1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9" customFormat="1">
      <c r="A60" s="1"/>
      <c r="B60" s="1"/>
      <c r="C60" s="1"/>
      <c r="D60" s="1"/>
      <c r="E60" s="1"/>
      <c r="G60" s="12"/>
      <c r="H60" s="1"/>
      <c r="J60" s="11"/>
      <c r="K60" s="1"/>
      <c r="L60" s="1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9" customFormat="1">
      <c r="A61" s="1"/>
      <c r="B61" s="1"/>
      <c r="C61" s="1"/>
      <c r="D61" s="1"/>
      <c r="E61" s="1"/>
      <c r="G61" s="12"/>
      <c r="H61" s="1"/>
      <c r="J61" s="11"/>
      <c r="K61" s="1"/>
      <c r="L61" s="1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9" customFormat="1">
      <c r="A62" s="1"/>
      <c r="B62" s="1"/>
      <c r="C62" s="1"/>
      <c r="D62" s="1"/>
      <c r="E62" s="1"/>
      <c r="G62" s="12"/>
      <c r="H62" s="1"/>
      <c r="J62" s="11"/>
      <c r="K62" s="1"/>
      <c r="L62" s="1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9" customFormat="1">
      <c r="A63" s="1"/>
      <c r="B63" s="1"/>
      <c r="C63" s="1"/>
      <c r="D63" s="1"/>
      <c r="E63" s="1"/>
      <c r="G63" s="12"/>
      <c r="H63" s="1"/>
      <c r="J63" s="11"/>
      <c r="K63" s="1"/>
      <c r="L63" s="1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9" customFormat="1">
      <c r="A64" s="1"/>
      <c r="B64" s="1"/>
      <c r="C64" s="1"/>
      <c r="D64" s="1"/>
      <c r="E64" s="1"/>
      <c r="G64" s="12"/>
      <c r="H64" s="1"/>
      <c r="J64" s="11"/>
      <c r="K64" s="1"/>
      <c r="L64" s="1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9" customFormat="1">
      <c r="A65" s="1"/>
      <c r="B65" s="1"/>
      <c r="C65" s="1"/>
      <c r="D65" s="1"/>
      <c r="E65" s="1"/>
      <c r="G65" s="12"/>
      <c r="H65" s="1"/>
      <c r="J65" s="11"/>
      <c r="K65" s="1"/>
      <c r="L65" s="1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9" customFormat="1">
      <c r="A66" s="1"/>
      <c r="B66" s="1"/>
      <c r="C66" s="1"/>
      <c r="D66" s="1"/>
      <c r="E66" s="1"/>
      <c r="G66" s="12"/>
      <c r="H66" s="1"/>
      <c r="J66" s="11"/>
      <c r="K66" s="1"/>
      <c r="L66" s="1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9" customFormat="1">
      <c r="A67" s="1"/>
      <c r="B67" s="1"/>
      <c r="C67" s="1"/>
      <c r="D67" s="1"/>
      <c r="E67" s="1"/>
      <c r="G67" s="12"/>
      <c r="H67" s="1"/>
      <c r="J67" s="11"/>
      <c r="K67" s="1"/>
      <c r="L67" s="1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9" customFormat="1">
      <c r="A68" s="1"/>
      <c r="B68" s="1"/>
      <c r="C68" s="1"/>
      <c r="D68" s="1"/>
      <c r="E68" s="1"/>
      <c r="G68" s="12"/>
      <c r="H68" s="1"/>
      <c r="J68" s="11"/>
      <c r="K68" s="1"/>
      <c r="L68" s="1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9" customFormat="1">
      <c r="A69" s="1"/>
      <c r="B69" s="1"/>
      <c r="C69" s="1"/>
      <c r="D69" s="1"/>
      <c r="E69" s="1"/>
      <c r="G69" s="12"/>
      <c r="H69" s="1"/>
      <c r="J69" s="11"/>
      <c r="K69" s="1"/>
      <c r="L69" s="1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9" customFormat="1">
      <c r="A70" s="1"/>
      <c r="B70" s="1"/>
      <c r="C70" s="1"/>
      <c r="D70" s="1"/>
      <c r="E70" s="1"/>
      <c r="G70" s="12"/>
      <c r="H70" s="1"/>
      <c r="J70" s="11"/>
      <c r="K70" s="1"/>
      <c r="L70" s="1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9" customFormat="1">
      <c r="A71" s="1"/>
      <c r="B71" s="1"/>
      <c r="C71" s="1"/>
      <c r="D71" s="1"/>
      <c r="E71" s="1"/>
      <c r="G71" s="12"/>
      <c r="H71" s="1"/>
      <c r="J71" s="11"/>
      <c r="K71" s="1"/>
      <c r="L71" s="1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9" customFormat="1">
      <c r="A72" s="1"/>
      <c r="B72" s="1"/>
      <c r="C72" s="1"/>
      <c r="D72" s="1"/>
      <c r="E72" s="1"/>
      <c r="G72" s="12"/>
      <c r="H72" s="1"/>
      <c r="J72" s="11"/>
      <c r="K72" s="1"/>
      <c r="L72" s="1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9" customFormat="1">
      <c r="A73" s="1"/>
      <c r="B73" s="1"/>
      <c r="C73" s="1"/>
      <c r="D73" s="1"/>
      <c r="E73" s="1"/>
      <c r="G73" s="12"/>
      <c r="H73" s="1"/>
      <c r="J73" s="11"/>
      <c r="K73" s="1"/>
      <c r="L73" s="1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9" customFormat="1">
      <c r="A74" s="1"/>
      <c r="B74" s="1"/>
      <c r="C74" s="1"/>
      <c r="D74" s="1"/>
      <c r="E74" s="1"/>
      <c r="G74" s="12"/>
      <c r="H74" s="1"/>
      <c r="J74" s="11"/>
      <c r="K74" s="1"/>
      <c r="L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9" customFormat="1">
      <c r="A75" s="1"/>
      <c r="B75" s="1"/>
      <c r="C75" s="1"/>
      <c r="D75" s="1"/>
      <c r="E75" s="1"/>
      <c r="G75" s="12"/>
      <c r="H75" s="1"/>
      <c r="J75" s="11"/>
      <c r="K75" s="1"/>
      <c r="L75" s="1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9" customFormat="1">
      <c r="A76" s="1"/>
      <c r="B76" s="1"/>
      <c r="C76" s="1"/>
      <c r="D76" s="1"/>
      <c r="E76" s="1"/>
      <c r="G76" s="12"/>
      <c r="H76" s="1"/>
      <c r="J76" s="11"/>
      <c r="K76" s="1"/>
      <c r="L76" s="1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9" customFormat="1">
      <c r="A77" s="1"/>
      <c r="B77" s="1"/>
      <c r="C77" s="1"/>
      <c r="D77" s="1"/>
      <c r="E77" s="1"/>
      <c r="G77" s="12"/>
      <c r="H77" s="1"/>
      <c r="J77" s="11"/>
      <c r="K77" s="1"/>
      <c r="L77" s="1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9" customFormat="1">
      <c r="A78" s="1"/>
      <c r="B78" s="1"/>
      <c r="C78" s="1"/>
      <c r="D78" s="1"/>
      <c r="E78" s="1"/>
      <c r="G78" s="12"/>
      <c r="H78" s="1"/>
      <c r="J78" s="11"/>
      <c r="K78" s="1"/>
      <c r="L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9"/>
  <sheetViews>
    <sheetView view="pageBreakPreview" zoomScale="85" zoomScaleNormal="100" zoomScaleSheetLayoutView="85" workbookViewId="0">
      <selection activeCell="A23" sqref="A23:M23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3"/>
      <c r="O1" s="13"/>
      <c r="P1" s="13"/>
      <c r="Q1" s="13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4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4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5" t="s">
        <v>37</v>
      </c>
      <c r="D8" s="15" t="s">
        <v>38</v>
      </c>
      <c r="E8" s="15" t="s">
        <v>37</v>
      </c>
      <c r="F8" s="15" t="s">
        <v>38</v>
      </c>
      <c r="G8" s="16" t="s">
        <v>37</v>
      </c>
      <c r="H8" s="15" t="s">
        <v>38</v>
      </c>
      <c r="I8" s="16" t="s">
        <v>37</v>
      </c>
      <c r="J8" s="15" t="s">
        <v>38</v>
      </c>
      <c r="K8" s="16" t="s">
        <v>37</v>
      </c>
      <c r="L8" s="15" t="s">
        <v>38</v>
      </c>
      <c r="M8" s="15"/>
    </row>
    <row r="9" spans="1:17" ht="42.75" customHeight="1" thickBot="1">
      <c r="A9" s="17" t="s">
        <v>39</v>
      </c>
      <c r="B9" s="18">
        <v>51.2</v>
      </c>
      <c r="C9" s="19">
        <v>28.7</v>
      </c>
      <c r="D9" s="20">
        <f>+C9/B9%</f>
        <v>56.0546875</v>
      </c>
      <c r="E9" s="19">
        <v>8</v>
      </c>
      <c r="F9" s="20">
        <f>E9/B9*100</f>
        <v>15.625</v>
      </c>
      <c r="G9" s="21"/>
      <c r="H9" s="20">
        <f>+G9/B9%</f>
        <v>0</v>
      </c>
      <c r="I9" s="21"/>
      <c r="J9" s="20">
        <f>+I9/B9%</f>
        <v>0</v>
      </c>
      <c r="K9" s="21">
        <v>14.5</v>
      </c>
      <c r="L9" s="20">
        <f>+K9/B9%</f>
        <v>28.3203125</v>
      </c>
      <c r="M9" s="20">
        <f>+Жадвал!E25</f>
        <v>27.838230769230769</v>
      </c>
      <c r="N9" s="32">
        <f>+L9+J9+H9+F9+D9</f>
        <v>100</v>
      </c>
    </row>
    <row r="10" spans="1:17" ht="18.75">
      <c r="M10">
        <v>86.28</v>
      </c>
      <c r="N10" s="33"/>
    </row>
    <row r="11" spans="1:17" ht="18.75">
      <c r="A11" s="62" t="str">
        <f>A1</f>
        <v xml:space="preserve">Фарғона вилояти Тошлоқ тумани Араббой Тухтабой  худуди Тоғлик Омад файз фермер хўжалиги томонидан суғорилиб экиладиган 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3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3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3"/>
    </row>
    <row r="14" spans="1:17" ht="19.5" thickBot="1">
      <c r="N14" s="33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3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3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3"/>
    </row>
    <row r="18" spans="1:14" ht="19.5" thickBot="1">
      <c r="A18" s="66"/>
      <c r="B18" s="66"/>
      <c r="C18" s="15" t="s">
        <v>37</v>
      </c>
      <c r="D18" s="15" t="s">
        <v>38</v>
      </c>
      <c r="E18" s="15" t="s">
        <v>37</v>
      </c>
      <c r="F18" s="15" t="s">
        <v>38</v>
      </c>
      <c r="G18" s="16" t="s">
        <v>37</v>
      </c>
      <c r="H18" s="15" t="s">
        <v>38</v>
      </c>
      <c r="I18" s="16" t="s">
        <v>37</v>
      </c>
      <c r="J18" s="15" t="s">
        <v>38</v>
      </c>
      <c r="K18" s="16" t="s">
        <v>37</v>
      </c>
      <c r="L18" s="15" t="s">
        <v>38</v>
      </c>
      <c r="M18" s="15"/>
      <c r="N18" s="33"/>
    </row>
    <row r="19" spans="1:14" ht="42.75" customHeight="1" thickBot="1">
      <c r="A19" s="17" t="s">
        <v>39</v>
      </c>
      <c r="B19" s="18">
        <f>+B9</f>
        <v>51.2</v>
      </c>
      <c r="C19" s="19"/>
      <c r="D19" s="20">
        <f>+C19/B19%</f>
        <v>0</v>
      </c>
      <c r="E19" s="19">
        <v>36.9</v>
      </c>
      <c r="F19" s="20">
        <f>+E19/B19%</f>
        <v>72.0703125</v>
      </c>
      <c r="G19" s="21">
        <v>14.3</v>
      </c>
      <c r="H19" s="20">
        <f>G19/B19*100</f>
        <v>27.9296875</v>
      </c>
      <c r="I19" s="21"/>
      <c r="J19" s="20">
        <f>+I19/B19%</f>
        <v>0</v>
      </c>
      <c r="K19" s="21"/>
      <c r="L19" s="20">
        <f>+K19/B19%</f>
        <v>0</v>
      </c>
      <c r="M19" s="20">
        <f>+Жадвал!H25</f>
        <v>207.38461538461539</v>
      </c>
      <c r="N19" s="32">
        <f>+L19+J19+H19+F19+D19</f>
        <v>100</v>
      </c>
    </row>
    <row r="20" spans="1:14" ht="18.75">
      <c r="N20" s="33"/>
    </row>
    <row r="21" spans="1:14" ht="18.75">
      <c r="A21" s="62" t="str">
        <f>A1</f>
        <v xml:space="preserve">Фарғона вилояти Тошлоқ тумани Араббой Тухтабой  худуди Тоғлик Омад файз фермер хўжалиги томонидан суғорилиб экиладиган 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3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3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3"/>
    </row>
    <row r="24" spans="1:14" ht="19.5" thickBot="1">
      <c r="N24" s="33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3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3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3"/>
    </row>
    <row r="28" spans="1:14" ht="19.5" thickBot="1">
      <c r="A28" s="66"/>
      <c r="B28" s="66"/>
      <c r="C28" s="15" t="s">
        <v>37</v>
      </c>
      <c r="D28" s="15" t="s">
        <v>38</v>
      </c>
      <c r="E28" s="15" t="s">
        <v>37</v>
      </c>
      <c r="F28" s="15" t="s">
        <v>38</v>
      </c>
      <c r="G28" s="16" t="s">
        <v>37</v>
      </c>
      <c r="H28" s="15" t="s">
        <v>38</v>
      </c>
      <c r="I28" s="16" t="s">
        <v>37</v>
      </c>
      <c r="J28" s="15" t="s">
        <v>38</v>
      </c>
      <c r="K28" s="16" t="s">
        <v>37</v>
      </c>
      <c r="L28" s="15" t="s">
        <v>38</v>
      </c>
      <c r="M28" s="15"/>
      <c r="N28" s="33"/>
    </row>
    <row r="29" spans="1:14" ht="42.75" customHeight="1" thickBot="1">
      <c r="A29" s="17" t="s">
        <v>39</v>
      </c>
      <c r="B29" s="18">
        <f>+B9</f>
        <v>51.2</v>
      </c>
      <c r="C29" s="19">
        <v>17.2</v>
      </c>
      <c r="D29" s="20">
        <f>+C29/B29%</f>
        <v>33.59375</v>
      </c>
      <c r="E29" s="19">
        <v>25.8</v>
      </c>
      <c r="F29" s="20">
        <f>+E29/B29%</f>
        <v>50.390625</v>
      </c>
      <c r="G29" s="21">
        <v>5.2</v>
      </c>
      <c r="H29" s="20">
        <f>+G29/B29%</f>
        <v>10.15625</v>
      </c>
      <c r="I29" s="23">
        <v>3</v>
      </c>
      <c r="J29" s="20">
        <f>+I29/B29%</f>
        <v>5.859375</v>
      </c>
      <c r="K29" s="21"/>
      <c r="L29" s="20">
        <f>+K29/B29%</f>
        <v>0</v>
      </c>
      <c r="M29" s="22">
        <f>+Жадвал!K25</f>
        <v>1.0076923076923079</v>
      </c>
      <c r="N29" s="32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8"/>
  <sheetViews>
    <sheetView zoomScale="85" zoomScaleNormal="85" zoomScaleSheetLayoutView="95" workbookViewId="0">
      <selection activeCell="L9" sqref="L9"/>
    </sheetView>
  </sheetViews>
  <sheetFormatPr defaultRowHeight="15"/>
  <cols>
    <col min="1" max="1" width="4.5703125" style="1" customWidth="1"/>
    <col min="2" max="2" width="14.7109375" style="1" bestFit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9" customWidth="1"/>
    <col min="7" max="7" width="10.28515625" style="12" customWidth="1"/>
    <col min="8" max="8" width="6.85546875" style="1" customWidth="1"/>
    <col min="9" max="9" width="7.140625" style="9" customWidth="1"/>
    <col min="10" max="10" width="11.85546875" style="11" customWidth="1"/>
    <col min="11" max="11" width="7.140625" style="1" customWidth="1"/>
    <col min="12" max="12" width="11.7109375" style="11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2" t="s">
        <v>74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5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5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5" ht="12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8" t="s">
        <v>16</v>
      </c>
      <c r="F6" s="58"/>
      <c r="G6" s="58"/>
      <c r="H6" s="58" t="s">
        <v>65</v>
      </c>
      <c r="I6" s="58"/>
      <c r="J6" s="58"/>
      <c r="K6" s="58"/>
      <c r="L6" s="58"/>
      <c r="M6" s="58"/>
      <c r="N6" s="58"/>
      <c r="O6" s="58"/>
      <c r="P6" s="58"/>
    </row>
    <row r="7" spans="1:25" ht="60" customHeight="1">
      <c r="A7" s="58"/>
      <c r="B7" s="51"/>
      <c r="C7" s="51"/>
      <c r="D7" s="51"/>
      <c r="E7" s="90" t="s">
        <v>17</v>
      </c>
      <c r="F7" s="90" t="s">
        <v>18</v>
      </c>
      <c r="G7" s="90" t="s">
        <v>19</v>
      </c>
      <c r="H7" s="92" t="s">
        <v>66</v>
      </c>
      <c r="I7" s="92"/>
      <c r="J7" s="43" t="s">
        <v>67</v>
      </c>
      <c r="K7" s="44" t="s">
        <v>68</v>
      </c>
      <c r="L7" s="43" t="s">
        <v>69</v>
      </c>
      <c r="M7" s="92" t="s">
        <v>70</v>
      </c>
      <c r="N7" s="92"/>
      <c r="O7" s="92" t="s">
        <v>71</v>
      </c>
      <c r="P7" s="92"/>
    </row>
    <row r="8" spans="1:25" ht="22.5" customHeight="1">
      <c r="A8" s="58"/>
      <c r="B8" s="59"/>
      <c r="C8" s="51"/>
      <c r="D8" s="51"/>
      <c r="E8" s="91"/>
      <c r="F8" s="91"/>
      <c r="G8" s="91"/>
      <c r="H8" s="43" t="s">
        <v>72</v>
      </c>
      <c r="I8" s="43" t="s">
        <v>73</v>
      </c>
      <c r="J8" s="43" t="s">
        <v>17</v>
      </c>
      <c r="K8" s="43" t="s">
        <v>72</v>
      </c>
      <c r="L8" s="43" t="s">
        <v>17</v>
      </c>
      <c r="M8" s="43" t="s">
        <v>17</v>
      </c>
      <c r="N8" s="43" t="s">
        <v>73</v>
      </c>
      <c r="O8" s="43" t="s">
        <v>17</v>
      </c>
      <c r="P8" s="43" t="s">
        <v>72</v>
      </c>
      <c r="Q8" s="45" t="s">
        <v>17</v>
      </c>
      <c r="R8" s="45" t="s">
        <v>72</v>
      </c>
      <c r="S8" s="45" t="s">
        <v>73</v>
      </c>
      <c r="T8" s="46"/>
      <c r="U8" s="46"/>
      <c r="V8" s="46"/>
      <c r="W8" s="45" t="s">
        <v>17</v>
      </c>
      <c r="X8" s="45" t="s">
        <v>72</v>
      </c>
      <c r="Y8" s="45" t="s">
        <v>73</v>
      </c>
    </row>
    <row r="9" spans="1:25" s="9" customFormat="1">
      <c r="A9" s="38">
        <v>1</v>
      </c>
      <c r="B9" s="39">
        <v>1535</v>
      </c>
      <c r="C9" s="39">
        <v>1.3</v>
      </c>
      <c r="D9" s="41" t="s">
        <v>61</v>
      </c>
      <c r="E9" s="8">
        <v>6.3031760999999999</v>
      </c>
      <c r="F9" s="8">
        <v>5.2576052485319993</v>
      </c>
      <c r="G9" s="8">
        <v>1.2291193395</v>
      </c>
      <c r="H9" s="47">
        <f t="shared" ref="H9:I9" si="0">+F9</f>
        <v>5.2576052485319993</v>
      </c>
      <c r="I9" s="47">
        <f t="shared" si="0"/>
        <v>1.2291193395</v>
      </c>
      <c r="J9" s="47">
        <f t="shared" ref="J9" si="1">+E9*0.15</f>
        <v>0.9454764149999999</v>
      </c>
      <c r="K9" s="47"/>
      <c r="L9" s="47">
        <f t="shared" ref="L9" si="2">+E9*0.35</f>
        <v>2.2061116349999996</v>
      </c>
      <c r="M9" s="47">
        <f t="shared" ref="M9" si="3">+E9*0.35</f>
        <v>2.2061116349999996</v>
      </c>
      <c r="N9" s="47"/>
      <c r="O9" s="47">
        <f t="shared" ref="O9" si="4">+E9*0.15</f>
        <v>0.9454764149999999</v>
      </c>
      <c r="P9" s="47"/>
      <c r="Q9" s="48">
        <f t="shared" ref="Q9:Q15" si="5">+O9+M9+L9+J9</f>
        <v>6.3031760999999991</v>
      </c>
      <c r="R9" s="49">
        <f t="shared" ref="R9:R15" si="6">+P9+K9+H9</f>
        <v>5.2576052485319993</v>
      </c>
      <c r="S9" s="49">
        <f t="shared" ref="S9:S15" si="7">+N9+I9</f>
        <v>1.2291193395</v>
      </c>
      <c r="T9" s="50">
        <f t="shared" ref="T9:V15" si="8">+Q9-E9</f>
        <v>0</v>
      </c>
      <c r="U9" s="50">
        <f t="shared" si="8"/>
        <v>0</v>
      </c>
      <c r="V9" s="50">
        <f t="shared" si="8"/>
        <v>0</v>
      </c>
      <c r="W9" s="48">
        <f t="shared" ref="W9:W15" si="9">+E9/C9</f>
        <v>4.8485969999999998</v>
      </c>
      <c r="X9" s="48">
        <f t="shared" ref="X9:X15" si="10">+F9/C9</f>
        <v>4.0443117296399995</v>
      </c>
      <c r="Y9" s="48">
        <f t="shared" ref="Y9:Y15" si="11">+G9/C9</f>
        <v>0.9454764149999999</v>
      </c>
    </row>
    <row r="10" spans="1:25" s="9" customFormat="1">
      <c r="A10" s="38">
        <v>2</v>
      </c>
      <c r="B10" s="39">
        <v>1536</v>
      </c>
      <c r="C10" s="39">
        <v>3.4</v>
      </c>
      <c r="D10" s="41" t="s">
        <v>62</v>
      </c>
      <c r="E10" s="8">
        <v>26.236439999999998</v>
      </c>
      <c r="F10" s="8">
        <v>22.259199757199994</v>
      </c>
      <c r="G10" s="8">
        <v>8.3218708124999985</v>
      </c>
      <c r="H10" s="47">
        <f t="shared" ref="H10:H15" si="12">+F10*0.7</f>
        <v>15.581439830039995</v>
      </c>
      <c r="I10" s="47">
        <f t="shared" ref="I10:I15" si="13">+G10*0.5</f>
        <v>4.1609354062499992</v>
      </c>
      <c r="J10" s="47">
        <f t="shared" ref="J10:J15" si="14">+E10*0.25</f>
        <v>6.5591099999999996</v>
      </c>
      <c r="K10" s="47">
        <f t="shared" ref="K10:K15" si="15">+F10*0.15</f>
        <v>3.3388799635799988</v>
      </c>
      <c r="L10" s="47">
        <f t="shared" ref="L10:L15" si="16">+E10*0.25</f>
        <v>6.5591099999999996</v>
      </c>
      <c r="M10" s="47">
        <f t="shared" ref="M10:M15" si="17">+E10*0.25</f>
        <v>6.5591099999999996</v>
      </c>
      <c r="N10" s="47">
        <f t="shared" ref="N10:N15" si="18">+G10*0.5</f>
        <v>4.1609354062499992</v>
      </c>
      <c r="O10" s="47">
        <f t="shared" ref="O10:O15" si="19">+E10*0.25</f>
        <v>6.5591099999999996</v>
      </c>
      <c r="P10" s="47">
        <f t="shared" ref="P10:P15" si="20">+F10*0.15</f>
        <v>3.3388799635799988</v>
      </c>
      <c r="Q10" s="48">
        <f t="shared" si="5"/>
        <v>26.236439999999998</v>
      </c>
      <c r="R10" s="49">
        <f t="shared" si="6"/>
        <v>22.259199757199994</v>
      </c>
      <c r="S10" s="49">
        <f t="shared" si="7"/>
        <v>8.3218708124999985</v>
      </c>
      <c r="T10" s="50">
        <f t="shared" si="8"/>
        <v>0</v>
      </c>
      <c r="U10" s="50">
        <f t="shared" si="8"/>
        <v>0</v>
      </c>
      <c r="V10" s="50">
        <f t="shared" si="8"/>
        <v>0</v>
      </c>
      <c r="W10" s="48">
        <f t="shared" si="9"/>
        <v>7.7165999999999997</v>
      </c>
      <c r="X10" s="48">
        <f t="shared" si="10"/>
        <v>6.5468234579999987</v>
      </c>
      <c r="Y10" s="48">
        <f t="shared" si="11"/>
        <v>2.4476090624999998</v>
      </c>
    </row>
    <row r="11" spans="1:25" s="9" customFormat="1">
      <c r="A11" s="38">
        <v>3</v>
      </c>
      <c r="B11" s="39">
        <v>1537</v>
      </c>
      <c r="C11" s="39">
        <v>4.2</v>
      </c>
      <c r="D11" s="41" t="s">
        <v>62</v>
      </c>
      <c r="E11" s="8">
        <v>32.40972</v>
      </c>
      <c r="F11" s="8">
        <v>8.4621778919999997</v>
      </c>
      <c r="G11" s="8">
        <v>10.9889206875</v>
      </c>
      <c r="H11" s="47">
        <f t="shared" si="12"/>
        <v>5.9235245243999994</v>
      </c>
      <c r="I11" s="47">
        <f t="shared" si="13"/>
        <v>5.4944603437500001</v>
      </c>
      <c r="J11" s="47">
        <f t="shared" si="14"/>
        <v>8.10243</v>
      </c>
      <c r="K11" s="47">
        <f t="shared" si="15"/>
        <v>1.2693266837999999</v>
      </c>
      <c r="L11" s="47">
        <f t="shared" si="16"/>
        <v>8.10243</v>
      </c>
      <c r="M11" s="47">
        <f t="shared" si="17"/>
        <v>8.10243</v>
      </c>
      <c r="N11" s="47">
        <f t="shared" si="18"/>
        <v>5.4944603437500001</v>
      </c>
      <c r="O11" s="47">
        <f t="shared" si="19"/>
        <v>8.10243</v>
      </c>
      <c r="P11" s="47">
        <f t="shared" si="20"/>
        <v>1.2693266837999999</v>
      </c>
      <c r="Q11" s="48">
        <f t="shared" si="5"/>
        <v>32.40972</v>
      </c>
      <c r="R11" s="49">
        <f t="shared" si="6"/>
        <v>8.4621778919999997</v>
      </c>
      <c r="S11" s="49">
        <f t="shared" si="7"/>
        <v>10.9889206875</v>
      </c>
      <c r="T11" s="50">
        <f t="shared" si="8"/>
        <v>0</v>
      </c>
      <c r="U11" s="50">
        <f t="shared" si="8"/>
        <v>0</v>
      </c>
      <c r="V11" s="50">
        <f t="shared" si="8"/>
        <v>0</v>
      </c>
      <c r="W11" s="48">
        <f t="shared" si="9"/>
        <v>7.7165999999999997</v>
      </c>
      <c r="X11" s="48">
        <f t="shared" si="10"/>
        <v>2.01480426</v>
      </c>
      <c r="Y11" s="48">
        <f t="shared" si="11"/>
        <v>2.6164096875</v>
      </c>
    </row>
    <row r="12" spans="1:25">
      <c r="A12" s="38">
        <v>4</v>
      </c>
      <c r="B12" s="39">
        <v>1538</v>
      </c>
      <c r="C12" s="39">
        <v>5.4</v>
      </c>
      <c r="D12" s="41" t="s">
        <v>62</v>
      </c>
      <c r="E12" s="8">
        <v>41.669640000000001</v>
      </c>
      <c r="F12" s="8">
        <v>33.355759726800002</v>
      </c>
      <c r="G12" s="8">
        <v>13.2170889375</v>
      </c>
      <c r="H12" s="47">
        <f t="shared" si="12"/>
        <v>23.34903180876</v>
      </c>
      <c r="I12" s="47">
        <f t="shared" si="13"/>
        <v>6.6085444687499999</v>
      </c>
      <c r="J12" s="47">
        <f t="shared" si="14"/>
        <v>10.41741</v>
      </c>
      <c r="K12" s="47">
        <f t="shared" si="15"/>
        <v>5.0033639590200005</v>
      </c>
      <c r="L12" s="47">
        <f t="shared" si="16"/>
        <v>10.41741</v>
      </c>
      <c r="M12" s="47">
        <f t="shared" si="17"/>
        <v>10.41741</v>
      </c>
      <c r="N12" s="47">
        <f t="shared" si="18"/>
        <v>6.6085444687499999</v>
      </c>
      <c r="O12" s="47">
        <f t="shared" si="19"/>
        <v>10.41741</v>
      </c>
      <c r="P12" s="47">
        <f t="shared" si="20"/>
        <v>5.0033639590200005</v>
      </c>
      <c r="Q12" s="48">
        <f t="shared" si="5"/>
        <v>41.669640000000001</v>
      </c>
      <c r="R12" s="49">
        <f t="shared" si="6"/>
        <v>33.355759726800002</v>
      </c>
      <c r="S12" s="49">
        <f t="shared" si="7"/>
        <v>13.2170889375</v>
      </c>
      <c r="T12" s="50">
        <f t="shared" si="8"/>
        <v>0</v>
      </c>
      <c r="U12" s="50">
        <f t="shared" si="8"/>
        <v>0</v>
      </c>
      <c r="V12" s="50">
        <f t="shared" si="8"/>
        <v>0</v>
      </c>
      <c r="W12" s="48">
        <f t="shared" si="9"/>
        <v>7.7165999999999997</v>
      </c>
      <c r="X12" s="48">
        <f t="shared" si="10"/>
        <v>6.1769925419999998</v>
      </c>
      <c r="Y12" s="48">
        <f t="shared" si="11"/>
        <v>2.4476090624999998</v>
      </c>
    </row>
    <row r="13" spans="1:25" ht="15" customHeight="1">
      <c r="A13" s="38">
        <v>5</v>
      </c>
      <c r="B13" s="39">
        <v>1539</v>
      </c>
      <c r="C13" s="39">
        <v>2.7</v>
      </c>
      <c r="D13" s="41" t="s">
        <v>64</v>
      </c>
      <c r="E13" s="8">
        <v>20.834820000000001</v>
      </c>
      <c r="F13" s="8">
        <v>16.7585800662</v>
      </c>
      <c r="G13" s="8">
        <v>10.547627625000001</v>
      </c>
      <c r="H13" s="47">
        <f t="shared" si="12"/>
        <v>11.731006046339999</v>
      </c>
      <c r="I13" s="47">
        <f t="shared" si="13"/>
        <v>5.2738138125000003</v>
      </c>
      <c r="J13" s="47">
        <f t="shared" si="14"/>
        <v>5.2087050000000001</v>
      </c>
      <c r="K13" s="47">
        <f t="shared" si="15"/>
        <v>2.5137870099300001</v>
      </c>
      <c r="L13" s="47">
        <f t="shared" si="16"/>
        <v>5.2087050000000001</v>
      </c>
      <c r="M13" s="47">
        <f t="shared" si="17"/>
        <v>5.2087050000000001</v>
      </c>
      <c r="N13" s="47">
        <f t="shared" si="18"/>
        <v>5.2738138125000003</v>
      </c>
      <c r="O13" s="47">
        <f t="shared" si="19"/>
        <v>5.2087050000000001</v>
      </c>
      <c r="P13" s="47">
        <f t="shared" si="20"/>
        <v>2.5137870099300001</v>
      </c>
      <c r="Q13" s="48">
        <f t="shared" si="5"/>
        <v>20.834820000000001</v>
      </c>
      <c r="R13" s="49">
        <f t="shared" si="6"/>
        <v>16.7585800662</v>
      </c>
      <c r="S13" s="49">
        <f t="shared" si="7"/>
        <v>10.547627625000001</v>
      </c>
      <c r="T13" s="50">
        <f t="shared" si="8"/>
        <v>0</v>
      </c>
      <c r="U13" s="50">
        <f t="shared" si="8"/>
        <v>0</v>
      </c>
      <c r="V13" s="50">
        <f t="shared" si="8"/>
        <v>0</v>
      </c>
      <c r="W13" s="48">
        <f t="shared" si="9"/>
        <v>7.7165999999999997</v>
      </c>
      <c r="X13" s="48">
        <f t="shared" si="10"/>
        <v>6.2068815059999993</v>
      </c>
      <c r="Y13" s="48">
        <f t="shared" si="11"/>
        <v>3.9065287500000001</v>
      </c>
    </row>
    <row r="14" spans="1:25">
      <c r="A14" s="38">
        <v>6</v>
      </c>
      <c r="B14" s="39">
        <v>1540</v>
      </c>
      <c r="C14" s="39">
        <v>5.3</v>
      </c>
      <c r="D14" s="41" t="s">
        <v>64</v>
      </c>
      <c r="E14" s="8">
        <v>40.897979999999997</v>
      </c>
      <c r="F14" s="8">
        <v>10.678462578</v>
      </c>
      <c r="G14" s="8">
        <v>20.129474531250001</v>
      </c>
      <c r="H14" s="47">
        <f t="shared" si="12"/>
        <v>7.4749238045999995</v>
      </c>
      <c r="I14" s="47">
        <f t="shared" si="13"/>
        <v>10.064737265625</v>
      </c>
      <c r="J14" s="47">
        <f t="shared" si="14"/>
        <v>10.224494999999999</v>
      </c>
      <c r="K14" s="47">
        <f t="shared" si="15"/>
        <v>1.6017693866999998</v>
      </c>
      <c r="L14" s="47">
        <f t="shared" si="16"/>
        <v>10.224494999999999</v>
      </c>
      <c r="M14" s="47">
        <f t="shared" si="17"/>
        <v>10.224494999999999</v>
      </c>
      <c r="N14" s="47">
        <f t="shared" si="18"/>
        <v>10.064737265625</v>
      </c>
      <c r="O14" s="47">
        <f t="shared" si="19"/>
        <v>10.224494999999999</v>
      </c>
      <c r="P14" s="47">
        <f t="shared" si="20"/>
        <v>1.6017693866999998</v>
      </c>
      <c r="Q14" s="48">
        <f t="shared" si="5"/>
        <v>40.897979999999997</v>
      </c>
      <c r="R14" s="49">
        <f t="shared" si="6"/>
        <v>10.678462578</v>
      </c>
      <c r="S14" s="49">
        <f t="shared" si="7"/>
        <v>20.129474531250001</v>
      </c>
      <c r="T14" s="50">
        <f t="shared" si="8"/>
        <v>0</v>
      </c>
      <c r="U14" s="50">
        <f t="shared" si="8"/>
        <v>0</v>
      </c>
      <c r="V14" s="50">
        <f t="shared" si="8"/>
        <v>0</v>
      </c>
      <c r="W14" s="48">
        <f t="shared" si="9"/>
        <v>7.7165999999999997</v>
      </c>
      <c r="X14" s="48">
        <f t="shared" si="10"/>
        <v>2.01480426</v>
      </c>
      <c r="Y14" s="48">
        <f t="shared" si="11"/>
        <v>3.7980140625000001</v>
      </c>
    </row>
    <row r="15" spans="1:25">
      <c r="A15" s="38">
        <v>7</v>
      </c>
      <c r="B15" s="39">
        <v>1576</v>
      </c>
      <c r="C15" s="42">
        <v>5</v>
      </c>
      <c r="D15" s="41" t="s">
        <v>62</v>
      </c>
      <c r="E15" s="8">
        <v>38.582999999999998</v>
      </c>
      <c r="F15" s="8">
        <v>28.632787259999994</v>
      </c>
      <c r="G15" s="8">
        <v>18.146067187499998</v>
      </c>
      <c r="H15" s="47">
        <f t="shared" si="12"/>
        <v>20.042951081999995</v>
      </c>
      <c r="I15" s="47">
        <f t="shared" si="13"/>
        <v>9.0730335937499991</v>
      </c>
      <c r="J15" s="47">
        <f t="shared" si="14"/>
        <v>9.6457499999999996</v>
      </c>
      <c r="K15" s="47">
        <f t="shared" si="15"/>
        <v>4.2949180889999985</v>
      </c>
      <c r="L15" s="47">
        <f t="shared" si="16"/>
        <v>9.6457499999999996</v>
      </c>
      <c r="M15" s="47">
        <f t="shared" si="17"/>
        <v>9.6457499999999996</v>
      </c>
      <c r="N15" s="47">
        <f t="shared" si="18"/>
        <v>9.0730335937499991</v>
      </c>
      <c r="O15" s="47">
        <f t="shared" si="19"/>
        <v>9.6457499999999996</v>
      </c>
      <c r="P15" s="47">
        <f t="shared" si="20"/>
        <v>4.2949180889999985</v>
      </c>
      <c r="Q15" s="48">
        <f t="shared" si="5"/>
        <v>38.582999999999998</v>
      </c>
      <c r="R15" s="49">
        <f t="shared" si="6"/>
        <v>28.632787259999994</v>
      </c>
      <c r="S15" s="49">
        <f t="shared" si="7"/>
        <v>18.146067187499998</v>
      </c>
      <c r="T15" s="50">
        <f t="shared" si="8"/>
        <v>0</v>
      </c>
      <c r="U15" s="50">
        <f t="shared" si="8"/>
        <v>0</v>
      </c>
      <c r="V15" s="50">
        <f t="shared" si="8"/>
        <v>0</v>
      </c>
      <c r="W15" s="48">
        <f t="shared" si="9"/>
        <v>7.7165999999999997</v>
      </c>
      <c r="X15" s="48">
        <f t="shared" si="10"/>
        <v>5.7265574519999989</v>
      </c>
      <c r="Y15" s="48">
        <f t="shared" si="11"/>
        <v>3.6292134374999998</v>
      </c>
    </row>
    <row r="16" spans="1:25">
      <c r="A16" s="38">
        <v>8</v>
      </c>
      <c r="B16" s="39">
        <v>1576</v>
      </c>
      <c r="C16" s="39">
        <v>2.2000000000000002</v>
      </c>
      <c r="D16" s="41" t="s">
        <v>61</v>
      </c>
      <c r="E16" s="8">
        <v>10.6669134</v>
      </c>
      <c r="F16" s="8">
        <v>8.607523542617999</v>
      </c>
      <c r="G16" s="8">
        <v>2.9200675432500005</v>
      </c>
      <c r="H16" s="47">
        <f t="shared" ref="H16:I16" si="21">+F16</f>
        <v>8.607523542617999</v>
      </c>
      <c r="I16" s="47">
        <f t="shared" si="21"/>
        <v>2.9200675432500005</v>
      </c>
      <c r="J16" s="47">
        <f t="shared" ref="J16" si="22">+E16*0.15</f>
        <v>1.6000370100000001</v>
      </c>
      <c r="K16" s="47"/>
      <c r="L16" s="47">
        <f t="shared" ref="L16" si="23">+E16*0.35</f>
        <v>3.7334196899999998</v>
      </c>
      <c r="M16" s="47">
        <f t="shared" ref="M16" si="24">+E16*0.35</f>
        <v>3.7334196899999998</v>
      </c>
      <c r="N16" s="47"/>
      <c r="O16" s="47">
        <f t="shared" ref="O16" si="25">+E16*0.15</f>
        <v>1.6000370100000001</v>
      </c>
      <c r="P16" s="47"/>
      <c r="Q16" s="48">
        <f t="shared" ref="Q16:Q18" si="26">+O16+M16+L16+J16</f>
        <v>10.6669134</v>
      </c>
      <c r="R16" s="49">
        <f t="shared" ref="R16:R18" si="27">+P16+K16+H16</f>
        <v>8.607523542617999</v>
      </c>
      <c r="S16" s="49">
        <f t="shared" ref="S16:S18" si="28">+N16+I16</f>
        <v>2.9200675432500005</v>
      </c>
      <c r="T16" s="50">
        <f t="shared" ref="T16:V18" si="29">+Q16-E16</f>
        <v>0</v>
      </c>
      <c r="U16" s="50">
        <f t="shared" si="29"/>
        <v>0</v>
      </c>
      <c r="V16" s="50">
        <f t="shared" si="29"/>
        <v>0</v>
      </c>
      <c r="W16" s="48">
        <f t="shared" ref="W16:W18" si="30">+E16/C16</f>
        <v>4.8485969999999998</v>
      </c>
      <c r="X16" s="48">
        <f t="shared" ref="X16:X18" si="31">+F16/C16</f>
        <v>3.9125107011899991</v>
      </c>
      <c r="Y16" s="48">
        <f t="shared" ref="Y16:Y18" si="32">+G16/C16</f>
        <v>1.3273034287500001</v>
      </c>
    </row>
    <row r="17" spans="1:32">
      <c r="A17" s="38">
        <v>9</v>
      </c>
      <c r="B17" s="39">
        <v>1577</v>
      </c>
      <c r="C17" s="42">
        <v>5</v>
      </c>
      <c r="D17" s="41" t="s">
        <v>64</v>
      </c>
      <c r="E17" s="8">
        <v>38.582999999999998</v>
      </c>
      <c r="F17" s="8">
        <v>10.0740213</v>
      </c>
      <c r="G17" s="8">
        <v>18.809212500000001</v>
      </c>
      <c r="H17" s="47">
        <f t="shared" ref="H17:H18" si="33">+F17*0.7</f>
        <v>7.0518149099999992</v>
      </c>
      <c r="I17" s="47">
        <f t="shared" ref="I17:I18" si="34">+G17*0.5</f>
        <v>9.4046062500000005</v>
      </c>
      <c r="J17" s="47">
        <f t="shared" ref="J17:J18" si="35">+E17*0.25</f>
        <v>9.6457499999999996</v>
      </c>
      <c r="K17" s="47">
        <f t="shared" ref="K17:K18" si="36">+F17*0.15</f>
        <v>1.511103195</v>
      </c>
      <c r="L17" s="47">
        <f t="shared" ref="L17:L18" si="37">+E17*0.25</f>
        <v>9.6457499999999996</v>
      </c>
      <c r="M17" s="47">
        <f t="shared" ref="M17:M18" si="38">+E17*0.25</f>
        <v>9.6457499999999996</v>
      </c>
      <c r="N17" s="47">
        <f t="shared" ref="N17:N18" si="39">+G17*0.5</f>
        <v>9.4046062500000005</v>
      </c>
      <c r="O17" s="47">
        <f t="shared" ref="O17:O18" si="40">+E17*0.25</f>
        <v>9.6457499999999996</v>
      </c>
      <c r="P17" s="47">
        <f t="shared" ref="P17:P18" si="41">+F17*0.15</f>
        <v>1.511103195</v>
      </c>
      <c r="Q17" s="48">
        <f t="shared" si="26"/>
        <v>38.582999999999998</v>
      </c>
      <c r="R17" s="49">
        <f t="shared" si="27"/>
        <v>10.074021299999998</v>
      </c>
      <c r="S17" s="49">
        <f t="shared" si="28"/>
        <v>18.809212500000001</v>
      </c>
      <c r="T17" s="50">
        <f t="shared" si="29"/>
        <v>0</v>
      </c>
      <c r="U17" s="50">
        <f t="shared" si="29"/>
        <v>0</v>
      </c>
      <c r="V17" s="50">
        <f t="shared" si="29"/>
        <v>0</v>
      </c>
      <c r="W17" s="48">
        <f t="shared" si="30"/>
        <v>7.7165999999999997</v>
      </c>
      <c r="X17" s="48">
        <f t="shared" si="31"/>
        <v>2.01480426</v>
      </c>
      <c r="Y17" s="48">
        <f t="shared" si="32"/>
        <v>3.7618425000000002</v>
      </c>
    </row>
    <row r="18" spans="1:32">
      <c r="A18" s="38">
        <v>10</v>
      </c>
      <c r="B18" s="39">
        <v>1577</v>
      </c>
      <c r="C18" s="42">
        <v>3</v>
      </c>
      <c r="D18" s="41" t="s">
        <v>62</v>
      </c>
      <c r="E18" s="8">
        <v>23.149799999999999</v>
      </c>
      <c r="F18" s="8">
        <v>17.179672355999998</v>
      </c>
      <c r="G18" s="8">
        <v>11.285527499999999</v>
      </c>
      <c r="H18" s="47">
        <f t="shared" si="33"/>
        <v>12.025770649199998</v>
      </c>
      <c r="I18" s="47">
        <f t="shared" si="34"/>
        <v>5.6427637499999994</v>
      </c>
      <c r="J18" s="47">
        <f t="shared" si="35"/>
        <v>5.7874499999999998</v>
      </c>
      <c r="K18" s="47">
        <f t="shared" si="36"/>
        <v>2.5769508533999996</v>
      </c>
      <c r="L18" s="47">
        <f t="shared" si="37"/>
        <v>5.7874499999999998</v>
      </c>
      <c r="M18" s="47">
        <f t="shared" si="38"/>
        <v>5.7874499999999998</v>
      </c>
      <c r="N18" s="47">
        <f t="shared" si="39"/>
        <v>5.6427637499999994</v>
      </c>
      <c r="O18" s="47">
        <f t="shared" si="40"/>
        <v>5.7874499999999998</v>
      </c>
      <c r="P18" s="47">
        <f t="shared" si="41"/>
        <v>2.5769508533999996</v>
      </c>
      <c r="Q18" s="48">
        <f t="shared" si="26"/>
        <v>23.149799999999999</v>
      </c>
      <c r="R18" s="49">
        <f t="shared" si="27"/>
        <v>17.179672355999998</v>
      </c>
      <c r="S18" s="49">
        <f t="shared" si="28"/>
        <v>11.285527499999999</v>
      </c>
      <c r="T18" s="50">
        <f t="shared" si="29"/>
        <v>0</v>
      </c>
      <c r="U18" s="50">
        <f t="shared" si="29"/>
        <v>0</v>
      </c>
      <c r="V18" s="50">
        <f t="shared" si="29"/>
        <v>0</v>
      </c>
      <c r="W18" s="48">
        <f t="shared" si="30"/>
        <v>7.7165999999999997</v>
      </c>
      <c r="X18" s="48">
        <f t="shared" si="31"/>
        <v>5.7265574519999989</v>
      </c>
      <c r="Y18" s="48">
        <f t="shared" si="32"/>
        <v>3.7618424999999998</v>
      </c>
    </row>
    <row r="19" spans="1:32">
      <c r="A19" s="38">
        <v>11</v>
      </c>
      <c r="B19" s="39">
        <v>1585</v>
      </c>
      <c r="C19" s="39">
        <v>4.8</v>
      </c>
      <c r="D19" s="41" t="s">
        <v>61</v>
      </c>
      <c r="E19" s="8">
        <v>23.273265599999998</v>
      </c>
      <c r="F19" s="8">
        <v>18.840148109327998</v>
      </c>
      <c r="G19" s="8">
        <v>6.4583312039999994</v>
      </c>
      <c r="H19" s="47">
        <f t="shared" ref="H19:I19" si="42">+F19</f>
        <v>18.840148109327998</v>
      </c>
      <c r="I19" s="47">
        <f t="shared" si="42"/>
        <v>6.4583312039999994</v>
      </c>
      <c r="J19" s="47">
        <f t="shared" ref="J19" si="43">+E19*0.15</f>
        <v>3.4909898399999997</v>
      </c>
      <c r="K19" s="47"/>
      <c r="L19" s="47">
        <f t="shared" ref="L19" si="44">+E19*0.35</f>
        <v>8.1456429599999982</v>
      </c>
      <c r="M19" s="47">
        <f t="shared" ref="M19" si="45">+E19*0.35</f>
        <v>8.1456429599999982</v>
      </c>
      <c r="N19" s="47"/>
      <c r="O19" s="47">
        <f t="shared" ref="O19" si="46">+E19*0.15</f>
        <v>3.4909898399999997</v>
      </c>
      <c r="P19" s="47"/>
      <c r="Q19" s="48">
        <f t="shared" ref="Q19:Q21" si="47">+O19+M19+L19+J19</f>
        <v>23.273265599999998</v>
      </c>
      <c r="R19" s="49">
        <f t="shared" ref="R19:R21" si="48">+P19+K19+H19</f>
        <v>18.840148109327998</v>
      </c>
      <c r="S19" s="49">
        <f t="shared" ref="S19:S21" si="49">+N19+I19</f>
        <v>6.4583312039999994</v>
      </c>
      <c r="T19" s="50">
        <f t="shared" ref="T19:V21" si="50">+Q19-E19</f>
        <v>0</v>
      </c>
      <c r="U19" s="50">
        <f t="shared" si="50"/>
        <v>0</v>
      </c>
      <c r="V19" s="50">
        <f t="shared" si="50"/>
        <v>0</v>
      </c>
      <c r="W19" s="48">
        <f t="shared" ref="W19:W21" si="51">+E19/C19</f>
        <v>4.8485969999999998</v>
      </c>
      <c r="X19" s="48">
        <f t="shared" ref="X19:X21" si="52">+F19/C19</f>
        <v>3.9250308561099998</v>
      </c>
      <c r="Y19" s="48">
        <f t="shared" ref="Y19:Y21" si="53">+G19/C19</f>
        <v>1.3454856675</v>
      </c>
    </row>
    <row r="20" spans="1:32" s="9" customFormat="1">
      <c r="A20" s="38">
        <v>12</v>
      </c>
      <c r="B20" s="39">
        <v>1588</v>
      </c>
      <c r="C20" s="42">
        <v>3</v>
      </c>
      <c r="D20" s="41" t="s">
        <v>64</v>
      </c>
      <c r="E20" s="8">
        <v>23.149799999999999</v>
      </c>
      <c r="F20" s="8">
        <v>18.770089337999998</v>
      </c>
      <c r="G20" s="8">
        <v>10.56209625</v>
      </c>
      <c r="H20" s="47">
        <f t="shared" ref="H20:H21" si="54">+F20*0.7</f>
        <v>13.139062536599997</v>
      </c>
      <c r="I20" s="47">
        <f t="shared" ref="I20:I21" si="55">+G20*0.5</f>
        <v>5.2810481249999999</v>
      </c>
      <c r="J20" s="47">
        <f t="shared" ref="J20:J21" si="56">+E20*0.25</f>
        <v>5.7874499999999998</v>
      </c>
      <c r="K20" s="47">
        <f t="shared" ref="K20:K21" si="57">+F20*0.15</f>
        <v>2.8155134006999996</v>
      </c>
      <c r="L20" s="47">
        <f t="shared" ref="L20:L21" si="58">+E20*0.25</f>
        <v>5.7874499999999998</v>
      </c>
      <c r="M20" s="47">
        <f t="shared" ref="M20:M21" si="59">+E20*0.25</f>
        <v>5.7874499999999998</v>
      </c>
      <c r="N20" s="47">
        <f t="shared" ref="N20:N21" si="60">+G20*0.5</f>
        <v>5.2810481249999999</v>
      </c>
      <c r="O20" s="47">
        <f t="shared" ref="O20:O21" si="61">+E20*0.25</f>
        <v>5.7874499999999998</v>
      </c>
      <c r="P20" s="47">
        <f t="shared" ref="P20:P21" si="62">+F20*0.15</f>
        <v>2.8155134006999996</v>
      </c>
      <c r="Q20" s="48">
        <f t="shared" si="47"/>
        <v>23.149799999999999</v>
      </c>
      <c r="R20" s="49">
        <f t="shared" si="48"/>
        <v>18.770089337999998</v>
      </c>
      <c r="S20" s="49">
        <f t="shared" si="49"/>
        <v>10.56209625</v>
      </c>
      <c r="T20" s="50">
        <f t="shared" si="50"/>
        <v>0</v>
      </c>
      <c r="U20" s="50">
        <f t="shared" si="50"/>
        <v>0</v>
      </c>
      <c r="V20" s="50">
        <f t="shared" si="50"/>
        <v>0</v>
      </c>
      <c r="W20" s="48">
        <f t="shared" si="51"/>
        <v>7.7165999999999997</v>
      </c>
      <c r="X20" s="48">
        <f t="shared" si="52"/>
        <v>6.2566964459999994</v>
      </c>
      <c r="Y20" s="48">
        <f t="shared" si="53"/>
        <v>3.5206987499999998</v>
      </c>
    </row>
    <row r="21" spans="1:32" s="9" customFormat="1">
      <c r="A21" s="38">
        <v>13</v>
      </c>
      <c r="B21" s="39" t="s">
        <v>63</v>
      </c>
      <c r="C21" s="39">
        <v>5.9</v>
      </c>
      <c r="D21" s="41" t="s">
        <v>62</v>
      </c>
      <c r="E21" s="8">
        <v>45.527940000000001</v>
      </c>
      <c r="F21" s="8">
        <v>38.153172519000002</v>
      </c>
      <c r="G21" s="8">
        <v>20.131885968749998</v>
      </c>
      <c r="H21" s="47">
        <f t="shared" si="54"/>
        <v>26.7072207633</v>
      </c>
      <c r="I21" s="47">
        <f t="shared" si="55"/>
        <v>10.065942984374999</v>
      </c>
      <c r="J21" s="47">
        <f t="shared" si="56"/>
        <v>11.381985</v>
      </c>
      <c r="K21" s="47">
        <f t="shared" si="57"/>
        <v>5.7229758778499997</v>
      </c>
      <c r="L21" s="47">
        <f t="shared" si="58"/>
        <v>11.381985</v>
      </c>
      <c r="M21" s="47">
        <f t="shared" si="59"/>
        <v>11.381985</v>
      </c>
      <c r="N21" s="47">
        <f t="shared" si="60"/>
        <v>10.065942984374999</v>
      </c>
      <c r="O21" s="47">
        <f t="shared" si="61"/>
        <v>11.381985</v>
      </c>
      <c r="P21" s="47">
        <f t="shared" si="62"/>
        <v>5.7229758778499997</v>
      </c>
      <c r="Q21" s="48">
        <f t="shared" si="47"/>
        <v>45.527940000000001</v>
      </c>
      <c r="R21" s="49">
        <f t="shared" si="48"/>
        <v>38.153172519000002</v>
      </c>
      <c r="S21" s="49">
        <f t="shared" si="49"/>
        <v>20.131885968749998</v>
      </c>
      <c r="T21" s="50">
        <f t="shared" si="50"/>
        <v>0</v>
      </c>
      <c r="U21" s="50">
        <f t="shared" si="50"/>
        <v>0</v>
      </c>
      <c r="V21" s="50">
        <f t="shared" si="50"/>
        <v>0</v>
      </c>
      <c r="W21" s="48">
        <f t="shared" si="51"/>
        <v>7.7165999999999997</v>
      </c>
      <c r="X21" s="48">
        <f t="shared" si="52"/>
        <v>6.46663941</v>
      </c>
      <c r="Y21" s="48">
        <f t="shared" si="53"/>
        <v>3.4121840624999993</v>
      </c>
    </row>
    <row r="22" spans="1:32" s="9" customFormat="1">
      <c r="A22" s="1"/>
      <c r="B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32" s="9" customFormat="1">
      <c r="A23" s="1"/>
      <c r="B23" s="1"/>
      <c r="C23" s="31">
        <f>SUM(C9:C21)</f>
        <v>51.199999999999996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32" s="9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32" s="9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32" s="9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32" s="9" customFormat="1">
      <c r="A27" s="1"/>
      <c r="B27" s="1"/>
      <c r="C27" s="1"/>
      <c r="D27" s="1"/>
      <c r="E27" s="1"/>
      <c r="F27" s="11"/>
      <c r="G27" s="1"/>
      <c r="H27" s="11"/>
      <c r="J27" s="11"/>
      <c r="K27" s="1"/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9" customFormat="1">
      <c r="A28" s="1"/>
      <c r="B28" s="1"/>
      <c r="C28" s="1"/>
      <c r="D28" s="1"/>
      <c r="E28" s="1"/>
      <c r="F28" s="11"/>
      <c r="G28" s="1"/>
      <c r="H28" s="11"/>
      <c r="J28" s="11"/>
      <c r="K28" s="1"/>
      <c r="L28" s="1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9" customFormat="1">
      <c r="A29" s="1"/>
      <c r="B29" s="1"/>
      <c r="C29" s="1"/>
      <c r="D29" s="1"/>
      <c r="E29" s="1"/>
      <c r="F29" s="11"/>
      <c r="G29" s="1"/>
      <c r="H29" s="11"/>
      <c r="J29" s="11"/>
      <c r="K29" s="1"/>
      <c r="L29" s="1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9" customFormat="1">
      <c r="A30" s="1"/>
      <c r="B30" s="1"/>
      <c r="C30" s="1"/>
      <c r="D30" s="1"/>
      <c r="E30" s="1"/>
      <c r="F30" s="11"/>
      <c r="G30" s="1"/>
      <c r="H30" s="11"/>
      <c r="J30" s="11"/>
      <c r="K30" s="1"/>
      <c r="L30" s="1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9" customFormat="1">
      <c r="A31" s="1"/>
      <c r="B31" s="1"/>
      <c r="C31" s="1"/>
      <c r="D31" s="1"/>
      <c r="E31" s="1"/>
      <c r="F31" s="11"/>
      <c r="G31" s="1"/>
      <c r="H31" s="11"/>
      <c r="J31" s="11"/>
      <c r="K31" s="1"/>
      <c r="L31" s="1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9" customFormat="1">
      <c r="A32" s="1"/>
      <c r="B32" s="1"/>
      <c r="C32" s="1"/>
      <c r="D32" s="1"/>
      <c r="E32" s="1"/>
      <c r="F32" s="11"/>
      <c r="G32" s="1"/>
      <c r="H32" s="11"/>
      <c r="J32" s="11"/>
      <c r="K32" s="1"/>
      <c r="L32" s="1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9" customFormat="1">
      <c r="A33" s="1"/>
      <c r="B33" s="1"/>
      <c r="C33" s="1"/>
      <c r="D33" s="1"/>
      <c r="E33" s="1"/>
      <c r="F33" s="11"/>
      <c r="G33" s="1"/>
      <c r="H33" s="11"/>
      <c r="J33" s="11"/>
      <c r="K33" s="1"/>
      <c r="L33" s="1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9" customFormat="1">
      <c r="A34" s="1"/>
      <c r="B34" s="1"/>
      <c r="C34" s="1"/>
      <c r="D34" s="1"/>
      <c r="E34" s="1"/>
      <c r="F34" s="11"/>
      <c r="G34" s="1"/>
      <c r="H34" s="11"/>
      <c r="J34" s="11"/>
      <c r="K34" s="1"/>
      <c r="L34" s="1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9" customFormat="1">
      <c r="A35" s="1"/>
      <c r="B35" s="1"/>
      <c r="C35" s="1"/>
      <c r="D35" s="1"/>
      <c r="E35" s="1"/>
      <c r="F35" s="11"/>
      <c r="G35" s="1"/>
      <c r="H35" s="11"/>
      <c r="J35" s="11"/>
      <c r="K35" s="1"/>
      <c r="L35" s="1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9" customFormat="1">
      <c r="A36" s="1"/>
      <c r="B36" s="1"/>
      <c r="C36" s="1"/>
      <c r="D36" s="1"/>
      <c r="E36" s="1"/>
      <c r="F36" s="11"/>
      <c r="G36" s="1"/>
      <c r="H36" s="11"/>
      <c r="J36" s="11"/>
      <c r="K36" s="1"/>
      <c r="L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9" customFormat="1">
      <c r="A37" s="1"/>
      <c r="B37" s="1"/>
      <c r="C37" s="1"/>
      <c r="D37" s="1"/>
      <c r="E37" s="1"/>
      <c r="F37" s="11"/>
      <c r="G37" s="1"/>
      <c r="H37" s="11"/>
      <c r="J37" s="11"/>
      <c r="K37" s="1"/>
      <c r="L37" s="1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9" customFormat="1">
      <c r="A38" s="1"/>
      <c r="B38" s="1"/>
      <c r="C38" s="1"/>
      <c r="D38" s="1"/>
      <c r="E38" s="1"/>
      <c r="F38" s="11"/>
      <c r="G38" s="1"/>
      <c r="H38" s="11"/>
      <c r="J38" s="11"/>
      <c r="K38" s="1"/>
      <c r="L38" s="1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9" customFormat="1">
      <c r="A39" s="1"/>
      <c r="B39" s="1"/>
      <c r="C39" s="1"/>
      <c r="D39" s="1"/>
      <c r="E39" s="1"/>
      <c r="F39" s="11"/>
      <c r="G39" s="1"/>
      <c r="H39" s="11"/>
      <c r="J39" s="11"/>
      <c r="K39" s="1"/>
      <c r="L39" s="1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9" customFormat="1">
      <c r="A40" s="1"/>
      <c r="B40" s="1"/>
      <c r="C40" s="1"/>
      <c r="D40" s="1"/>
      <c r="E40" s="1"/>
      <c r="F40" s="11"/>
      <c r="G40" s="1"/>
      <c r="H40" s="11"/>
      <c r="J40" s="11"/>
      <c r="K40" s="1"/>
      <c r="L40" s="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9" customFormat="1">
      <c r="A41" s="1"/>
      <c r="B41" s="1"/>
      <c r="C41" s="1"/>
      <c r="D41" s="1"/>
      <c r="E41" s="1"/>
      <c r="F41" s="11"/>
      <c r="G41" s="1"/>
      <c r="H41" s="11"/>
      <c r="J41" s="11"/>
      <c r="K41" s="1"/>
      <c r="L41" s="1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9" customFormat="1">
      <c r="A42" s="1"/>
      <c r="B42" s="1"/>
      <c r="C42" s="1"/>
      <c r="D42" s="1"/>
      <c r="E42" s="1"/>
      <c r="F42" s="11"/>
      <c r="G42" s="1"/>
      <c r="H42" s="11"/>
      <c r="J42" s="11"/>
      <c r="K42" s="1"/>
      <c r="L42" s="1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9" customFormat="1">
      <c r="A43" s="1"/>
      <c r="B43" s="1"/>
      <c r="C43" s="1"/>
      <c r="D43" s="1"/>
      <c r="E43" s="1"/>
      <c r="F43" s="11"/>
      <c r="G43" s="1"/>
      <c r="H43" s="11"/>
      <c r="J43" s="11"/>
      <c r="K43" s="1"/>
      <c r="L43" s="1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9" customFormat="1">
      <c r="A44" s="1"/>
      <c r="B44" s="1"/>
      <c r="C44" s="1"/>
      <c r="D44" s="1"/>
      <c r="E44" s="1"/>
      <c r="F44" s="11"/>
      <c r="G44" s="1"/>
      <c r="H44" s="11"/>
      <c r="J44" s="11"/>
      <c r="K44" s="1"/>
      <c r="L44" s="1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9" customFormat="1">
      <c r="A45" s="1"/>
      <c r="B45" s="1"/>
      <c r="C45" s="1"/>
      <c r="D45" s="1"/>
      <c r="E45" s="1"/>
      <c r="F45" s="11"/>
      <c r="G45" s="1"/>
      <c r="H45" s="11"/>
      <c r="J45" s="11"/>
      <c r="K45" s="1"/>
      <c r="L45" s="1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9" customFormat="1">
      <c r="A46" s="1"/>
      <c r="B46" s="1"/>
      <c r="C46" s="1"/>
      <c r="D46" s="1"/>
      <c r="E46" s="1"/>
      <c r="F46" s="11"/>
      <c r="G46" s="1"/>
      <c r="H46" s="11"/>
      <c r="J46" s="11"/>
      <c r="K46" s="1"/>
      <c r="L46" s="1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9" customFormat="1">
      <c r="A47" s="1"/>
      <c r="B47" s="1"/>
      <c r="C47" s="1"/>
      <c r="D47" s="1"/>
      <c r="E47" s="1"/>
      <c r="F47" s="11"/>
      <c r="G47" s="1"/>
      <c r="H47" s="11"/>
      <c r="J47" s="11"/>
      <c r="K47" s="1"/>
      <c r="L47" s="1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9" customFormat="1">
      <c r="A48" s="1"/>
      <c r="B48" s="1"/>
      <c r="C48" s="1"/>
      <c r="D48" s="1"/>
      <c r="E48" s="1"/>
      <c r="F48" s="11"/>
      <c r="G48" s="1"/>
      <c r="H48" s="11"/>
      <c r="J48" s="11"/>
      <c r="K48" s="1"/>
      <c r="L48" s="1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9" customFormat="1">
      <c r="A49" s="1"/>
      <c r="B49" s="1"/>
      <c r="C49" s="1"/>
      <c r="D49" s="1"/>
      <c r="E49" s="1"/>
      <c r="F49" s="11"/>
      <c r="G49" s="1"/>
      <c r="H49" s="11"/>
      <c r="J49" s="11"/>
      <c r="K49" s="1"/>
      <c r="L49" s="1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9" customFormat="1">
      <c r="A50" s="1"/>
      <c r="B50" s="1"/>
      <c r="C50" s="1"/>
      <c r="D50" s="1"/>
      <c r="E50" s="1"/>
      <c r="F50" s="11"/>
      <c r="G50" s="1"/>
      <c r="H50" s="11"/>
      <c r="J50" s="11"/>
      <c r="K50" s="1"/>
      <c r="L50" s="1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9" customFormat="1">
      <c r="A51" s="1"/>
      <c r="B51" s="1"/>
      <c r="C51" s="1"/>
      <c r="D51" s="1"/>
      <c r="E51" s="1"/>
      <c r="F51" s="11"/>
      <c r="G51" s="1"/>
      <c r="H51" s="11"/>
      <c r="J51" s="11"/>
      <c r="K51" s="1"/>
      <c r="L51" s="1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9" customFormat="1">
      <c r="A52" s="1"/>
      <c r="B52" s="1"/>
      <c r="C52" s="1"/>
      <c r="D52" s="1"/>
      <c r="E52" s="1"/>
      <c r="F52" s="11"/>
      <c r="G52" s="1"/>
      <c r="H52" s="11"/>
      <c r="J52" s="11"/>
      <c r="K52" s="1"/>
      <c r="L52" s="1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9" customFormat="1">
      <c r="A53" s="1"/>
      <c r="B53" s="1"/>
      <c r="C53" s="1"/>
      <c r="D53" s="1"/>
      <c r="E53" s="1"/>
      <c r="F53" s="11"/>
      <c r="G53" s="1"/>
      <c r="H53" s="11"/>
      <c r="J53" s="11"/>
      <c r="K53" s="1"/>
      <c r="L53" s="1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9" customFormat="1">
      <c r="A54" s="1"/>
      <c r="B54" s="1"/>
      <c r="C54" s="1"/>
      <c r="D54" s="1"/>
      <c r="E54" s="1"/>
      <c r="G54" s="12"/>
      <c r="H54" s="1"/>
      <c r="J54" s="11"/>
      <c r="K54" s="1"/>
      <c r="L54" s="1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9" customFormat="1">
      <c r="A55" s="1"/>
      <c r="B55" s="1"/>
      <c r="C55" s="1"/>
      <c r="D55" s="1"/>
      <c r="E55" s="1"/>
      <c r="G55" s="12"/>
      <c r="H55" s="1"/>
      <c r="J55" s="11"/>
      <c r="K55" s="1"/>
      <c r="L55" s="1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9" customFormat="1">
      <c r="A56" s="1"/>
      <c r="B56" s="1"/>
      <c r="C56" s="1"/>
      <c r="D56" s="1"/>
      <c r="E56" s="1"/>
      <c r="G56" s="12"/>
      <c r="H56" s="1"/>
      <c r="J56" s="11"/>
      <c r="K56" s="1"/>
      <c r="L56" s="1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9" customFormat="1">
      <c r="A57" s="1"/>
      <c r="B57" s="1"/>
      <c r="C57" s="1"/>
      <c r="D57" s="1"/>
      <c r="E57" s="1"/>
      <c r="G57" s="12"/>
      <c r="H57" s="1"/>
      <c r="J57" s="11"/>
      <c r="K57" s="1"/>
      <c r="L57" s="1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9" customFormat="1">
      <c r="A58" s="1"/>
      <c r="B58" s="1"/>
      <c r="C58" s="1"/>
      <c r="D58" s="1"/>
      <c r="E58" s="1"/>
      <c r="G58" s="12"/>
      <c r="H58" s="1"/>
      <c r="J58" s="11"/>
      <c r="K58" s="1"/>
      <c r="L58" s="1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9" customFormat="1">
      <c r="A59" s="1"/>
      <c r="B59" s="1"/>
      <c r="C59" s="1"/>
      <c r="D59" s="1"/>
      <c r="E59" s="1"/>
      <c r="G59" s="12"/>
      <c r="H59" s="1"/>
      <c r="J59" s="11"/>
      <c r="K59" s="1"/>
      <c r="L59" s="1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9" customFormat="1">
      <c r="A60" s="1"/>
      <c r="B60" s="1"/>
      <c r="C60" s="1"/>
      <c r="D60" s="1"/>
      <c r="E60" s="1"/>
      <c r="G60" s="12"/>
      <c r="H60" s="1"/>
      <c r="J60" s="11"/>
      <c r="K60" s="1"/>
      <c r="L60" s="1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9" customFormat="1">
      <c r="A61" s="1"/>
      <c r="B61" s="1"/>
      <c r="C61" s="1"/>
      <c r="D61" s="1"/>
      <c r="E61" s="1"/>
      <c r="G61" s="12"/>
      <c r="H61" s="1"/>
      <c r="J61" s="11"/>
      <c r="K61" s="1"/>
      <c r="L61" s="1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9" customFormat="1">
      <c r="A62" s="1"/>
      <c r="B62" s="1"/>
      <c r="C62" s="1"/>
      <c r="D62" s="1"/>
      <c r="E62" s="1"/>
      <c r="G62" s="12"/>
      <c r="H62" s="1"/>
      <c r="J62" s="11"/>
      <c r="K62" s="1"/>
      <c r="L62" s="1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9" customFormat="1">
      <c r="A63" s="1"/>
      <c r="B63" s="1"/>
      <c r="C63" s="1"/>
      <c r="D63" s="1"/>
      <c r="E63" s="1"/>
      <c r="G63" s="12"/>
      <c r="H63" s="1"/>
      <c r="J63" s="11"/>
      <c r="K63" s="1"/>
      <c r="L63" s="1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9" customFormat="1">
      <c r="A64" s="1"/>
      <c r="B64" s="1"/>
      <c r="C64" s="1"/>
      <c r="D64" s="1"/>
      <c r="E64" s="1"/>
      <c r="G64" s="12"/>
      <c r="H64" s="1"/>
      <c r="J64" s="11"/>
      <c r="K64" s="1"/>
      <c r="L64" s="1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9" customFormat="1">
      <c r="A65" s="1"/>
      <c r="B65" s="1"/>
      <c r="C65" s="1"/>
      <c r="D65" s="1"/>
      <c r="E65" s="1"/>
      <c r="G65" s="12"/>
      <c r="H65" s="1"/>
      <c r="J65" s="11"/>
      <c r="K65" s="1"/>
      <c r="L65" s="1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9" customFormat="1">
      <c r="A66" s="1"/>
      <c r="B66" s="1"/>
      <c r="C66" s="1"/>
      <c r="D66" s="1"/>
      <c r="E66" s="1"/>
      <c r="G66" s="12"/>
      <c r="H66" s="1"/>
      <c r="J66" s="11"/>
      <c r="K66" s="1"/>
      <c r="L66" s="1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9" customFormat="1">
      <c r="A67" s="1"/>
      <c r="B67" s="1"/>
      <c r="C67" s="1"/>
      <c r="D67" s="1"/>
      <c r="E67" s="1"/>
      <c r="G67" s="12"/>
      <c r="H67" s="1"/>
      <c r="J67" s="11"/>
      <c r="K67" s="1"/>
      <c r="L67" s="1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9" customFormat="1">
      <c r="A68" s="1"/>
      <c r="B68" s="1"/>
      <c r="C68" s="1"/>
      <c r="D68" s="1"/>
      <c r="E68" s="1"/>
      <c r="G68" s="12"/>
      <c r="H68" s="1"/>
      <c r="J68" s="11"/>
      <c r="K68" s="1"/>
      <c r="L68" s="1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9" customFormat="1">
      <c r="A69" s="1"/>
      <c r="B69" s="1"/>
      <c r="C69" s="1"/>
      <c r="D69" s="1"/>
      <c r="E69" s="1"/>
      <c r="G69" s="12"/>
      <c r="H69" s="1"/>
      <c r="J69" s="11"/>
      <c r="K69" s="1"/>
      <c r="L69" s="1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9" customFormat="1">
      <c r="A70" s="1"/>
      <c r="B70" s="1"/>
      <c r="C70" s="1"/>
      <c r="D70" s="1"/>
      <c r="E70" s="1"/>
      <c r="G70" s="12"/>
      <c r="H70" s="1"/>
      <c r="J70" s="11"/>
      <c r="K70" s="1"/>
      <c r="L70" s="1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9" customFormat="1">
      <c r="A71" s="1"/>
      <c r="B71" s="1"/>
      <c r="C71" s="1"/>
      <c r="D71" s="1"/>
      <c r="E71" s="1"/>
      <c r="G71" s="12"/>
      <c r="H71" s="1"/>
      <c r="J71" s="11"/>
      <c r="K71" s="1"/>
      <c r="L71" s="1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9" customFormat="1">
      <c r="A72" s="1"/>
      <c r="B72" s="1"/>
      <c r="C72" s="1"/>
      <c r="D72" s="1"/>
      <c r="E72" s="1"/>
      <c r="G72" s="12"/>
      <c r="H72" s="1"/>
      <c r="J72" s="11"/>
      <c r="K72" s="1"/>
      <c r="L72" s="1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9" customFormat="1">
      <c r="A73" s="1"/>
      <c r="B73" s="1"/>
      <c r="C73" s="1"/>
      <c r="D73" s="1"/>
      <c r="E73" s="1"/>
      <c r="G73" s="12"/>
      <c r="H73" s="1"/>
      <c r="J73" s="11"/>
      <c r="K73" s="1"/>
      <c r="L73" s="1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9" customFormat="1">
      <c r="A74" s="1"/>
      <c r="B74" s="1"/>
      <c r="C74" s="1"/>
      <c r="D74" s="1"/>
      <c r="E74" s="1"/>
      <c r="G74" s="12"/>
      <c r="H74" s="1"/>
      <c r="J74" s="11"/>
      <c r="K74" s="1"/>
      <c r="L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9" customFormat="1">
      <c r="A75" s="1"/>
      <c r="B75" s="1"/>
      <c r="C75" s="1"/>
      <c r="D75" s="1"/>
      <c r="E75" s="1"/>
      <c r="G75" s="12"/>
      <c r="H75" s="1"/>
      <c r="J75" s="11"/>
      <c r="K75" s="1"/>
      <c r="L75" s="1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9" customFormat="1">
      <c r="A76" s="1"/>
      <c r="B76" s="1"/>
      <c r="C76" s="1"/>
      <c r="D76" s="1"/>
      <c r="E76" s="1"/>
      <c r="G76" s="12"/>
      <c r="H76" s="1"/>
      <c r="J76" s="11"/>
      <c r="K76" s="1"/>
      <c r="L76" s="1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9" customFormat="1">
      <c r="A77" s="1"/>
      <c r="B77" s="1"/>
      <c r="C77" s="1"/>
      <c r="D77" s="1"/>
      <c r="E77" s="1"/>
      <c r="G77" s="12"/>
      <c r="H77" s="1"/>
      <c r="J77" s="11"/>
      <c r="K77" s="1"/>
      <c r="L77" s="1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9" customFormat="1">
      <c r="A78" s="1"/>
      <c r="B78" s="1"/>
      <c r="C78" s="1"/>
      <c r="D78" s="1"/>
      <c r="E78" s="1"/>
      <c r="G78" s="12"/>
      <c r="H78" s="1"/>
      <c r="J78" s="11"/>
      <c r="K78" s="1"/>
      <c r="L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6:G6"/>
    <mergeCell ref="E7:E8"/>
    <mergeCell ref="F7:F8"/>
    <mergeCell ref="G7:G8"/>
    <mergeCell ref="H6:P6"/>
    <mergeCell ref="H7:I7"/>
    <mergeCell ref="M7:N7"/>
    <mergeCell ref="O7:P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E-MaxPCShop</cp:lastModifiedBy>
  <cp:lastPrinted>2022-12-19T06:44:24Z</cp:lastPrinted>
  <dcterms:created xsi:type="dcterms:W3CDTF">2021-12-28T07:29:34Z</dcterms:created>
  <dcterms:modified xsi:type="dcterms:W3CDTF">2023-05-18T09:46:53Z</dcterms:modified>
</cp:coreProperties>
</file>