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Тошлоқ\Араббой Тухтабой\Турғунов Диёрбек\"/>
    </mc:Choice>
  </mc:AlternateContent>
  <bookViews>
    <workbookView xWindow="480" yWindow="105" windowWidth="27795" windowHeight="12600" activeTab="2"/>
  </bookViews>
  <sheets>
    <sheet name="Жадвал" sheetId="1" r:id="rId1"/>
    <sheet name="3." sheetId="2" r:id="rId2"/>
    <sheet name="4" sheetId="6" r:id="rId3"/>
  </sheets>
  <definedNames>
    <definedName name="_xlnm._FilterDatabase" localSheetId="2" hidden="1">'4'!$A$6:$G$10</definedName>
    <definedName name="_xlnm._FilterDatabase" localSheetId="0" hidden="1">Жадвал!$A$6:$R$10</definedName>
    <definedName name="_xlnm.Print_Titles" localSheetId="2">'4'!$6:$8</definedName>
    <definedName name="_xlnm.Print_Titles" localSheetId="0">Жадвал!$6:$8</definedName>
    <definedName name="_xlnm.Print_Area" localSheetId="1">'3.'!$A$1:$M$29</definedName>
    <definedName name="_xlnm.Print_Area" localSheetId="2">'4'!$A$1:$X$10</definedName>
    <definedName name="_xlnm.Print_Area" localSheetId="0">Жадвал!$A$1:$X$10</definedName>
  </definedNames>
  <calcPr calcId="162913"/>
</workbook>
</file>

<file path=xl/calcChain.xml><?xml version="1.0" encoding="utf-8"?>
<calcChain xmlns="http://schemas.openxmlformats.org/spreadsheetml/2006/main">
  <c r="Y19" i="6" l="1"/>
  <c r="X19" i="6"/>
  <c r="W19" i="6"/>
  <c r="V19" i="6"/>
  <c r="S19" i="6"/>
  <c r="R19" i="6"/>
  <c r="U19" i="6" s="1"/>
  <c r="O19" i="6"/>
  <c r="Q19" i="6" s="1"/>
  <c r="T19" i="6" s="1"/>
  <c r="M19" i="6"/>
  <c r="L19" i="6"/>
  <c r="J19" i="6"/>
  <c r="I19" i="6"/>
  <c r="H19" i="6"/>
  <c r="Y16" i="6"/>
  <c r="X16" i="6"/>
  <c r="W16" i="6"/>
  <c r="R16" i="6"/>
  <c r="U16" i="6" s="1"/>
  <c r="O16" i="6"/>
  <c r="M16" i="6"/>
  <c r="L16" i="6"/>
  <c r="J16" i="6"/>
  <c r="Q16" i="6" s="1"/>
  <c r="T16" i="6" s="1"/>
  <c r="I16" i="6"/>
  <c r="S16" i="6" s="1"/>
  <c r="V16" i="6" s="1"/>
  <c r="H16" i="6"/>
  <c r="Y15" i="6"/>
  <c r="X15" i="6"/>
  <c r="W15" i="6"/>
  <c r="O15" i="6"/>
  <c r="Q15" i="6" s="1"/>
  <c r="T15" i="6" s="1"/>
  <c r="M15" i="6"/>
  <c r="L15" i="6"/>
  <c r="J15" i="6"/>
  <c r="I15" i="6"/>
  <c r="S15" i="6" s="1"/>
  <c r="V15" i="6" s="1"/>
  <c r="H15" i="6"/>
  <c r="R15" i="6" s="1"/>
  <c r="U15" i="6" s="1"/>
  <c r="Y12" i="6"/>
  <c r="X12" i="6"/>
  <c r="W12" i="6"/>
  <c r="S12" i="6"/>
  <c r="V12" i="6" s="1"/>
  <c r="O12" i="6"/>
  <c r="Q12" i="6" s="1"/>
  <c r="T12" i="6" s="1"/>
  <c r="M12" i="6"/>
  <c r="L12" i="6"/>
  <c r="J12" i="6"/>
  <c r="I12" i="6"/>
  <c r="H12" i="6"/>
  <c r="R12" i="6" s="1"/>
  <c r="U12" i="6" s="1"/>
  <c r="Y11" i="6"/>
  <c r="X11" i="6"/>
  <c r="W11" i="6"/>
  <c r="V11" i="6"/>
  <c r="S11" i="6"/>
  <c r="R11" i="6"/>
  <c r="U11" i="6" s="1"/>
  <c r="O11" i="6"/>
  <c r="Q11" i="6" s="1"/>
  <c r="T11" i="6" s="1"/>
  <c r="M11" i="6"/>
  <c r="L11" i="6"/>
  <c r="J11" i="6"/>
  <c r="I11" i="6"/>
  <c r="H11" i="6"/>
  <c r="Y20" i="6"/>
  <c r="X20" i="6"/>
  <c r="W20" i="6"/>
  <c r="R20" i="6"/>
  <c r="U20" i="6" s="1"/>
  <c r="P20" i="6"/>
  <c r="O20" i="6"/>
  <c r="Q20" i="6" s="1"/>
  <c r="T20" i="6" s="1"/>
  <c r="N20" i="6"/>
  <c r="S20" i="6" s="1"/>
  <c r="V20" i="6" s="1"/>
  <c r="M20" i="6"/>
  <c r="L20" i="6"/>
  <c r="K20" i="6"/>
  <c r="J20" i="6"/>
  <c r="I20" i="6"/>
  <c r="H20" i="6"/>
  <c r="Y18" i="6"/>
  <c r="X18" i="6"/>
  <c r="W18" i="6"/>
  <c r="R18" i="6"/>
  <c r="U18" i="6" s="1"/>
  <c r="P18" i="6"/>
  <c r="O18" i="6"/>
  <c r="Q18" i="6" s="1"/>
  <c r="T18" i="6" s="1"/>
  <c r="N18" i="6"/>
  <c r="S18" i="6" s="1"/>
  <c r="V18" i="6" s="1"/>
  <c r="M18" i="6"/>
  <c r="L18" i="6"/>
  <c r="K18" i="6"/>
  <c r="J18" i="6"/>
  <c r="I18" i="6"/>
  <c r="H18" i="6"/>
  <c r="Y17" i="6"/>
  <c r="X17" i="6"/>
  <c r="W17" i="6"/>
  <c r="R17" i="6"/>
  <c r="U17" i="6" s="1"/>
  <c r="P17" i="6"/>
  <c r="O17" i="6"/>
  <c r="Q17" i="6" s="1"/>
  <c r="T17" i="6" s="1"/>
  <c r="N17" i="6"/>
  <c r="S17" i="6" s="1"/>
  <c r="V17" i="6" s="1"/>
  <c r="M17" i="6"/>
  <c r="L17" i="6"/>
  <c r="K17" i="6"/>
  <c r="J17" i="6"/>
  <c r="I17" i="6"/>
  <c r="H17" i="6"/>
  <c r="Y14" i="6"/>
  <c r="X14" i="6"/>
  <c r="W14" i="6"/>
  <c r="R14" i="6"/>
  <c r="U14" i="6" s="1"/>
  <c r="P14" i="6"/>
  <c r="O14" i="6"/>
  <c r="Q14" i="6" s="1"/>
  <c r="T14" i="6" s="1"/>
  <c r="N14" i="6"/>
  <c r="S14" i="6" s="1"/>
  <c r="V14" i="6" s="1"/>
  <c r="M14" i="6"/>
  <c r="L14" i="6"/>
  <c r="K14" i="6"/>
  <c r="J14" i="6"/>
  <c r="I14" i="6"/>
  <c r="H14" i="6"/>
  <c r="Y13" i="6"/>
  <c r="X13" i="6"/>
  <c r="W13" i="6"/>
  <c r="R13" i="6"/>
  <c r="U13" i="6" s="1"/>
  <c r="P13" i="6"/>
  <c r="O13" i="6"/>
  <c r="Q13" i="6" s="1"/>
  <c r="T13" i="6" s="1"/>
  <c r="N13" i="6"/>
  <c r="S13" i="6" s="1"/>
  <c r="V13" i="6" s="1"/>
  <c r="M13" i="6"/>
  <c r="L13" i="6"/>
  <c r="K13" i="6"/>
  <c r="J13" i="6"/>
  <c r="I13" i="6"/>
  <c r="H13" i="6"/>
  <c r="Y10" i="6"/>
  <c r="X10" i="6"/>
  <c r="W10" i="6"/>
  <c r="R10" i="6"/>
  <c r="U10" i="6" s="1"/>
  <c r="P10" i="6"/>
  <c r="O10" i="6"/>
  <c r="Q10" i="6" s="1"/>
  <c r="T10" i="6" s="1"/>
  <c r="N10" i="6"/>
  <c r="S10" i="6" s="1"/>
  <c r="V10" i="6" s="1"/>
  <c r="M10" i="6"/>
  <c r="L10" i="6"/>
  <c r="K10" i="6"/>
  <c r="J10" i="6"/>
  <c r="I10" i="6"/>
  <c r="H10" i="6"/>
  <c r="Y9" i="6"/>
  <c r="X9" i="6"/>
  <c r="W9" i="6"/>
  <c r="P9" i="6"/>
  <c r="R9" i="6" s="1"/>
  <c r="U9" i="6" s="1"/>
  <c r="O9" i="6"/>
  <c r="N9" i="6"/>
  <c r="S9" i="6" s="1"/>
  <c r="V9" i="6" s="1"/>
  <c r="M9" i="6"/>
  <c r="Q9" i="6" s="1"/>
  <c r="T9" i="6" s="1"/>
  <c r="L9" i="6"/>
  <c r="K9" i="6"/>
  <c r="J9" i="6"/>
  <c r="I9" i="6"/>
  <c r="H9" i="6"/>
  <c r="C22" i="6"/>
  <c r="C22" i="1"/>
  <c r="E23" i="1" l="1"/>
  <c r="E24" i="1" s="1"/>
  <c r="A21" i="2" l="1"/>
  <c r="A11" i="2"/>
  <c r="M11" i="1" l="1"/>
  <c r="O11" i="1" s="1"/>
  <c r="R11" i="1" s="1"/>
  <c r="N11" i="1"/>
  <c r="Q11" i="1" s="1"/>
  <c r="S11" i="1"/>
  <c r="U11" i="1" s="1"/>
  <c r="X11" i="1" s="1"/>
  <c r="T11" i="1"/>
  <c r="W11" i="1" s="1"/>
  <c r="M12" i="1"/>
  <c r="N12" i="1" s="1"/>
  <c r="Q12" i="1" s="1"/>
  <c r="O12" i="1"/>
  <c r="R12" i="1" s="1"/>
  <c r="P12" i="1"/>
  <c r="S12" i="1"/>
  <c r="U12" i="1" s="1"/>
  <c r="X12" i="1" s="1"/>
  <c r="M13" i="1"/>
  <c r="O13" i="1" s="1"/>
  <c r="R13" i="1" s="1"/>
  <c r="N13" i="1"/>
  <c r="Q13" i="1" s="1"/>
  <c r="S13" i="1"/>
  <c r="U13" i="1" s="1"/>
  <c r="X13" i="1" s="1"/>
  <c r="M14" i="1"/>
  <c r="O14" i="1" s="1"/>
  <c r="R14" i="1" s="1"/>
  <c r="N14" i="1"/>
  <c r="Q14" i="1" s="1"/>
  <c r="S14" i="1"/>
  <c r="U14" i="1" s="1"/>
  <c r="X14" i="1" s="1"/>
  <c r="T14" i="1"/>
  <c r="W14" i="1" s="1"/>
  <c r="M15" i="1"/>
  <c r="O15" i="1" s="1"/>
  <c r="R15" i="1" s="1"/>
  <c r="S15" i="1"/>
  <c r="U15" i="1" s="1"/>
  <c r="X15" i="1" s="1"/>
  <c r="T15" i="1"/>
  <c r="W15" i="1" s="1"/>
  <c r="M16" i="1"/>
  <c r="N16" i="1" s="1"/>
  <c r="Q16" i="1" s="1"/>
  <c r="O16" i="1"/>
  <c r="R16" i="1" s="1"/>
  <c r="P16" i="1"/>
  <c r="S16" i="1"/>
  <c r="U16" i="1" s="1"/>
  <c r="X16" i="1" s="1"/>
  <c r="M17" i="1"/>
  <c r="O17" i="1" s="1"/>
  <c r="R17" i="1" s="1"/>
  <c r="N17" i="1"/>
  <c r="Q17" i="1" s="1"/>
  <c r="S17" i="1"/>
  <c r="U17" i="1" s="1"/>
  <c r="X17" i="1" s="1"/>
  <c r="M18" i="1"/>
  <c r="N18" i="1"/>
  <c r="Q18" i="1" s="1"/>
  <c r="O18" i="1"/>
  <c r="R18" i="1" s="1"/>
  <c r="P18" i="1"/>
  <c r="S18" i="1"/>
  <c r="U18" i="1" s="1"/>
  <c r="X18" i="1" s="1"/>
  <c r="T18" i="1"/>
  <c r="W18" i="1" s="1"/>
  <c r="M19" i="1"/>
  <c r="P19" i="1" s="1"/>
  <c r="S19" i="1"/>
  <c r="U19" i="1" s="1"/>
  <c r="X19" i="1" s="1"/>
  <c r="T19" i="1"/>
  <c r="W19" i="1" s="1"/>
  <c r="M20" i="1"/>
  <c r="N20" i="1" s="1"/>
  <c r="Q20" i="1" s="1"/>
  <c r="S20" i="1"/>
  <c r="U20" i="1" s="1"/>
  <c r="X20" i="1" s="1"/>
  <c r="P20" i="1" l="1"/>
  <c r="O20" i="1"/>
  <c r="R20" i="1" s="1"/>
  <c r="T16" i="1"/>
  <c r="W16" i="1" s="1"/>
  <c r="N15" i="1"/>
  <c r="Q15" i="1" s="1"/>
  <c r="P14" i="1"/>
  <c r="T13" i="1"/>
  <c r="W13" i="1" s="1"/>
  <c r="T12" i="1"/>
  <c r="W12" i="1" s="1"/>
  <c r="T20" i="1"/>
  <c r="W20" i="1" s="1"/>
  <c r="N19" i="1"/>
  <c r="Q19" i="1" s="1"/>
  <c r="P17" i="1"/>
  <c r="P15" i="1"/>
  <c r="P13" i="1"/>
  <c r="P11" i="1"/>
  <c r="O19" i="1"/>
  <c r="R19" i="1" s="1"/>
  <c r="T17" i="1"/>
  <c r="W17" i="1" s="1"/>
  <c r="V20" i="1"/>
  <c r="V19" i="1"/>
  <c r="V18" i="1"/>
  <c r="V17" i="1"/>
  <c r="V16" i="1"/>
  <c r="V15" i="1"/>
  <c r="V14" i="1"/>
  <c r="V13" i="1"/>
  <c r="V12" i="1"/>
  <c r="V11" i="1"/>
  <c r="D9" i="2" l="1"/>
  <c r="S10" i="1" l="1"/>
  <c r="T10" i="1" s="1"/>
  <c r="W10" i="1" s="1"/>
  <c r="M10" i="1"/>
  <c r="P10" i="1" s="1"/>
  <c r="S9" i="1"/>
  <c r="T9" i="1" s="1"/>
  <c r="W9" i="1" s="1"/>
  <c r="M9" i="1"/>
  <c r="P9" i="1" s="1"/>
  <c r="O10" i="1" l="1"/>
  <c r="R10" i="1" s="1"/>
  <c r="U10" i="1"/>
  <c r="X10" i="1" s="1"/>
  <c r="N10" i="1"/>
  <c r="Q10" i="1" s="1"/>
  <c r="V10" i="1"/>
  <c r="U9" i="1"/>
  <c r="X9" i="1" s="1"/>
  <c r="N9" i="1"/>
  <c r="Q9" i="1" s="1"/>
  <c r="V9" i="1"/>
  <c r="O9" i="1"/>
  <c r="R9" i="1" s="1"/>
  <c r="K23" i="1" l="1"/>
  <c r="K24" i="1" s="1"/>
  <c r="M29" i="2" l="1"/>
  <c r="F9" i="2" l="1"/>
  <c r="B29" i="2"/>
  <c r="B19" i="2"/>
  <c r="L19" i="2" s="1"/>
  <c r="H23" i="1"/>
  <c r="H24" i="1" s="1"/>
  <c r="J9" i="2"/>
  <c r="H9" i="2"/>
  <c r="L9" i="2"/>
  <c r="M9" i="2" l="1"/>
  <c r="M19" i="2"/>
  <c r="F19" i="2"/>
  <c r="L29" i="2"/>
  <c r="D29" i="2"/>
  <c r="H29" i="2"/>
  <c r="F29" i="2"/>
  <c r="J29" i="2"/>
  <c r="D19" i="2"/>
  <c r="N9" i="2"/>
  <c r="N29" i="2" l="1"/>
  <c r="J19" i="2"/>
  <c r="H19" i="2"/>
  <c r="N19" i="2" l="1"/>
</calcChain>
</file>

<file path=xl/sharedStrings.xml><?xml version="1.0" encoding="utf-8"?>
<sst xmlns="http://schemas.openxmlformats.org/spreadsheetml/2006/main" count="226" uniqueCount="77">
  <si>
    <t xml:space="preserve"> майдонлар тупроқларининг агрокимёвий таҳлил натижалари ҳамда</t>
  </si>
  <si>
    <t>минерал ўғитларга бўлган илмий талаби</t>
  </si>
  <si>
    <t>пахта экини учун</t>
  </si>
  <si>
    <t>ғалла экини учун</t>
  </si>
  <si>
    <t>№</t>
  </si>
  <si>
    <t xml:space="preserve">Контур рақами </t>
  </si>
  <si>
    <t>майдони, га</t>
  </si>
  <si>
    <t>экин тури</t>
  </si>
  <si>
    <r>
      <t>Ҳаракатчан P</t>
    </r>
    <r>
      <rPr>
        <b/>
        <vertAlign val="subscript"/>
        <sz val="11"/>
        <rFont val="Times New Roman"/>
        <family val="1"/>
        <charset val="204"/>
      </rPr>
      <t>2</t>
    </r>
    <r>
      <rPr>
        <b/>
        <sz val="11"/>
        <rFont val="Times New Roman"/>
        <family val="1"/>
        <charset val="204"/>
      </rPr>
      <t>O</t>
    </r>
    <r>
      <rPr>
        <b/>
        <vertAlign val="subscript"/>
        <sz val="11"/>
        <rFont val="Times New Roman"/>
        <family val="1"/>
        <charset val="204"/>
      </rPr>
      <t>5  (мг/кг ҳисобида)</t>
    </r>
  </si>
  <si>
    <t>коэффициент</t>
  </si>
  <si>
    <t>Таъминланганлик                       даражаси</t>
  </si>
  <si>
    <r>
      <t xml:space="preserve">Алмашинувчан K20                         </t>
    </r>
    <r>
      <rPr>
        <b/>
        <i/>
        <sz val="11"/>
        <rFont val="Times New Roman"/>
        <family val="1"/>
        <charset val="204"/>
      </rPr>
      <t>(мг/кг ҳисобида)</t>
    </r>
  </si>
  <si>
    <t>Таъминланганлик                             даражаси</t>
  </si>
  <si>
    <r>
      <t xml:space="preserve">Гумус  </t>
    </r>
    <r>
      <rPr>
        <b/>
        <i/>
        <sz val="11"/>
        <rFont val="Times New Roman"/>
        <family val="1"/>
        <charset val="204"/>
      </rPr>
      <t>% ҳисобида</t>
    </r>
  </si>
  <si>
    <t>Таъминланганлик                    даражаси</t>
  </si>
  <si>
    <t>1 центнерга ўртача сарфи, кг</t>
  </si>
  <si>
    <t>Жами майдонга 1 центнер учун талаб этилади, кг</t>
  </si>
  <si>
    <t>N</t>
  </si>
  <si>
    <t>P</t>
  </si>
  <si>
    <t>K</t>
  </si>
  <si>
    <t>пахта 1:07:05</t>
  </si>
  <si>
    <t>кам</t>
  </si>
  <si>
    <t xml:space="preserve">майдонлар тупроқларининг харакатчан фосфор билан таъминланиш </t>
  </si>
  <si>
    <t>ДАРАЖАЛАРИ</t>
  </si>
  <si>
    <t>Текширилган майдон, га</t>
  </si>
  <si>
    <t>ФОСФОР миқдори, мг/кг</t>
  </si>
  <si>
    <t>Ўртача қиймат, мг/кг</t>
  </si>
  <si>
    <t>Жуда кам</t>
  </si>
  <si>
    <t>Кам</t>
  </si>
  <si>
    <t>Ўртача</t>
  </si>
  <si>
    <t>Юқори</t>
  </si>
  <si>
    <t>Жуда юқори</t>
  </si>
  <si>
    <t>0-15</t>
  </si>
  <si>
    <t>16-30</t>
  </si>
  <si>
    <t>31-45</t>
  </si>
  <si>
    <t>46-60</t>
  </si>
  <si>
    <t>60&lt;</t>
  </si>
  <si>
    <t>га</t>
  </si>
  <si>
    <t>%</t>
  </si>
  <si>
    <t>Жами</t>
  </si>
  <si>
    <t xml:space="preserve">майдонлар тупроқларининг алмашувчан калий билан таъминланиш </t>
  </si>
  <si>
    <t>КАЛИЙ миқдори, мг/кг</t>
  </si>
  <si>
    <t>0-100</t>
  </si>
  <si>
    <t>101-200</t>
  </si>
  <si>
    <t>201-300</t>
  </si>
  <si>
    <t>301-400</t>
  </si>
  <si>
    <t>400&lt;</t>
  </si>
  <si>
    <t xml:space="preserve">майдонлар тупроқларининг гумус билан таъминланиш </t>
  </si>
  <si>
    <t>ГУМУС миқдори, фоиз ҳисобида</t>
  </si>
  <si>
    <t>Ўртача қиймат, (%)</t>
  </si>
  <si>
    <t>0-0,80</t>
  </si>
  <si>
    <t>0,81-1,20</t>
  </si>
  <si>
    <t>1,21-1,60</t>
  </si>
  <si>
    <t>1,61-2,00</t>
  </si>
  <si>
    <t>&gt;2,00</t>
  </si>
  <si>
    <t>жуда кам</t>
  </si>
  <si>
    <t>юқори</t>
  </si>
  <si>
    <t>ўртача</t>
  </si>
  <si>
    <t>ғалла 1:07:03</t>
  </si>
  <si>
    <t>вилоят коэфф.</t>
  </si>
  <si>
    <t>жуда юқори</t>
  </si>
  <si>
    <t>ғалла</t>
  </si>
  <si>
    <t>Ўғитлаш муддатлари</t>
  </si>
  <si>
    <t>Кузги шудгор остига</t>
  </si>
  <si>
    <t>Экишдан олдин</t>
  </si>
  <si>
    <t>Экиш билан бирга</t>
  </si>
  <si>
    <t>1-озиқлан-тириш</t>
  </si>
  <si>
    <t>2-озиқлантириш</t>
  </si>
  <si>
    <t>3-озиқлантириш</t>
  </si>
  <si>
    <t>Р</t>
  </si>
  <si>
    <t>К</t>
  </si>
  <si>
    <t>пахта</t>
  </si>
  <si>
    <t xml:space="preserve">Фарғона вилояти Тошлоқ тумани Араббой Тухтабой худуди Турғунов Диёрбек фермер хўжалиги томонидан суғорилиб экиладиган </t>
  </si>
  <si>
    <t>1689-1690</t>
  </si>
  <si>
    <t>1692-1693</t>
  </si>
  <si>
    <t>1935-1734</t>
  </si>
  <si>
    <t>1728-1730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</si>
</sst>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_-* #,##0.00_р_._-;\-* #,##0.00_р_._-;_-* &quot;-&quot;??_р_._-;_-@_-"/>
    <numFmt numFmtId="166" formatCode="0.0000"/>
  </numFmts>
  <fonts count="2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vertAlign val="subscript"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indexed="8"/>
      <name val="Calibri"/>
      <family val="2"/>
    </font>
    <font>
      <sz val="11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Bodo Times UZ"/>
      <family val="2"/>
    </font>
    <font>
      <b/>
      <sz val="13"/>
      <color rgb="FF0070C0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4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24EBE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0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" fillId="0" borderId="0"/>
    <xf numFmtId="0" fontId="15" fillId="0" borderId="0"/>
    <xf numFmtId="0" fontId="1" fillId="0" borderId="0"/>
    <xf numFmtId="0" fontId="14" fillId="0" borderId="0"/>
    <xf numFmtId="165" fontId="14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2" fontId="9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2" fillId="0" borderId="0" xfId="0" applyFont="1"/>
    <xf numFmtId="0" fontId="12" fillId="4" borderId="0" xfId="0" applyFont="1" applyFill="1"/>
    <xf numFmtId="0" fontId="2" fillId="0" borderId="0" xfId="0" applyFont="1" applyAlignment="1"/>
    <xf numFmtId="0" fontId="18" fillId="0" borderId="0" xfId="0" applyFont="1" applyAlignment="1"/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2" fontId="20" fillId="0" borderId="13" xfId="0" applyNumberFormat="1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0" fillId="0" borderId="0" xfId="0" applyFont="1"/>
    <xf numFmtId="164" fontId="21" fillId="0" borderId="13" xfId="0" applyNumberFormat="1" applyFont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/>
    </xf>
    <xf numFmtId="164" fontId="20" fillId="0" borderId="15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3" fillId="7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2" fontId="3" fillId="0" borderId="0" xfId="0" applyNumberFormat="1" applyFont="1"/>
    <xf numFmtId="2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11" fillId="4" borderId="4" xfId="1" applyNumberFormat="1" applyFont="1" applyFill="1" applyBorder="1" applyAlignment="1">
      <alignment horizontal="center" vertical="center"/>
    </xf>
    <xf numFmtId="0" fontId="25" fillId="0" borderId="18" xfId="0" applyFont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/>
    <xf numFmtId="164" fontId="3" fillId="4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/>
    <xf numFmtId="0" fontId="2" fillId="0" borderId="0" xfId="0" applyFont="1" applyAlignment="1">
      <alignment horizontal="center"/>
    </xf>
    <xf numFmtId="0" fontId="25" fillId="0" borderId="4" xfId="0" applyFont="1" applyBorder="1" applyAlignment="1">
      <alignment horizontal="center" vertical="center" wrapText="1"/>
    </xf>
    <xf numFmtId="2" fontId="3" fillId="0" borderId="4" xfId="0" applyNumberFormat="1" applyFont="1" applyFill="1" applyBorder="1" applyAlignment="1">
      <alignment horizontal="center" vertical="center" wrapText="1"/>
    </xf>
    <xf numFmtId="166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22" fillId="7" borderId="10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19" fillId="8" borderId="11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</cellXfs>
  <cellStyles count="17">
    <cellStyle name="Обычный" xfId="0" builtinId="0"/>
    <cellStyle name="Обычный 10" xfId="2"/>
    <cellStyle name="Обычный 10 2" xfId="3"/>
    <cellStyle name="Обычный 10 4" xfId="4"/>
    <cellStyle name="Обычный 2" xfId="5"/>
    <cellStyle name="Обычный 2 2" xfId="6"/>
    <cellStyle name="Обычный 2 2 2" xfId="7"/>
    <cellStyle name="Обычный 2 2 3" xfId="8"/>
    <cellStyle name="Обычный 2 4 2" xfId="9"/>
    <cellStyle name="Обычный 3" xfId="10"/>
    <cellStyle name="Обычный 4" xfId="11"/>
    <cellStyle name="Обычный 6" xfId="12"/>
    <cellStyle name="Обычный 61" xfId="13"/>
    <cellStyle name="Обычный 66" xfId="14"/>
    <cellStyle name="Обычный 7" xfId="15"/>
    <cellStyle name="Обычный_Бахытлы" xfId="1"/>
    <cellStyle name="Финансовый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78"/>
  <sheetViews>
    <sheetView zoomScale="85" zoomScaleNormal="85" zoomScaleSheetLayoutView="95" workbookViewId="0">
      <selection activeCell="C17" activeCellId="1" sqref="C12 C17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12.8554687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33" ht="20.25">
      <c r="A1" s="54" t="s">
        <v>72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</row>
    <row r="2" spans="1:33" ht="20.25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</row>
    <row r="3" spans="1:33" ht="20.25">
      <c r="A3" s="54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33" ht="12" customHeight="1" thickBo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33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  <c r="M5" s="55" t="s">
        <v>2</v>
      </c>
      <c r="N5" s="56"/>
      <c r="O5" s="56"/>
      <c r="P5" s="56"/>
      <c r="Q5" s="56"/>
      <c r="R5" s="57"/>
      <c r="S5" s="58" t="s">
        <v>3</v>
      </c>
      <c r="T5" s="58"/>
      <c r="U5" s="58"/>
      <c r="V5" s="58"/>
      <c r="W5" s="58"/>
      <c r="X5" s="59"/>
    </row>
    <row r="6" spans="1:33" ht="50.25" customHeight="1">
      <c r="A6" s="60" t="s">
        <v>4</v>
      </c>
      <c r="B6" s="53" t="s">
        <v>5</v>
      </c>
      <c r="C6" s="53" t="s">
        <v>6</v>
      </c>
      <c r="D6" s="53" t="s">
        <v>7</v>
      </c>
      <c r="E6" s="53" t="s">
        <v>8</v>
      </c>
      <c r="F6" s="53" t="s">
        <v>9</v>
      </c>
      <c r="G6" s="61" t="s">
        <v>10</v>
      </c>
      <c r="H6" s="53" t="s">
        <v>11</v>
      </c>
      <c r="I6" s="53" t="s">
        <v>9</v>
      </c>
      <c r="J6" s="53" t="s">
        <v>12</v>
      </c>
      <c r="K6" s="53" t="s">
        <v>13</v>
      </c>
      <c r="L6" s="53" t="s">
        <v>14</v>
      </c>
      <c r="M6" s="60" t="s">
        <v>15</v>
      </c>
      <c r="N6" s="60"/>
      <c r="O6" s="60"/>
      <c r="P6" s="60" t="s">
        <v>16</v>
      </c>
      <c r="Q6" s="60"/>
      <c r="R6" s="60"/>
      <c r="S6" s="60" t="s">
        <v>15</v>
      </c>
      <c r="T6" s="60"/>
      <c r="U6" s="60"/>
      <c r="V6" s="60" t="s">
        <v>16</v>
      </c>
      <c r="W6" s="60"/>
      <c r="X6" s="60"/>
    </row>
    <row r="7" spans="1:33" ht="60" customHeight="1">
      <c r="A7" s="60"/>
      <c r="B7" s="53"/>
      <c r="C7" s="53"/>
      <c r="D7" s="53"/>
      <c r="E7" s="53"/>
      <c r="F7" s="53"/>
      <c r="G7" s="61"/>
      <c r="H7" s="53"/>
      <c r="I7" s="53"/>
      <c r="J7" s="53"/>
      <c r="K7" s="53"/>
      <c r="L7" s="53"/>
      <c r="M7" s="37" t="s">
        <v>17</v>
      </c>
      <c r="N7" s="37" t="s">
        <v>18</v>
      </c>
      <c r="O7" s="37" t="s">
        <v>19</v>
      </c>
      <c r="P7" s="37" t="s">
        <v>17</v>
      </c>
      <c r="Q7" s="37" t="s">
        <v>18</v>
      </c>
      <c r="R7" s="37" t="s">
        <v>19</v>
      </c>
      <c r="S7" s="37" t="s">
        <v>17</v>
      </c>
      <c r="T7" s="37" t="s">
        <v>18</v>
      </c>
      <c r="U7" s="37" t="s">
        <v>19</v>
      </c>
      <c r="V7" s="37" t="s">
        <v>17</v>
      </c>
      <c r="W7" s="37" t="s">
        <v>18</v>
      </c>
      <c r="X7" s="37" t="s">
        <v>19</v>
      </c>
      <c r="Z7" s="28" t="s">
        <v>59</v>
      </c>
    </row>
    <row r="8" spans="1:33" ht="22.5" customHeight="1">
      <c r="A8" s="60"/>
      <c r="B8" s="53"/>
      <c r="C8" s="53"/>
      <c r="D8" s="53"/>
      <c r="E8" s="53"/>
      <c r="F8" s="53"/>
      <c r="G8" s="61"/>
      <c r="H8" s="53"/>
      <c r="I8" s="53"/>
      <c r="J8" s="53"/>
      <c r="K8" s="53"/>
      <c r="L8" s="53"/>
      <c r="M8" s="5">
        <v>6</v>
      </c>
      <c r="N8" s="5"/>
      <c r="O8" s="6"/>
      <c r="P8" s="62" t="s">
        <v>20</v>
      </c>
      <c r="Q8" s="62"/>
      <c r="R8" s="62"/>
      <c r="S8" s="5">
        <v>3.77</v>
      </c>
      <c r="T8" s="5"/>
      <c r="U8" s="6"/>
      <c r="V8" s="62" t="s">
        <v>58</v>
      </c>
      <c r="W8" s="62"/>
      <c r="X8" s="62"/>
    </row>
    <row r="9" spans="1:33" s="10" customFormat="1" ht="19.5" customHeight="1">
      <c r="A9" s="6">
        <v>1</v>
      </c>
      <c r="B9" s="25" t="s">
        <v>73</v>
      </c>
      <c r="C9" s="39">
        <v>3.8</v>
      </c>
      <c r="D9" s="7" t="s">
        <v>71</v>
      </c>
      <c r="E9" s="49">
        <v>11.28</v>
      </c>
      <c r="F9" s="50">
        <v>1.1879</v>
      </c>
      <c r="G9" s="31" t="s">
        <v>55</v>
      </c>
      <c r="H9" s="51">
        <v>179</v>
      </c>
      <c r="I9" s="50">
        <v>0.92500000000000004</v>
      </c>
      <c r="J9" s="32" t="s">
        <v>21</v>
      </c>
      <c r="K9" s="51">
        <v>1.8</v>
      </c>
      <c r="L9" s="30" t="s">
        <v>56</v>
      </c>
      <c r="M9" s="8">
        <f>+Y9*Z9</f>
        <v>7.7165999999999997</v>
      </c>
      <c r="N9" s="9">
        <f>M9*F9*0.7</f>
        <v>6.4165843979999986</v>
      </c>
      <c r="O9" s="9">
        <f>M9*I9*0.5</f>
        <v>3.5689275</v>
      </c>
      <c r="P9" s="9">
        <f>M9*C9</f>
        <v>29.323079999999997</v>
      </c>
      <c r="Q9" s="9">
        <f>N9*C9</f>
        <v>24.383020712399993</v>
      </c>
      <c r="R9" s="9">
        <f>O9*C9</f>
        <v>13.5619245</v>
      </c>
      <c r="S9" s="9">
        <f>+AA9*Z9</f>
        <v>4.8485969999999998</v>
      </c>
      <c r="T9" s="9">
        <f>S9*F9*0.7</f>
        <v>4.0317538634099996</v>
      </c>
      <c r="U9" s="9">
        <f>S9*I9*0.3</f>
        <v>1.3454856675</v>
      </c>
      <c r="V9" s="9">
        <f>S9*C9</f>
        <v>18.424668599999997</v>
      </c>
      <c r="W9" s="9">
        <f>T9*C9</f>
        <v>15.320664680957998</v>
      </c>
      <c r="X9" s="9">
        <f>U9*C9</f>
        <v>5.1128455365000001</v>
      </c>
      <c r="Y9" s="27">
        <v>6</v>
      </c>
      <c r="Z9" s="10">
        <v>1.2861</v>
      </c>
      <c r="AA9" s="10">
        <v>3.77</v>
      </c>
      <c r="AB9" s="11"/>
      <c r="AC9" s="30" t="s">
        <v>56</v>
      </c>
    </row>
    <row r="10" spans="1:33" s="10" customFormat="1" ht="19.5" customHeight="1">
      <c r="A10" s="6">
        <v>2</v>
      </c>
      <c r="B10" s="25" t="s">
        <v>74</v>
      </c>
      <c r="C10" s="39">
        <v>4.7</v>
      </c>
      <c r="D10" s="7" t="s">
        <v>71</v>
      </c>
      <c r="E10" s="49">
        <v>14.68</v>
      </c>
      <c r="F10" s="50">
        <v>1.1306</v>
      </c>
      <c r="G10" s="31" t="s">
        <v>55</v>
      </c>
      <c r="H10" s="51">
        <v>173</v>
      </c>
      <c r="I10" s="50">
        <v>0.94059999999999999</v>
      </c>
      <c r="J10" s="32" t="s">
        <v>21</v>
      </c>
      <c r="K10" s="52">
        <v>1.7</v>
      </c>
      <c r="L10" s="30" t="s">
        <v>56</v>
      </c>
      <c r="M10" s="8">
        <f t="shared" ref="M10:M11" si="0">+Y10*Z10</f>
        <v>7.7165999999999997</v>
      </c>
      <c r="N10" s="9">
        <f t="shared" ref="N10:N11" si="1">M10*F10*0.7</f>
        <v>6.1070715719999997</v>
      </c>
      <c r="O10" s="9">
        <f t="shared" ref="O10:O11" si="2">M10*I10*0.5</f>
        <v>3.6291169799999996</v>
      </c>
      <c r="P10" s="9">
        <f t="shared" ref="P10:P11" si="3">M10*C10</f>
        <v>36.26802</v>
      </c>
      <c r="Q10" s="9">
        <f t="shared" ref="Q10:Q11" si="4">N10*C10</f>
        <v>28.703236388400001</v>
      </c>
      <c r="R10" s="9">
        <f t="shared" ref="R10:R11" si="5">O10*C10</f>
        <v>17.056849805999999</v>
      </c>
      <c r="S10" s="9">
        <f t="shared" ref="S10:S11" si="6">+AA10*Z10</f>
        <v>4.8485969999999998</v>
      </c>
      <c r="T10" s="9">
        <f t="shared" ref="T10:T11" si="7">S10*F10*0.7</f>
        <v>3.8372766377399996</v>
      </c>
      <c r="U10" s="9">
        <f t="shared" ref="U10:U11" si="8">S10*I10*0.3</f>
        <v>1.3681771014599999</v>
      </c>
      <c r="V10" s="9">
        <f t="shared" ref="V10:V11" si="9">S10*C10</f>
        <v>22.788405900000001</v>
      </c>
      <c r="W10" s="9">
        <f t="shared" ref="W10:W11" si="10">T10*C10</f>
        <v>18.035200197378</v>
      </c>
      <c r="X10" s="9">
        <f t="shared" ref="X10:X11" si="11">U10*C10</f>
        <v>6.430432376862</v>
      </c>
      <c r="Y10" s="27">
        <v>6</v>
      </c>
      <c r="Z10" s="10">
        <v>1.2861</v>
      </c>
      <c r="AA10" s="10">
        <v>3.77</v>
      </c>
      <c r="AC10" s="29" t="s">
        <v>57</v>
      </c>
    </row>
    <row r="11" spans="1:33" s="10" customFormat="1">
      <c r="A11" s="6">
        <v>3</v>
      </c>
      <c r="B11" s="25">
        <v>1718</v>
      </c>
      <c r="C11" s="39">
        <v>4.4000000000000004</v>
      </c>
      <c r="D11" s="7" t="s">
        <v>61</v>
      </c>
      <c r="E11" s="49">
        <v>85.79</v>
      </c>
      <c r="F11" s="50">
        <v>0.373</v>
      </c>
      <c r="G11" s="33" t="s">
        <v>60</v>
      </c>
      <c r="H11" s="51">
        <v>169</v>
      </c>
      <c r="I11" s="50">
        <v>0.95</v>
      </c>
      <c r="J11" s="32" t="s">
        <v>21</v>
      </c>
      <c r="K11" s="51">
        <v>1.3</v>
      </c>
      <c r="L11" s="29" t="s">
        <v>57</v>
      </c>
      <c r="M11" s="8">
        <f t="shared" si="0"/>
        <v>7.7165999999999997</v>
      </c>
      <c r="N11" s="9">
        <f t="shared" si="1"/>
        <v>2.01480426</v>
      </c>
      <c r="O11" s="9">
        <f t="shared" si="2"/>
        <v>3.6653849999999997</v>
      </c>
      <c r="P11" s="9">
        <f t="shared" si="3"/>
        <v>33.953040000000001</v>
      </c>
      <c r="Q11" s="9">
        <f t="shared" si="4"/>
        <v>8.8651387440000011</v>
      </c>
      <c r="R11" s="9">
        <f t="shared" si="5"/>
        <v>16.127693999999998</v>
      </c>
      <c r="S11" s="9">
        <f t="shared" si="6"/>
        <v>4.8485969999999998</v>
      </c>
      <c r="T11" s="9">
        <f t="shared" si="7"/>
        <v>1.2659686767</v>
      </c>
      <c r="U11" s="9">
        <f t="shared" si="8"/>
        <v>1.3818501449999998</v>
      </c>
      <c r="V11" s="9">
        <f t="shared" si="9"/>
        <v>21.333826800000001</v>
      </c>
      <c r="W11" s="9">
        <f t="shared" si="10"/>
        <v>5.570262177480001</v>
      </c>
      <c r="X11" s="9">
        <f t="shared" si="11"/>
        <v>6.0801406379999996</v>
      </c>
      <c r="Y11" s="27">
        <v>6</v>
      </c>
      <c r="Z11" s="10">
        <v>1.2861</v>
      </c>
      <c r="AA11" s="10">
        <v>3.77</v>
      </c>
      <c r="AC11" s="31" t="s">
        <v>55</v>
      </c>
    </row>
    <row r="12" spans="1:33">
      <c r="A12" s="6">
        <v>4</v>
      </c>
      <c r="B12" s="25" t="s">
        <v>75</v>
      </c>
      <c r="C12" s="39">
        <v>5.9</v>
      </c>
      <c r="D12" s="7" t="s">
        <v>61</v>
      </c>
      <c r="E12" s="49">
        <v>27.63</v>
      </c>
      <c r="F12" s="50">
        <v>0.91390000000000005</v>
      </c>
      <c r="G12" s="32" t="s">
        <v>21</v>
      </c>
      <c r="H12" s="51">
        <v>133</v>
      </c>
      <c r="I12" s="50">
        <v>1.0406</v>
      </c>
      <c r="J12" s="32" t="s">
        <v>21</v>
      </c>
      <c r="K12" s="52">
        <v>2.1</v>
      </c>
      <c r="L12" s="33" t="s">
        <v>60</v>
      </c>
      <c r="M12" s="8">
        <f t="shared" ref="M12:M20" si="12">+Y12*Z12</f>
        <v>7.7165999999999997</v>
      </c>
      <c r="N12" s="9">
        <f t="shared" ref="N12:N20" si="13">M12*F12*0.7</f>
        <v>4.9365405179999993</v>
      </c>
      <c r="O12" s="9">
        <f t="shared" ref="O12:O20" si="14">M12*I12*0.5</f>
        <v>4.0149469799999995</v>
      </c>
      <c r="P12" s="9">
        <f t="shared" ref="P12:P20" si="15">M12*C12</f>
        <v>45.527940000000001</v>
      </c>
      <c r="Q12" s="9">
        <f t="shared" ref="Q12:Q20" si="16">N12*C12</f>
        <v>29.125589056199999</v>
      </c>
      <c r="R12" s="9">
        <f t="shared" ref="R12:R20" si="17">O12*C12</f>
        <v>23.688187182</v>
      </c>
      <c r="S12" s="9">
        <f t="shared" ref="S12:S20" si="18">+AA12*Z12</f>
        <v>4.8485969999999998</v>
      </c>
      <c r="T12" s="9">
        <f t="shared" ref="T12:T20" si="19">S12*F12*0.7</f>
        <v>3.1017929588099999</v>
      </c>
      <c r="U12" s="9">
        <f t="shared" ref="U12:U20" si="20">S12*I12*0.3</f>
        <v>1.5136350114599997</v>
      </c>
      <c r="V12" s="9">
        <f t="shared" ref="V12:V20" si="21">S12*C12</f>
        <v>28.606722300000001</v>
      </c>
      <c r="W12" s="9">
        <f t="shared" ref="W12:W20" si="22">T12*C12</f>
        <v>18.300578456979</v>
      </c>
      <c r="X12" s="9">
        <f t="shared" ref="X12:X20" si="23">U12*C12</f>
        <v>8.9304465676139984</v>
      </c>
      <c r="Y12" s="27">
        <v>6</v>
      </c>
      <c r="Z12" s="10">
        <v>1.2861</v>
      </c>
      <c r="AA12" s="10">
        <v>3.77</v>
      </c>
      <c r="AC12" s="32" t="s">
        <v>21</v>
      </c>
    </row>
    <row r="13" spans="1:33" ht="15" customHeight="1">
      <c r="A13" s="6">
        <v>5</v>
      </c>
      <c r="B13" s="25">
        <v>1813</v>
      </c>
      <c r="C13" s="39">
        <v>2.4</v>
      </c>
      <c r="D13" s="7" t="s">
        <v>71</v>
      </c>
      <c r="E13" s="49">
        <v>29.91</v>
      </c>
      <c r="F13" s="50">
        <v>0.87680000000000002</v>
      </c>
      <c r="G13" s="32" t="s">
        <v>21</v>
      </c>
      <c r="H13" s="51">
        <v>139</v>
      </c>
      <c r="I13" s="50">
        <v>1.0249999999999999</v>
      </c>
      <c r="J13" s="32" t="s">
        <v>21</v>
      </c>
      <c r="K13" s="51">
        <v>1.8</v>
      </c>
      <c r="L13" s="30" t="s">
        <v>56</v>
      </c>
      <c r="M13" s="8">
        <f t="shared" si="12"/>
        <v>7.7165999999999997</v>
      </c>
      <c r="N13" s="9">
        <f t="shared" si="13"/>
        <v>4.7361404159999996</v>
      </c>
      <c r="O13" s="9">
        <f t="shared" si="14"/>
        <v>3.9547574999999995</v>
      </c>
      <c r="P13" s="9">
        <f t="shared" si="15"/>
        <v>18.519839999999999</v>
      </c>
      <c r="Q13" s="9">
        <f t="shared" si="16"/>
        <v>11.366736998399999</v>
      </c>
      <c r="R13" s="9">
        <f t="shared" si="17"/>
        <v>9.4914179999999977</v>
      </c>
      <c r="S13" s="9">
        <f t="shared" si="18"/>
        <v>4.8485969999999998</v>
      </c>
      <c r="T13" s="9">
        <f t="shared" si="19"/>
        <v>2.9758748947199996</v>
      </c>
      <c r="U13" s="9">
        <f t="shared" si="20"/>
        <v>1.4909435774999997</v>
      </c>
      <c r="V13" s="9">
        <f t="shared" si="21"/>
        <v>11.636632799999999</v>
      </c>
      <c r="W13" s="9">
        <f t="shared" si="22"/>
        <v>7.1420997473279986</v>
      </c>
      <c r="X13" s="9">
        <f t="shared" si="23"/>
        <v>3.5782645859999991</v>
      </c>
      <c r="Y13" s="27">
        <v>6</v>
      </c>
      <c r="Z13" s="10">
        <v>1.2861</v>
      </c>
      <c r="AA13" s="10">
        <v>3.77</v>
      </c>
      <c r="AC13" s="33" t="s">
        <v>60</v>
      </c>
      <c r="AG13" s="1">
        <v>300</v>
      </c>
    </row>
    <row r="14" spans="1:33">
      <c r="A14" s="6">
        <v>6</v>
      </c>
      <c r="B14" s="25">
        <v>1649</v>
      </c>
      <c r="C14" s="39">
        <v>3.4</v>
      </c>
      <c r="D14" s="7" t="s">
        <v>71</v>
      </c>
      <c r="E14" s="49">
        <v>10.53</v>
      </c>
      <c r="F14" s="50">
        <v>1.1990000000000001</v>
      </c>
      <c r="G14" s="31" t="s">
        <v>55</v>
      </c>
      <c r="H14" s="51">
        <v>146</v>
      </c>
      <c r="I14" s="50">
        <v>1.0094000000000001</v>
      </c>
      <c r="J14" s="32" t="s">
        <v>21</v>
      </c>
      <c r="K14" s="52">
        <v>1.8</v>
      </c>
      <c r="L14" s="30" t="s">
        <v>56</v>
      </c>
      <c r="M14" s="8">
        <f t="shared" si="12"/>
        <v>7.7165999999999997</v>
      </c>
      <c r="N14" s="9">
        <f t="shared" si="13"/>
        <v>6.4765423800000006</v>
      </c>
      <c r="O14" s="9">
        <f t="shared" si="14"/>
        <v>3.8945680199999999</v>
      </c>
      <c r="P14" s="9">
        <f t="shared" si="15"/>
        <v>26.236439999999998</v>
      </c>
      <c r="Q14" s="9">
        <f t="shared" si="16"/>
        <v>22.020244092000002</v>
      </c>
      <c r="R14" s="9">
        <f t="shared" si="17"/>
        <v>13.241531267999999</v>
      </c>
      <c r="S14" s="9">
        <f t="shared" si="18"/>
        <v>4.8485969999999998</v>
      </c>
      <c r="T14" s="9">
        <f t="shared" si="19"/>
        <v>4.0694274621000002</v>
      </c>
      <c r="U14" s="9">
        <f t="shared" si="20"/>
        <v>1.46825214354</v>
      </c>
      <c r="V14" s="9">
        <f t="shared" si="21"/>
        <v>16.485229799999999</v>
      </c>
      <c r="W14" s="9">
        <f t="shared" si="22"/>
        <v>13.83605337114</v>
      </c>
      <c r="X14" s="9">
        <f t="shared" si="23"/>
        <v>4.9920572880359995</v>
      </c>
      <c r="Y14" s="27">
        <v>6</v>
      </c>
      <c r="Z14" s="10">
        <v>1.2861</v>
      </c>
      <c r="AA14" s="10">
        <v>3.77</v>
      </c>
    </row>
    <row r="15" spans="1:33">
      <c r="A15" s="6">
        <v>7</v>
      </c>
      <c r="B15" s="25">
        <v>1688</v>
      </c>
      <c r="C15" s="39">
        <v>4.2</v>
      </c>
      <c r="D15" s="7" t="s">
        <v>61</v>
      </c>
      <c r="E15" s="49">
        <v>23.14</v>
      </c>
      <c r="F15" s="50">
        <v>0.98980000000000001</v>
      </c>
      <c r="G15" s="32" t="s">
        <v>21</v>
      </c>
      <c r="H15" s="51">
        <v>175</v>
      </c>
      <c r="I15" s="50">
        <v>0.9375</v>
      </c>
      <c r="J15" s="32" t="s">
        <v>21</v>
      </c>
      <c r="K15" s="51">
        <v>1.9</v>
      </c>
      <c r="L15" s="30" t="s">
        <v>56</v>
      </c>
      <c r="M15" s="8">
        <f t="shared" si="12"/>
        <v>7.7165999999999997</v>
      </c>
      <c r="N15" s="9">
        <f t="shared" si="13"/>
        <v>5.3465234759999998</v>
      </c>
      <c r="O15" s="9">
        <f t="shared" si="14"/>
        <v>3.6171562499999999</v>
      </c>
      <c r="P15" s="9">
        <f t="shared" si="15"/>
        <v>32.40972</v>
      </c>
      <c r="Q15" s="9">
        <f t="shared" si="16"/>
        <v>22.455398599199999</v>
      </c>
      <c r="R15" s="9">
        <f t="shared" si="17"/>
        <v>15.19205625</v>
      </c>
      <c r="S15" s="9">
        <f t="shared" si="18"/>
        <v>4.8485969999999998</v>
      </c>
      <c r="T15" s="9">
        <f t="shared" si="19"/>
        <v>3.3593989174199996</v>
      </c>
      <c r="U15" s="9">
        <f t="shared" si="20"/>
        <v>1.3636679062499999</v>
      </c>
      <c r="V15" s="9">
        <f t="shared" si="21"/>
        <v>20.364107400000002</v>
      </c>
      <c r="W15" s="9">
        <f t="shared" si="22"/>
        <v>14.109475453163999</v>
      </c>
      <c r="X15" s="9">
        <f t="shared" si="23"/>
        <v>5.7274052062499994</v>
      </c>
      <c r="Y15" s="27">
        <v>6</v>
      </c>
      <c r="Z15" s="10">
        <v>1.2861</v>
      </c>
      <c r="AA15" s="10">
        <v>3.77</v>
      </c>
    </row>
    <row r="16" spans="1:33">
      <c r="A16" s="6">
        <v>8</v>
      </c>
      <c r="B16" s="25">
        <v>1776</v>
      </c>
      <c r="C16" s="39">
        <v>4.0999999999999996</v>
      </c>
      <c r="D16" s="7" t="s">
        <v>61</v>
      </c>
      <c r="E16" s="49">
        <v>25.87</v>
      </c>
      <c r="F16" s="50">
        <v>0.94350000000000001</v>
      </c>
      <c r="G16" s="32" t="s">
        <v>21</v>
      </c>
      <c r="H16" s="51">
        <v>186</v>
      </c>
      <c r="I16" s="50">
        <v>0.90939999999999999</v>
      </c>
      <c r="J16" s="32" t="s">
        <v>21</v>
      </c>
      <c r="K16" s="52">
        <v>1</v>
      </c>
      <c r="L16" s="32" t="s">
        <v>21</v>
      </c>
      <c r="M16" s="8">
        <f t="shared" si="12"/>
        <v>7.7165999999999997</v>
      </c>
      <c r="N16" s="9">
        <f t="shared" si="13"/>
        <v>5.0964284699999993</v>
      </c>
      <c r="O16" s="9">
        <f t="shared" si="14"/>
        <v>3.50873802</v>
      </c>
      <c r="P16" s="9">
        <f t="shared" si="15"/>
        <v>31.638059999999996</v>
      </c>
      <c r="Q16" s="9">
        <f t="shared" si="16"/>
        <v>20.895356726999996</v>
      </c>
      <c r="R16" s="9">
        <f t="shared" si="17"/>
        <v>14.385825881999999</v>
      </c>
      <c r="S16" s="9">
        <f t="shared" si="18"/>
        <v>4.8485969999999998</v>
      </c>
      <c r="T16" s="9">
        <f t="shared" si="19"/>
        <v>3.2022558886499994</v>
      </c>
      <c r="U16" s="9">
        <f t="shared" si="20"/>
        <v>1.3227942335399998</v>
      </c>
      <c r="V16" s="9">
        <f t="shared" si="21"/>
        <v>19.879247699999997</v>
      </c>
      <c r="W16" s="9">
        <f t="shared" si="22"/>
        <v>13.129249143464996</v>
      </c>
      <c r="X16" s="9">
        <f t="shared" si="23"/>
        <v>5.4234563575139987</v>
      </c>
      <c r="Y16" s="27">
        <v>6</v>
      </c>
      <c r="Z16" s="10">
        <v>1.2861</v>
      </c>
      <c r="AA16" s="10">
        <v>3.77</v>
      </c>
    </row>
    <row r="17" spans="1:32">
      <c r="A17" s="6">
        <v>9</v>
      </c>
      <c r="B17" s="25" t="s">
        <v>76</v>
      </c>
      <c r="C17" s="39">
        <v>5</v>
      </c>
      <c r="D17" s="7" t="s">
        <v>71</v>
      </c>
      <c r="E17" s="49">
        <v>18.18</v>
      </c>
      <c r="F17" s="50">
        <v>1.0730999999999999</v>
      </c>
      <c r="G17" s="32" t="s">
        <v>21</v>
      </c>
      <c r="H17" s="51">
        <v>179</v>
      </c>
      <c r="I17" s="50">
        <v>0.92500000000000004</v>
      </c>
      <c r="J17" s="32" t="s">
        <v>21</v>
      </c>
      <c r="K17" s="51">
        <v>2.1</v>
      </c>
      <c r="L17" s="33" t="s">
        <v>60</v>
      </c>
      <c r="M17" s="8">
        <f t="shared" si="12"/>
        <v>7.7165999999999997</v>
      </c>
      <c r="N17" s="9">
        <f t="shared" si="13"/>
        <v>5.796478421999999</v>
      </c>
      <c r="O17" s="9">
        <f t="shared" si="14"/>
        <v>3.5689275</v>
      </c>
      <c r="P17" s="9">
        <f t="shared" si="15"/>
        <v>38.582999999999998</v>
      </c>
      <c r="Q17" s="9">
        <f t="shared" si="16"/>
        <v>28.982392109999996</v>
      </c>
      <c r="R17" s="9">
        <f t="shared" si="17"/>
        <v>17.844637500000001</v>
      </c>
      <c r="S17" s="9">
        <f t="shared" si="18"/>
        <v>4.8485969999999998</v>
      </c>
      <c r="T17" s="9">
        <f t="shared" si="19"/>
        <v>3.6421206084899995</v>
      </c>
      <c r="U17" s="9">
        <f t="shared" si="20"/>
        <v>1.3454856675</v>
      </c>
      <c r="V17" s="9">
        <f t="shared" si="21"/>
        <v>24.242984999999997</v>
      </c>
      <c r="W17" s="9">
        <f t="shared" si="22"/>
        <v>18.210603042449996</v>
      </c>
      <c r="X17" s="9">
        <f t="shared" si="23"/>
        <v>6.7274283375000001</v>
      </c>
      <c r="Y17" s="27">
        <v>6</v>
      </c>
      <c r="Z17" s="10">
        <v>1.2861</v>
      </c>
      <c r="AA17" s="10">
        <v>3.77</v>
      </c>
    </row>
    <row r="18" spans="1:32">
      <c r="A18" s="6">
        <v>10</v>
      </c>
      <c r="B18" s="25" t="s">
        <v>76</v>
      </c>
      <c r="C18" s="39">
        <v>2.7</v>
      </c>
      <c r="D18" s="7" t="s">
        <v>71</v>
      </c>
      <c r="E18" s="49">
        <v>7.34</v>
      </c>
      <c r="F18" s="50">
        <v>1.25</v>
      </c>
      <c r="G18" s="31" t="s">
        <v>55</v>
      </c>
      <c r="H18" s="51">
        <v>156</v>
      </c>
      <c r="I18" s="50">
        <v>0.98440000000000005</v>
      </c>
      <c r="J18" s="32" t="s">
        <v>21</v>
      </c>
      <c r="K18" s="52">
        <v>1.9</v>
      </c>
      <c r="L18" s="30" t="s">
        <v>56</v>
      </c>
      <c r="M18" s="8">
        <f t="shared" si="12"/>
        <v>7.7165999999999997</v>
      </c>
      <c r="N18" s="9">
        <f t="shared" si="13"/>
        <v>6.7520249999999997</v>
      </c>
      <c r="O18" s="9">
        <f t="shared" si="14"/>
        <v>3.7981105200000003</v>
      </c>
      <c r="P18" s="9">
        <f t="shared" si="15"/>
        <v>20.834820000000001</v>
      </c>
      <c r="Q18" s="9">
        <f t="shared" si="16"/>
        <v>18.2304675</v>
      </c>
      <c r="R18" s="9">
        <f t="shared" si="17"/>
        <v>10.254898404000002</v>
      </c>
      <c r="S18" s="9">
        <f t="shared" si="18"/>
        <v>4.8485969999999998</v>
      </c>
      <c r="T18" s="9">
        <f t="shared" si="19"/>
        <v>4.2425223749999992</v>
      </c>
      <c r="U18" s="9">
        <f t="shared" si="20"/>
        <v>1.43188766604</v>
      </c>
      <c r="V18" s="9">
        <f t="shared" si="21"/>
        <v>13.091211900000001</v>
      </c>
      <c r="W18" s="9">
        <f t="shared" si="22"/>
        <v>11.454810412499999</v>
      </c>
      <c r="X18" s="9">
        <f t="shared" si="23"/>
        <v>3.8660966983080001</v>
      </c>
      <c r="Y18" s="27">
        <v>6</v>
      </c>
      <c r="Z18" s="10">
        <v>1.2861</v>
      </c>
      <c r="AA18" s="10">
        <v>3.77</v>
      </c>
    </row>
    <row r="19" spans="1:32">
      <c r="A19" s="6">
        <v>11</v>
      </c>
      <c r="B19" s="25">
        <v>1777</v>
      </c>
      <c r="C19" s="39">
        <v>2.5</v>
      </c>
      <c r="D19" s="7" t="s">
        <v>61</v>
      </c>
      <c r="E19" s="49">
        <v>21.43</v>
      </c>
      <c r="F19" s="50">
        <v>1.0176000000000001</v>
      </c>
      <c r="G19" s="32" t="s">
        <v>21</v>
      </c>
      <c r="H19" s="51">
        <v>145</v>
      </c>
      <c r="I19" s="50">
        <v>1.0125</v>
      </c>
      <c r="J19" s="32" t="s">
        <v>21</v>
      </c>
      <c r="K19" s="51">
        <v>1.8</v>
      </c>
      <c r="L19" s="30" t="s">
        <v>56</v>
      </c>
      <c r="M19" s="8">
        <f t="shared" si="12"/>
        <v>7.7165999999999997</v>
      </c>
      <c r="N19" s="9">
        <f t="shared" si="13"/>
        <v>5.4966885119999995</v>
      </c>
      <c r="O19" s="9">
        <f t="shared" si="14"/>
        <v>3.9065287499999997</v>
      </c>
      <c r="P19" s="9">
        <f t="shared" si="15"/>
        <v>19.291499999999999</v>
      </c>
      <c r="Q19" s="9">
        <f t="shared" si="16"/>
        <v>13.741721279999998</v>
      </c>
      <c r="R19" s="9">
        <f t="shared" si="17"/>
        <v>9.7663218749999992</v>
      </c>
      <c r="S19" s="9">
        <f t="shared" si="18"/>
        <v>4.8485969999999998</v>
      </c>
      <c r="T19" s="9">
        <f t="shared" si="19"/>
        <v>3.45375261504</v>
      </c>
      <c r="U19" s="9">
        <f t="shared" si="20"/>
        <v>1.47276133875</v>
      </c>
      <c r="V19" s="9">
        <f t="shared" si="21"/>
        <v>12.121492499999999</v>
      </c>
      <c r="W19" s="9">
        <f t="shared" si="22"/>
        <v>8.6343815375999995</v>
      </c>
      <c r="X19" s="9">
        <f t="shared" si="23"/>
        <v>3.681903346875</v>
      </c>
      <c r="Y19" s="27">
        <v>6</v>
      </c>
      <c r="Z19" s="10">
        <v>1.2861</v>
      </c>
      <c r="AA19" s="10">
        <v>3.77</v>
      </c>
    </row>
    <row r="20" spans="1:32" s="10" customFormat="1">
      <c r="A20" s="6">
        <v>12</v>
      </c>
      <c r="B20" s="25">
        <v>1816</v>
      </c>
      <c r="C20" s="39">
        <v>3.7</v>
      </c>
      <c r="D20" s="7" t="s">
        <v>71</v>
      </c>
      <c r="E20" s="49">
        <v>52.3</v>
      </c>
      <c r="F20" s="50">
        <v>0.50260000000000005</v>
      </c>
      <c r="G20" s="33" t="s">
        <v>60</v>
      </c>
      <c r="H20" s="51">
        <v>177</v>
      </c>
      <c r="I20" s="50">
        <v>0.93130000000000002</v>
      </c>
      <c r="J20" s="32" t="s">
        <v>21</v>
      </c>
      <c r="K20" s="52">
        <v>1.1000000000000001</v>
      </c>
      <c r="L20" s="32" t="s">
        <v>21</v>
      </c>
      <c r="M20" s="8">
        <f t="shared" si="12"/>
        <v>7.7165999999999997</v>
      </c>
      <c r="N20" s="9">
        <f t="shared" si="13"/>
        <v>2.7148542120000001</v>
      </c>
      <c r="O20" s="9">
        <f t="shared" si="14"/>
        <v>3.5932347899999999</v>
      </c>
      <c r="P20" s="9">
        <f t="shared" si="15"/>
        <v>28.55142</v>
      </c>
      <c r="Q20" s="9">
        <f t="shared" si="16"/>
        <v>10.0449605844</v>
      </c>
      <c r="R20" s="9">
        <f t="shared" si="17"/>
        <v>13.294968723</v>
      </c>
      <c r="S20" s="9">
        <f t="shared" si="18"/>
        <v>4.8485969999999998</v>
      </c>
      <c r="T20" s="9">
        <f t="shared" si="19"/>
        <v>1.7058333965399999</v>
      </c>
      <c r="U20" s="9">
        <f t="shared" si="20"/>
        <v>1.35464951583</v>
      </c>
      <c r="V20" s="9">
        <f t="shared" si="21"/>
        <v>17.939808899999999</v>
      </c>
      <c r="W20" s="9">
        <f t="shared" si="22"/>
        <v>6.3115835671980003</v>
      </c>
      <c r="X20" s="9">
        <f t="shared" si="23"/>
        <v>5.012203208571</v>
      </c>
      <c r="Y20" s="27">
        <v>6</v>
      </c>
      <c r="Z20" s="10">
        <v>1.2861</v>
      </c>
      <c r="AA20" s="10">
        <v>3.77</v>
      </c>
      <c r="AB20" s="1"/>
      <c r="AC20" s="1"/>
      <c r="AD20" s="1"/>
      <c r="AE20" s="1"/>
      <c r="AF20" s="1"/>
    </row>
    <row r="21" spans="1:32" s="10" customFormat="1">
      <c r="A21" s="1"/>
      <c r="B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10" customFormat="1">
      <c r="A22" s="1"/>
      <c r="B22" s="1"/>
      <c r="C22" s="34">
        <f>SUM(C9:C20)</f>
        <v>46.800000000000004</v>
      </c>
      <c r="D22" s="1"/>
      <c r="E22" s="1"/>
      <c r="F22" s="12"/>
      <c r="G22" s="1"/>
      <c r="H22" s="1"/>
      <c r="J22" s="12"/>
      <c r="K22" s="1"/>
      <c r="L22" s="1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s="10" customFormat="1">
      <c r="A23" s="1"/>
      <c r="B23" s="1"/>
      <c r="C23" s="1"/>
      <c r="D23" s="1"/>
      <c r="E23" s="34">
        <f>SUM(E9:E22)</f>
        <v>328.08</v>
      </c>
      <c r="F23" s="12"/>
      <c r="G23" s="1"/>
      <c r="H23" s="1">
        <f>SUM(H9:H22)</f>
        <v>1957</v>
      </c>
      <c r="J23" s="12"/>
      <c r="K23" s="1">
        <f>SUM(K9:K22)</f>
        <v>20.300000000000004</v>
      </c>
      <c r="L23" s="1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s="10" customFormat="1">
      <c r="A24" s="1"/>
      <c r="B24" s="1"/>
      <c r="C24" s="1"/>
      <c r="D24" s="1"/>
      <c r="E24" s="1">
        <f>+E23/12</f>
        <v>27.34</v>
      </c>
      <c r="F24" s="12"/>
      <c r="G24" s="1"/>
      <c r="H24" s="1">
        <f>+H23/12</f>
        <v>163.08333333333334</v>
      </c>
      <c r="J24" s="12"/>
      <c r="K24" s="1">
        <f>+K23/12</f>
        <v>1.6916666666666671</v>
      </c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10" customFormat="1">
      <c r="A25" s="1"/>
      <c r="B25" s="1"/>
      <c r="L25" s="1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10" customFormat="1">
      <c r="A26" s="1"/>
      <c r="B26" s="1"/>
      <c r="L26" s="1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s="10" customFormat="1">
      <c r="A27" s="1"/>
      <c r="B27" s="1"/>
      <c r="C27" s="1"/>
      <c r="D27" s="1"/>
      <c r="E27" s="1"/>
      <c r="F27" s="12"/>
      <c r="G27" s="1"/>
      <c r="H27" s="12"/>
      <c r="J27" s="12"/>
      <c r="K27" s="1"/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0" customFormat="1" ht="18" customHeight="1">
      <c r="A28" s="1"/>
      <c r="B28" s="1"/>
      <c r="C28" s="1"/>
      <c r="D28" s="1"/>
      <c r="E28" s="1"/>
      <c r="F28" s="12"/>
      <c r="G28" s="1"/>
      <c r="H28" s="12"/>
      <c r="J28" s="12"/>
      <c r="K28" s="1"/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s="10" customFormat="1" ht="16.5" customHeight="1">
      <c r="A29" s="1"/>
      <c r="B29" s="1"/>
      <c r="C29" s="1"/>
      <c r="D29" s="1"/>
      <c r="E29" s="1"/>
      <c r="F29" s="12"/>
      <c r="G29" s="1"/>
      <c r="H29" s="12"/>
      <c r="J29" s="12"/>
      <c r="K29" s="1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s="10" customFormat="1">
      <c r="A30" s="1"/>
      <c r="B30" s="1"/>
      <c r="C30" s="1"/>
      <c r="D30" s="1"/>
      <c r="E30" s="1"/>
      <c r="F30" s="12"/>
      <c r="G30" s="1"/>
      <c r="H30" s="12"/>
      <c r="J30" s="12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1"/>
      <c r="D31" s="1"/>
      <c r="E31" s="1"/>
      <c r="F31" s="12"/>
      <c r="G31" s="1"/>
      <c r="H31" s="12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1"/>
      <c r="F32" s="12"/>
      <c r="G32" s="1"/>
      <c r="H32" s="12"/>
      <c r="J32" s="12"/>
      <c r="K32" s="1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/>
      <c r="F33" s="12"/>
      <c r="G33" s="1"/>
      <c r="H33" s="12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C34" s="1"/>
      <c r="D34" s="1"/>
      <c r="E34" s="1"/>
      <c r="F34" s="12"/>
      <c r="G34" s="1"/>
      <c r="H34" s="12"/>
      <c r="J34" s="12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C35" s="1"/>
      <c r="D35" s="1"/>
      <c r="E35" s="1"/>
      <c r="F35" s="12"/>
      <c r="G35" s="1"/>
      <c r="H35" s="12"/>
      <c r="J35" s="12"/>
      <c r="K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G64" s="13"/>
      <c r="H64" s="1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G65" s="13"/>
      <c r="H65" s="1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G66" s="13"/>
      <c r="H66" s="1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G67" s="13"/>
      <c r="H67" s="1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G68" s="13"/>
      <c r="H68" s="1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G69" s="13"/>
      <c r="H69" s="1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G70" s="13"/>
      <c r="H70" s="1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G71" s="13"/>
      <c r="H71" s="1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G72" s="13"/>
      <c r="H72" s="1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G73" s="13"/>
      <c r="H73" s="1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G74" s="13"/>
      <c r="H74" s="1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G75" s="13"/>
      <c r="H75" s="1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G76" s="13"/>
      <c r="H76" s="1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23">
    <mergeCell ref="L6:L8"/>
    <mergeCell ref="M6:O6"/>
    <mergeCell ref="P6:R6"/>
    <mergeCell ref="S6:U6"/>
    <mergeCell ref="V6:X6"/>
    <mergeCell ref="P8:R8"/>
    <mergeCell ref="V8:X8"/>
    <mergeCell ref="K6:K8"/>
    <mergeCell ref="A1:X1"/>
    <mergeCell ref="A2:X2"/>
    <mergeCell ref="A3:X3"/>
    <mergeCell ref="M5:R5"/>
    <mergeCell ref="S5:X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29"/>
  <sheetViews>
    <sheetView view="pageBreakPreview" zoomScale="85" zoomScaleNormal="100" zoomScaleSheetLayoutView="85" workbookViewId="0">
      <selection activeCell="L29" sqref="L29"/>
    </sheetView>
  </sheetViews>
  <sheetFormatPr defaultRowHeight="15"/>
  <cols>
    <col min="2" max="2" width="19.7109375" customWidth="1"/>
    <col min="3" max="12" width="10.42578125" customWidth="1"/>
    <col min="13" max="13" width="13.5703125" customWidth="1"/>
  </cols>
  <sheetData>
    <row r="1" spans="1:17" ht="15.75" customHeight="1">
      <c r="A1" s="63" t="s">
        <v>72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14"/>
      <c r="O1" s="14"/>
      <c r="P1" s="14"/>
      <c r="Q1" s="14"/>
    </row>
    <row r="2" spans="1:17" ht="15.75" customHeight="1">
      <c r="A2" s="64" t="s">
        <v>22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15"/>
    </row>
    <row r="3" spans="1:17" ht="15.75" customHeight="1">
      <c r="A3" s="64" t="s">
        <v>23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15"/>
    </row>
    <row r="4" spans="1:17" ht="15.75" thickBot="1"/>
    <row r="5" spans="1:17" ht="19.5" thickBot="1">
      <c r="A5" s="65" t="s">
        <v>4</v>
      </c>
      <c r="B5" s="65" t="s">
        <v>24</v>
      </c>
      <c r="C5" s="68" t="s">
        <v>25</v>
      </c>
      <c r="D5" s="69"/>
      <c r="E5" s="69"/>
      <c r="F5" s="69"/>
      <c r="G5" s="69"/>
      <c r="H5" s="69"/>
      <c r="I5" s="69"/>
      <c r="J5" s="69"/>
      <c r="K5" s="69"/>
      <c r="L5" s="70"/>
      <c r="M5" s="65" t="s">
        <v>26</v>
      </c>
    </row>
    <row r="6" spans="1:17" ht="18.75" customHeight="1">
      <c r="A6" s="66"/>
      <c r="B6" s="66"/>
      <c r="C6" s="71" t="s">
        <v>27</v>
      </c>
      <c r="D6" s="72"/>
      <c r="E6" s="73" t="s">
        <v>28</v>
      </c>
      <c r="F6" s="74"/>
      <c r="G6" s="75" t="s">
        <v>29</v>
      </c>
      <c r="H6" s="76"/>
      <c r="I6" s="77" t="s">
        <v>30</v>
      </c>
      <c r="J6" s="78"/>
      <c r="K6" s="79" t="s">
        <v>31</v>
      </c>
      <c r="L6" s="80"/>
      <c r="M6" s="66"/>
    </row>
    <row r="7" spans="1:17" ht="28.5" customHeight="1" thickBot="1">
      <c r="A7" s="66"/>
      <c r="B7" s="66"/>
      <c r="C7" s="81" t="s">
        <v>32</v>
      </c>
      <c r="D7" s="82"/>
      <c r="E7" s="83" t="s">
        <v>33</v>
      </c>
      <c r="F7" s="84"/>
      <c r="G7" s="85" t="s">
        <v>34</v>
      </c>
      <c r="H7" s="86"/>
      <c r="I7" s="87" t="s">
        <v>35</v>
      </c>
      <c r="J7" s="88"/>
      <c r="K7" s="89" t="s">
        <v>36</v>
      </c>
      <c r="L7" s="90"/>
      <c r="M7" s="67"/>
    </row>
    <row r="8" spans="1:17" ht="19.5" thickBot="1">
      <c r="A8" s="67"/>
      <c r="B8" s="67"/>
      <c r="C8" s="16" t="s">
        <v>37</v>
      </c>
      <c r="D8" s="16" t="s">
        <v>38</v>
      </c>
      <c r="E8" s="16" t="s">
        <v>37</v>
      </c>
      <c r="F8" s="16" t="s">
        <v>38</v>
      </c>
      <c r="G8" s="17" t="s">
        <v>37</v>
      </c>
      <c r="H8" s="16" t="s">
        <v>38</v>
      </c>
      <c r="I8" s="17" t="s">
        <v>37</v>
      </c>
      <c r="J8" s="16" t="s">
        <v>38</v>
      </c>
      <c r="K8" s="17" t="s">
        <v>37</v>
      </c>
      <c r="L8" s="16" t="s">
        <v>38</v>
      </c>
      <c r="M8" s="16"/>
    </row>
    <row r="9" spans="1:17" ht="42.75" customHeight="1" thickBot="1">
      <c r="A9" s="18" t="s">
        <v>39</v>
      </c>
      <c r="B9" s="19">
        <v>46.8</v>
      </c>
      <c r="C9" s="20">
        <v>14.6</v>
      </c>
      <c r="D9" s="21">
        <f>+C9/B9%</f>
        <v>31.196581196581199</v>
      </c>
      <c r="E9" s="20">
        <v>24.1</v>
      </c>
      <c r="F9" s="21">
        <f>E9/B9*100</f>
        <v>51.495726495726501</v>
      </c>
      <c r="G9" s="22"/>
      <c r="H9" s="21">
        <f>+G9/B9%</f>
        <v>0</v>
      </c>
      <c r="I9" s="22"/>
      <c r="J9" s="21">
        <f>+I9/B9%</f>
        <v>0</v>
      </c>
      <c r="K9" s="22">
        <v>8.1</v>
      </c>
      <c r="L9" s="21">
        <f>+K9/B9%</f>
        <v>17.307692307692307</v>
      </c>
      <c r="M9" s="21">
        <f>+Жадвал!E24</f>
        <v>27.34</v>
      </c>
      <c r="N9" s="35">
        <f>+L9+J9+H9+F9+D9</f>
        <v>100</v>
      </c>
    </row>
    <row r="10" spans="1:17" ht="18.7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>
        <v>86.28</v>
      </c>
      <c r="N10" s="36"/>
    </row>
    <row r="11" spans="1:17" ht="18.75">
      <c r="A11" s="63" t="str">
        <f>A1</f>
        <v xml:space="preserve">Фарғона вилояти Тошлоқ тумани Араббой Тухтабой худуди Турғунов Диёрбек фермер хўжалиги томонидан суғорилиб экиладиган 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36"/>
    </row>
    <row r="12" spans="1:17" ht="18.75">
      <c r="A12" s="64" t="s">
        <v>40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36"/>
    </row>
    <row r="13" spans="1:17" ht="18.75">
      <c r="A13" s="64" t="s">
        <v>23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36"/>
    </row>
    <row r="14" spans="1:17" ht="19.5" thickBo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6"/>
    </row>
    <row r="15" spans="1:17" ht="19.5" thickBot="1">
      <c r="A15" s="65" t="s">
        <v>4</v>
      </c>
      <c r="B15" s="65" t="s">
        <v>24</v>
      </c>
      <c r="C15" s="68" t="s">
        <v>41</v>
      </c>
      <c r="D15" s="69"/>
      <c r="E15" s="69"/>
      <c r="F15" s="69"/>
      <c r="G15" s="69"/>
      <c r="H15" s="69"/>
      <c r="I15" s="69"/>
      <c r="J15" s="69"/>
      <c r="K15" s="69"/>
      <c r="L15" s="70"/>
      <c r="M15" s="65" t="s">
        <v>26</v>
      </c>
      <c r="N15" s="36"/>
    </row>
    <row r="16" spans="1:17" ht="18.75" customHeight="1">
      <c r="A16" s="66"/>
      <c r="B16" s="66"/>
      <c r="C16" s="71" t="s">
        <v>27</v>
      </c>
      <c r="D16" s="72"/>
      <c r="E16" s="73" t="s">
        <v>28</v>
      </c>
      <c r="F16" s="74"/>
      <c r="G16" s="75" t="s">
        <v>29</v>
      </c>
      <c r="H16" s="76"/>
      <c r="I16" s="77" t="s">
        <v>30</v>
      </c>
      <c r="J16" s="78"/>
      <c r="K16" s="79" t="s">
        <v>31</v>
      </c>
      <c r="L16" s="80"/>
      <c r="M16" s="66"/>
      <c r="N16" s="36"/>
    </row>
    <row r="17" spans="1:14" ht="30" customHeight="1" thickBot="1">
      <c r="A17" s="66"/>
      <c r="B17" s="66"/>
      <c r="C17" s="81" t="s">
        <v>42</v>
      </c>
      <c r="D17" s="82"/>
      <c r="E17" s="83" t="s">
        <v>43</v>
      </c>
      <c r="F17" s="84"/>
      <c r="G17" s="85" t="s">
        <v>44</v>
      </c>
      <c r="H17" s="86"/>
      <c r="I17" s="87" t="s">
        <v>45</v>
      </c>
      <c r="J17" s="88"/>
      <c r="K17" s="89" t="s">
        <v>46</v>
      </c>
      <c r="L17" s="90"/>
      <c r="M17" s="67"/>
      <c r="N17" s="36"/>
    </row>
    <row r="18" spans="1:14" ht="19.5" thickBot="1">
      <c r="A18" s="67"/>
      <c r="B18" s="67"/>
      <c r="C18" s="16" t="s">
        <v>37</v>
      </c>
      <c r="D18" s="16" t="s">
        <v>38</v>
      </c>
      <c r="E18" s="16" t="s">
        <v>37</v>
      </c>
      <c r="F18" s="16" t="s">
        <v>38</v>
      </c>
      <c r="G18" s="17" t="s">
        <v>37</v>
      </c>
      <c r="H18" s="16" t="s">
        <v>38</v>
      </c>
      <c r="I18" s="17" t="s">
        <v>37</v>
      </c>
      <c r="J18" s="16" t="s">
        <v>38</v>
      </c>
      <c r="K18" s="17" t="s">
        <v>37</v>
      </c>
      <c r="L18" s="16" t="s">
        <v>38</v>
      </c>
      <c r="M18" s="16"/>
      <c r="N18" s="36"/>
    </row>
    <row r="19" spans="1:14" ht="42.75" customHeight="1" thickBot="1">
      <c r="A19" s="18" t="s">
        <v>39</v>
      </c>
      <c r="B19" s="19">
        <f>+B9</f>
        <v>46.8</v>
      </c>
      <c r="C19" s="20"/>
      <c r="D19" s="21">
        <f>+C19/B19%</f>
        <v>0</v>
      </c>
      <c r="E19" s="20">
        <v>46.8</v>
      </c>
      <c r="F19" s="21">
        <f>+E19/B19%</f>
        <v>100</v>
      </c>
      <c r="G19" s="22"/>
      <c r="H19" s="21">
        <f>G19/B19*100</f>
        <v>0</v>
      </c>
      <c r="I19" s="22"/>
      <c r="J19" s="21">
        <f>+I19/B19%</f>
        <v>0</v>
      </c>
      <c r="K19" s="22"/>
      <c r="L19" s="21">
        <f>+K19/B19%</f>
        <v>0</v>
      </c>
      <c r="M19" s="21">
        <f>+Жадвал!H24</f>
        <v>163.08333333333334</v>
      </c>
      <c r="N19" s="35">
        <f>+L19+J19+H19+F19+D19</f>
        <v>100</v>
      </c>
    </row>
    <row r="20" spans="1:14" ht="18.7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36"/>
    </row>
    <row r="21" spans="1:14" ht="18.75">
      <c r="A21" s="63" t="str">
        <f>A1</f>
        <v xml:space="preserve">Фарғона вилояти Тошлоқ тумани Араббой Тухтабой худуди Турғунов Диёрбек фермер хўжалиги томонидан суғорилиб экиладиган 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36"/>
    </row>
    <row r="22" spans="1:14" ht="18.75">
      <c r="A22" s="64" t="s">
        <v>47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36"/>
    </row>
    <row r="23" spans="1:14" ht="18.75">
      <c r="A23" s="64" t="s">
        <v>23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36"/>
    </row>
    <row r="24" spans="1:14" ht="19.5" thickBo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36"/>
    </row>
    <row r="25" spans="1:14" ht="19.5" thickBot="1">
      <c r="A25" s="65" t="s">
        <v>4</v>
      </c>
      <c r="B25" s="65" t="s">
        <v>24</v>
      </c>
      <c r="C25" s="68" t="s">
        <v>48</v>
      </c>
      <c r="D25" s="69"/>
      <c r="E25" s="69"/>
      <c r="F25" s="69"/>
      <c r="G25" s="69"/>
      <c r="H25" s="69"/>
      <c r="I25" s="69"/>
      <c r="J25" s="69"/>
      <c r="K25" s="69"/>
      <c r="L25" s="70"/>
      <c r="M25" s="65" t="s">
        <v>49</v>
      </c>
      <c r="N25" s="36"/>
    </row>
    <row r="26" spans="1:14" ht="18.75" customHeight="1">
      <c r="A26" s="66"/>
      <c r="B26" s="66"/>
      <c r="C26" s="71" t="s">
        <v>27</v>
      </c>
      <c r="D26" s="72"/>
      <c r="E26" s="73" t="s">
        <v>28</v>
      </c>
      <c r="F26" s="74"/>
      <c r="G26" s="75" t="s">
        <v>29</v>
      </c>
      <c r="H26" s="76"/>
      <c r="I26" s="77" t="s">
        <v>30</v>
      </c>
      <c r="J26" s="78"/>
      <c r="K26" s="79" t="s">
        <v>31</v>
      </c>
      <c r="L26" s="80"/>
      <c r="M26" s="66"/>
      <c r="N26" s="36"/>
    </row>
    <row r="27" spans="1:14" ht="27.75" customHeight="1" thickBot="1">
      <c r="A27" s="66"/>
      <c r="B27" s="66"/>
      <c r="C27" s="81" t="s">
        <v>50</v>
      </c>
      <c r="D27" s="82"/>
      <c r="E27" s="83" t="s">
        <v>51</v>
      </c>
      <c r="F27" s="84"/>
      <c r="G27" s="85" t="s">
        <v>52</v>
      </c>
      <c r="H27" s="86"/>
      <c r="I27" s="87" t="s">
        <v>53</v>
      </c>
      <c r="J27" s="88"/>
      <c r="K27" s="89" t="s">
        <v>54</v>
      </c>
      <c r="L27" s="90"/>
      <c r="M27" s="67"/>
      <c r="N27" s="36"/>
    </row>
    <row r="28" spans="1:14" ht="19.5" thickBot="1">
      <c r="A28" s="67"/>
      <c r="B28" s="67"/>
      <c r="C28" s="16" t="s">
        <v>37</v>
      </c>
      <c r="D28" s="16" t="s">
        <v>38</v>
      </c>
      <c r="E28" s="16" t="s">
        <v>37</v>
      </c>
      <c r="F28" s="16" t="s">
        <v>38</v>
      </c>
      <c r="G28" s="17" t="s">
        <v>37</v>
      </c>
      <c r="H28" s="16" t="s">
        <v>38</v>
      </c>
      <c r="I28" s="17" t="s">
        <v>37</v>
      </c>
      <c r="J28" s="16" t="s">
        <v>38</v>
      </c>
      <c r="K28" s="17" t="s">
        <v>37</v>
      </c>
      <c r="L28" s="16" t="s">
        <v>38</v>
      </c>
      <c r="M28" s="16"/>
      <c r="N28" s="36"/>
    </row>
    <row r="29" spans="1:14" ht="42.75" customHeight="1" thickBot="1">
      <c r="A29" s="18" t="s">
        <v>39</v>
      </c>
      <c r="B29" s="19">
        <f>+B9</f>
        <v>46.8</v>
      </c>
      <c r="C29" s="20"/>
      <c r="D29" s="21">
        <f>+C29/B29%</f>
        <v>0</v>
      </c>
      <c r="E29" s="20">
        <v>7.8</v>
      </c>
      <c r="F29" s="21">
        <f>+E29/B29%</f>
        <v>16.666666666666668</v>
      </c>
      <c r="G29" s="22">
        <v>4.4000000000000004</v>
      </c>
      <c r="H29" s="21">
        <f>+G29/B29%</f>
        <v>9.4017094017094038</v>
      </c>
      <c r="I29" s="26">
        <v>23.7</v>
      </c>
      <c r="J29" s="21">
        <f>+I29/B29%</f>
        <v>50.641025641025642</v>
      </c>
      <c r="K29" s="22">
        <v>10.9</v>
      </c>
      <c r="L29" s="21">
        <f>+K29/B29%</f>
        <v>23.290598290598293</v>
      </c>
      <c r="M29" s="24">
        <f>+Жадвал!K24</f>
        <v>1.6916666666666671</v>
      </c>
      <c r="N29" s="35">
        <f>+L29+J29+H29+F29+D29</f>
        <v>100.00000000000001</v>
      </c>
    </row>
  </sheetData>
  <mergeCells count="51">
    <mergeCell ref="A25:A28"/>
    <mergeCell ref="B25:B28"/>
    <mergeCell ref="C25:L25"/>
    <mergeCell ref="M25:M27"/>
    <mergeCell ref="C26:D26"/>
    <mergeCell ref="E26:F26"/>
    <mergeCell ref="G26:H26"/>
    <mergeCell ref="I26:J26"/>
    <mergeCell ref="K26:L26"/>
    <mergeCell ref="C27:D27"/>
    <mergeCell ref="E27:F27"/>
    <mergeCell ref="G27:H27"/>
    <mergeCell ref="I27:J27"/>
    <mergeCell ref="K27:L27"/>
    <mergeCell ref="I17:J17"/>
    <mergeCell ref="K17:L17"/>
    <mergeCell ref="A21:M21"/>
    <mergeCell ref="A22:M22"/>
    <mergeCell ref="A23:M23"/>
    <mergeCell ref="K7:L7"/>
    <mergeCell ref="A11:M11"/>
    <mergeCell ref="A12:M12"/>
    <mergeCell ref="A13:M13"/>
    <mergeCell ref="A15:A18"/>
    <mergeCell ref="B15:B18"/>
    <mergeCell ref="C15:L15"/>
    <mergeCell ref="M15:M17"/>
    <mergeCell ref="C16:D16"/>
    <mergeCell ref="E16:F16"/>
    <mergeCell ref="G16:H16"/>
    <mergeCell ref="I16:J16"/>
    <mergeCell ref="K16:L16"/>
    <mergeCell ref="C17:D17"/>
    <mergeCell ref="E17:F17"/>
    <mergeCell ref="G17:H17"/>
    <mergeCell ref="A1:M1"/>
    <mergeCell ref="A2:M2"/>
    <mergeCell ref="A3:M3"/>
    <mergeCell ref="A5:A8"/>
    <mergeCell ref="B5:B8"/>
    <mergeCell ref="C5:L5"/>
    <mergeCell ref="M5:M7"/>
    <mergeCell ref="C6:D6"/>
    <mergeCell ref="E6:F6"/>
    <mergeCell ref="G6:H6"/>
    <mergeCell ref="I6:J6"/>
    <mergeCell ref="K6:L6"/>
    <mergeCell ref="C7:D7"/>
    <mergeCell ref="E7:F7"/>
    <mergeCell ref="G7:H7"/>
    <mergeCell ref="I7:J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78"/>
  <sheetViews>
    <sheetView tabSelected="1" zoomScale="85" zoomScaleNormal="85" zoomScaleSheetLayoutView="95" workbookViewId="0">
      <selection activeCell="L14" sqref="L14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9.4257812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25" ht="20.25">
      <c r="A1" s="54" t="s">
        <v>72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</row>
    <row r="2" spans="1:25" ht="20.25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</row>
    <row r="3" spans="1:25" ht="20.25">
      <c r="A3" s="54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12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</row>
    <row r="5" spans="1:25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</row>
    <row r="6" spans="1:25" ht="50.25" customHeight="1">
      <c r="A6" s="60" t="s">
        <v>4</v>
      </c>
      <c r="B6" s="53" t="s">
        <v>5</v>
      </c>
      <c r="C6" s="53" t="s">
        <v>6</v>
      </c>
      <c r="D6" s="53" t="s">
        <v>7</v>
      </c>
      <c r="E6" s="60" t="s">
        <v>16</v>
      </c>
      <c r="F6" s="60"/>
      <c r="G6" s="60"/>
      <c r="H6" s="60" t="s">
        <v>62</v>
      </c>
      <c r="I6" s="60"/>
      <c r="J6" s="60"/>
      <c r="K6" s="60"/>
      <c r="L6" s="60"/>
      <c r="M6" s="60"/>
      <c r="N6" s="60"/>
      <c r="O6" s="60"/>
      <c r="P6" s="60"/>
    </row>
    <row r="7" spans="1:25" ht="60" customHeight="1">
      <c r="A7" s="60"/>
      <c r="B7" s="53"/>
      <c r="C7" s="53"/>
      <c r="D7" s="53"/>
      <c r="E7" s="91" t="s">
        <v>17</v>
      </c>
      <c r="F7" s="91" t="s">
        <v>18</v>
      </c>
      <c r="G7" s="91" t="s">
        <v>19</v>
      </c>
      <c r="H7" s="93" t="s">
        <v>63</v>
      </c>
      <c r="I7" s="93"/>
      <c r="J7" s="48" t="s">
        <v>64</v>
      </c>
      <c r="K7" s="40" t="s">
        <v>65</v>
      </c>
      <c r="L7" s="48" t="s">
        <v>66</v>
      </c>
      <c r="M7" s="93" t="s">
        <v>67</v>
      </c>
      <c r="N7" s="93"/>
      <c r="O7" s="93" t="s">
        <v>68</v>
      </c>
      <c r="P7" s="93"/>
    </row>
    <row r="8" spans="1:25" ht="22.5" customHeight="1">
      <c r="A8" s="60"/>
      <c r="B8" s="53"/>
      <c r="C8" s="53"/>
      <c r="D8" s="53"/>
      <c r="E8" s="92"/>
      <c r="F8" s="92"/>
      <c r="G8" s="92"/>
      <c r="H8" s="48" t="s">
        <v>69</v>
      </c>
      <c r="I8" s="48" t="s">
        <v>70</v>
      </c>
      <c r="J8" s="48" t="s">
        <v>17</v>
      </c>
      <c r="K8" s="48" t="s">
        <v>69</v>
      </c>
      <c r="L8" s="48" t="s">
        <v>17</v>
      </c>
      <c r="M8" s="48" t="s">
        <v>17</v>
      </c>
      <c r="N8" s="48" t="s">
        <v>70</v>
      </c>
      <c r="O8" s="48" t="s">
        <v>17</v>
      </c>
      <c r="P8" s="48" t="s">
        <v>69</v>
      </c>
      <c r="Q8" s="41" t="s">
        <v>17</v>
      </c>
      <c r="R8" s="41" t="s">
        <v>69</v>
      </c>
      <c r="S8" s="41" t="s">
        <v>70</v>
      </c>
      <c r="T8" s="42"/>
      <c r="U8" s="42"/>
      <c r="V8" s="42"/>
      <c r="W8" s="41" t="s">
        <v>17</v>
      </c>
      <c r="X8" s="41" t="s">
        <v>69</v>
      </c>
      <c r="Y8" s="41" t="s">
        <v>70</v>
      </c>
    </row>
    <row r="9" spans="1:25" s="10" customFormat="1" ht="19.5" customHeight="1">
      <c r="A9" s="6">
        <v>1</v>
      </c>
      <c r="B9" s="25" t="s">
        <v>73</v>
      </c>
      <c r="C9" s="39">
        <v>3.8</v>
      </c>
      <c r="D9" s="7" t="s">
        <v>71</v>
      </c>
      <c r="E9" s="9">
        <v>29.323079999999997</v>
      </c>
      <c r="F9" s="9">
        <v>24.383020712399993</v>
      </c>
      <c r="G9" s="9">
        <v>13.5619245</v>
      </c>
      <c r="H9" s="43">
        <f t="shared" ref="H9:H10" si="0">+F9*0.7</f>
        <v>17.068114498679993</v>
      </c>
      <c r="I9" s="43">
        <f t="shared" ref="I9:I10" si="1">+G9*0.5</f>
        <v>6.78096225</v>
      </c>
      <c r="J9" s="43">
        <f t="shared" ref="J9:J10" si="2">+E9*0.25</f>
        <v>7.3307699999999993</v>
      </c>
      <c r="K9" s="43">
        <f t="shared" ref="K9:K10" si="3">+F9*0.15</f>
        <v>3.6574531068599989</v>
      </c>
      <c r="L9" s="43">
        <f t="shared" ref="L9:L10" si="4">+E9*0.25</f>
        <v>7.3307699999999993</v>
      </c>
      <c r="M9" s="43">
        <f t="shared" ref="M9:M10" si="5">+E9*0.25</f>
        <v>7.3307699999999993</v>
      </c>
      <c r="N9" s="43">
        <f t="shared" ref="N9:N10" si="6">+G9*0.5</f>
        <v>6.78096225</v>
      </c>
      <c r="O9" s="43">
        <f t="shared" ref="O9:O10" si="7">+E9*0.25</f>
        <v>7.3307699999999993</v>
      </c>
      <c r="P9" s="43">
        <f t="shared" ref="P9:P10" si="8">+F9*0.15</f>
        <v>3.6574531068599989</v>
      </c>
      <c r="Q9" s="44">
        <f t="shared" ref="Q9:Q12" si="9">+O9+M9+L9+J9</f>
        <v>29.323079999999997</v>
      </c>
      <c r="R9" s="45">
        <f t="shared" ref="R9:R12" si="10">+P9+K9+H9</f>
        <v>24.38302071239999</v>
      </c>
      <c r="S9" s="45">
        <f t="shared" ref="S9:S12" si="11">+N9+I9</f>
        <v>13.5619245</v>
      </c>
      <c r="T9" s="46">
        <f t="shared" ref="T9:V12" si="12">+Q9-E9</f>
        <v>0</v>
      </c>
      <c r="U9" s="46">
        <f t="shared" si="12"/>
        <v>0</v>
      </c>
      <c r="V9" s="46">
        <f t="shared" si="12"/>
        <v>0</v>
      </c>
      <c r="W9" s="44">
        <f t="shared" ref="W9:W12" si="13">+E9/C9</f>
        <v>7.7165999999999997</v>
      </c>
      <c r="X9" s="44">
        <f t="shared" ref="X9:X12" si="14">+F9/C9</f>
        <v>6.4165843979999986</v>
      </c>
      <c r="Y9" s="44">
        <f t="shared" ref="Y9:Y12" si="15">+G9/C9</f>
        <v>3.5689275</v>
      </c>
    </row>
    <row r="10" spans="1:25" s="10" customFormat="1" ht="19.5" customHeight="1">
      <c r="A10" s="6">
        <v>2</v>
      </c>
      <c r="B10" s="25" t="s">
        <v>74</v>
      </c>
      <c r="C10" s="39">
        <v>4.7</v>
      </c>
      <c r="D10" s="7" t="s">
        <v>71</v>
      </c>
      <c r="E10" s="9">
        <v>36.26802</v>
      </c>
      <c r="F10" s="9">
        <v>28.703236388400001</v>
      </c>
      <c r="G10" s="9">
        <v>17.056849805999999</v>
      </c>
      <c r="H10" s="43">
        <f t="shared" si="0"/>
        <v>20.092265471879998</v>
      </c>
      <c r="I10" s="43">
        <f t="shared" si="1"/>
        <v>8.5284249029999994</v>
      </c>
      <c r="J10" s="43">
        <f t="shared" si="2"/>
        <v>9.067005</v>
      </c>
      <c r="K10" s="43">
        <f t="shared" si="3"/>
        <v>4.3054854582599997</v>
      </c>
      <c r="L10" s="43">
        <f t="shared" si="4"/>
        <v>9.067005</v>
      </c>
      <c r="M10" s="43">
        <f t="shared" si="5"/>
        <v>9.067005</v>
      </c>
      <c r="N10" s="43">
        <f t="shared" si="6"/>
        <v>8.5284249029999994</v>
      </c>
      <c r="O10" s="43">
        <f t="shared" si="7"/>
        <v>9.067005</v>
      </c>
      <c r="P10" s="43">
        <f t="shared" si="8"/>
        <v>4.3054854582599997</v>
      </c>
      <c r="Q10" s="44">
        <f t="shared" si="9"/>
        <v>36.26802</v>
      </c>
      <c r="R10" s="45">
        <f t="shared" si="10"/>
        <v>28.703236388399997</v>
      </c>
      <c r="S10" s="45">
        <f t="shared" si="11"/>
        <v>17.056849805999999</v>
      </c>
      <c r="T10" s="46">
        <f t="shared" si="12"/>
        <v>0</v>
      </c>
      <c r="U10" s="46">
        <f t="shared" si="12"/>
        <v>0</v>
      </c>
      <c r="V10" s="46">
        <f t="shared" si="12"/>
        <v>0</v>
      </c>
      <c r="W10" s="44">
        <f t="shared" si="13"/>
        <v>7.7165999999999997</v>
      </c>
      <c r="X10" s="44">
        <f t="shared" si="14"/>
        <v>6.1070715719999997</v>
      </c>
      <c r="Y10" s="44">
        <f t="shared" si="15"/>
        <v>3.6291169799999996</v>
      </c>
    </row>
    <row r="11" spans="1:25" s="10" customFormat="1">
      <c r="A11" s="6">
        <v>3</v>
      </c>
      <c r="B11" s="25">
        <v>1718</v>
      </c>
      <c r="C11" s="39">
        <v>4.4000000000000004</v>
      </c>
      <c r="D11" s="7" t="s">
        <v>61</v>
      </c>
      <c r="E11" s="9">
        <v>21.333826800000001</v>
      </c>
      <c r="F11" s="9">
        <v>5.570262177480001</v>
      </c>
      <c r="G11" s="9">
        <v>6.0801406379999996</v>
      </c>
      <c r="H11" s="43">
        <f t="shared" ref="H11:I12" si="16">+F11</f>
        <v>5.570262177480001</v>
      </c>
      <c r="I11" s="43">
        <f t="shared" si="16"/>
        <v>6.0801406379999996</v>
      </c>
      <c r="J11" s="43">
        <f t="shared" ref="J11:J12" si="17">+E11*0.15</f>
        <v>3.2000740200000002</v>
      </c>
      <c r="K11" s="43"/>
      <c r="L11" s="43">
        <f t="shared" ref="L11:L12" si="18">+E11*0.35</f>
        <v>7.4668393799999997</v>
      </c>
      <c r="M11" s="43">
        <f t="shared" ref="M11:M12" si="19">+E11*0.35</f>
        <v>7.4668393799999997</v>
      </c>
      <c r="N11" s="43"/>
      <c r="O11" s="43">
        <f t="shared" ref="O11:O12" si="20">+E11*0.15</f>
        <v>3.2000740200000002</v>
      </c>
      <c r="P11" s="43"/>
      <c r="Q11" s="44">
        <f t="shared" si="9"/>
        <v>21.333826800000001</v>
      </c>
      <c r="R11" s="45">
        <f t="shared" si="10"/>
        <v>5.570262177480001</v>
      </c>
      <c r="S11" s="45">
        <f t="shared" si="11"/>
        <v>6.0801406379999996</v>
      </c>
      <c r="T11" s="46">
        <f t="shared" si="12"/>
        <v>0</v>
      </c>
      <c r="U11" s="46">
        <f t="shared" si="12"/>
        <v>0</v>
      </c>
      <c r="V11" s="46">
        <f t="shared" si="12"/>
        <v>0</v>
      </c>
      <c r="W11" s="44">
        <f t="shared" si="13"/>
        <v>4.8485969999999998</v>
      </c>
      <c r="X11" s="44">
        <f t="shared" si="14"/>
        <v>1.2659686767</v>
      </c>
      <c r="Y11" s="44">
        <f t="shared" si="15"/>
        <v>1.3818501449999998</v>
      </c>
    </row>
    <row r="12" spans="1:25">
      <c r="A12" s="6">
        <v>4</v>
      </c>
      <c r="B12" s="25" t="s">
        <v>75</v>
      </c>
      <c r="C12" s="39">
        <v>5.9</v>
      </c>
      <c r="D12" s="7" t="s">
        <v>61</v>
      </c>
      <c r="E12" s="9">
        <v>28.606722300000001</v>
      </c>
      <c r="F12" s="9">
        <v>18.300578456979</v>
      </c>
      <c r="G12" s="9">
        <v>8.9304465676139984</v>
      </c>
      <c r="H12" s="43">
        <f t="shared" si="16"/>
        <v>18.300578456979</v>
      </c>
      <c r="I12" s="43">
        <f t="shared" si="16"/>
        <v>8.9304465676139984</v>
      </c>
      <c r="J12" s="43">
        <f t="shared" si="17"/>
        <v>4.2910083449999998</v>
      </c>
      <c r="K12" s="43"/>
      <c r="L12" s="43">
        <f t="shared" si="18"/>
        <v>10.012352804999999</v>
      </c>
      <c r="M12" s="43">
        <f t="shared" si="19"/>
        <v>10.012352804999999</v>
      </c>
      <c r="N12" s="43"/>
      <c r="O12" s="43">
        <f t="shared" si="20"/>
        <v>4.2910083449999998</v>
      </c>
      <c r="P12" s="43"/>
      <c r="Q12" s="44">
        <f t="shared" si="9"/>
        <v>28.606722300000001</v>
      </c>
      <c r="R12" s="45">
        <f t="shared" si="10"/>
        <v>18.300578456979</v>
      </c>
      <c r="S12" s="45">
        <f t="shared" si="11"/>
        <v>8.9304465676139984</v>
      </c>
      <c r="T12" s="46">
        <f t="shared" si="12"/>
        <v>0</v>
      </c>
      <c r="U12" s="46">
        <f t="shared" si="12"/>
        <v>0</v>
      </c>
      <c r="V12" s="46">
        <f t="shared" si="12"/>
        <v>0</v>
      </c>
      <c r="W12" s="44">
        <f t="shared" si="13"/>
        <v>4.8485969999999998</v>
      </c>
      <c r="X12" s="44">
        <f t="shared" si="14"/>
        <v>3.1017929588099999</v>
      </c>
      <c r="Y12" s="44">
        <f t="shared" si="15"/>
        <v>1.5136350114599997</v>
      </c>
    </row>
    <row r="13" spans="1:25" ht="15" customHeight="1">
      <c r="A13" s="6">
        <v>5</v>
      </c>
      <c r="B13" s="25">
        <v>1813</v>
      </c>
      <c r="C13" s="39">
        <v>2.4</v>
      </c>
      <c r="D13" s="7" t="s">
        <v>71</v>
      </c>
      <c r="E13" s="9">
        <v>18.519839999999999</v>
      </c>
      <c r="F13" s="9">
        <v>11.366736998399999</v>
      </c>
      <c r="G13" s="9">
        <v>9.4914179999999977</v>
      </c>
      <c r="H13" s="43">
        <f t="shared" ref="H13:H14" si="21">+F13*0.7</f>
        <v>7.9567158988799989</v>
      </c>
      <c r="I13" s="43">
        <f t="shared" ref="I13:I14" si="22">+G13*0.5</f>
        <v>4.7457089999999988</v>
      </c>
      <c r="J13" s="43">
        <f t="shared" ref="J13:J14" si="23">+E13*0.25</f>
        <v>4.6299599999999996</v>
      </c>
      <c r="K13" s="43">
        <f t="shared" ref="K13:K14" si="24">+F13*0.15</f>
        <v>1.7050105497599997</v>
      </c>
      <c r="L13" s="43">
        <f t="shared" ref="L13:L14" si="25">+E13*0.25</f>
        <v>4.6299599999999996</v>
      </c>
      <c r="M13" s="43">
        <f t="shared" ref="M13:M14" si="26">+E13*0.25</f>
        <v>4.6299599999999996</v>
      </c>
      <c r="N13" s="43">
        <f t="shared" ref="N13:N14" si="27">+G13*0.5</f>
        <v>4.7457089999999988</v>
      </c>
      <c r="O13" s="43">
        <f t="shared" ref="O13:O14" si="28">+E13*0.25</f>
        <v>4.6299599999999996</v>
      </c>
      <c r="P13" s="43">
        <f t="shared" ref="P13:P14" si="29">+F13*0.15</f>
        <v>1.7050105497599997</v>
      </c>
      <c r="Q13" s="44">
        <f t="shared" ref="Q13:Q16" si="30">+O13+M13+L13+J13</f>
        <v>18.519839999999999</v>
      </c>
      <c r="R13" s="45">
        <f t="shared" ref="R13:R16" si="31">+P13+K13+H13</f>
        <v>11.366736998399999</v>
      </c>
      <c r="S13" s="45">
        <f t="shared" ref="S13:S16" si="32">+N13+I13</f>
        <v>9.4914179999999977</v>
      </c>
      <c r="T13" s="46">
        <f t="shared" ref="T13:V16" si="33">+Q13-E13</f>
        <v>0</v>
      </c>
      <c r="U13" s="46">
        <f t="shared" si="33"/>
        <v>0</v>
      </c>
      <c r="V13" s="46">
        <f t="shared" si="33"/>
        <v>0</v>
      </c>
      <c r="W13" s="44">
        <f t="shared" ref="W13:W16" si="34">+E13/C13</f>
        <v>7.7165999999999997</v>
      </c>
      <c r="X13" s="44">
        <f t="shared" ref="X13:X16" si="35">+F13/C13</f>
        <v>4.7361404159999996</v>
      </c>
      <c r="Y13" s="44">
        <f t="shared" ref="Y13:Y16" si="36">+G13/C13</f>
        <v>3.954757499999999</v>
      </c>
    </row>
    <row r="14" spans="1:25">
      <c r="A14" s="6">
        <v>6</v>
      </c>
      <c r="B14" s="25">
        <v>1649</v>
      </c>
      <c r="C14" s="39">
        <v>3.4</v>
      </c>
      <c r="D14" s="7" t="s">
        <v>71</v>
      </c>
      <c r="E14" s="9">
        <v>26.236439999999998</v>
      </c>
      <c r="F14" s="9">
        <v>22.020244092000002</v>
      </c>
      <c r="G14" s="9">
        <v>13.241531267999999</v>
      </c>
      <c r="H14" s="43">
        <f t="shared" si="21"/>
        <v>15.414170864400001</v>
      </c>
      <c r="I14" s="43">
        <f t="shared" si="22"/>
        <v>6.6207656339999996</v>
      </c>
      <c r="J14" s="43">
        <f t="shared" si="23"/>
        <v>6.5591099999999996</v>
      </c>
      <c r="K14" s="43">
        <f t="shared" si="24"/>
        <v>3.3030366138000002</v>
      </c>
      <c r="L14" s="43">
        <f t="shared" si="25"/>
        <v>6.5591099999999996</v>
      </c>
      <c r="M14" s="43">
        <f t="shared" si="26"/>
        <v>6.5591099999999996</v>
      </c>
      <c r="N14" s="43">
        <f t="shared" si="27"/>
        <v>6.6207656339999996</v>
      </c>
      <c r="O14" s="43">
        <f t="shared" si="28"/>
        <v>6.5591099999999996</v>
      </c>
      <c r="P14" s="43">
        <f t="shared" si="29"/>
        <v>3.3030366138000002</v>
      </c>
      <c r="Q14" s="44">
        <f t="shared" si="30"/>
        <v>26.236439999999998</v>
      </c>
      <c r="R14" s="45">
        <f t="shared" si="31"/>
        <v>22.020244092000002</v>
      </c>
      <c r="S14" s="45">
        <f t="shared" si="32"/>
        <v>13.241531267999999</v>
      </c>
      <c r="T14" s="46">
        <f t="shared" si="33"/>
        <v>0</v>
      </c>
      <c r="U14" s="46">
        <f t="shared" si="33"/>
        <v>0</v>
      </c>
      <c r="V14" s="46">
        <f t="shared" si="33"/>
        <v>0</v>
      </c>
      <c r="W14" s="44">
        <f t="shared" si="34"/>
        <v>7.7165999999999997</v>
      </c>
      <c r="X14" s="44">
        <f t="shared" si="35"/>
        <v>6.4765423800000006</v>
      </c>
      <c r="Y14" s="44">
        <f t="shared" si="36"/>
        <v>3.8945680199999999</v>
      </c>
    </row>
    <row r="15" spans="1:25">
      <c r="A15" s="6">
        <v>7</v>
      </c>
      <c r="B15" s="25">
        <v>1688</v>
      </c>
      <c r="C15" s="39">
        <v>4.2</v>
      </c>
      <c r="D15" s="7" t="s">
        <v>61</v>
      </c>
      <c r="E15" s="9">
        <v>20.364107400000002</v>
      </c>
      <c r="F15" s="9">
        <v>14.109475453163999</v>
      </c>
      <c r="G15" s="9">
        <v>5.7274052062499994</v>
      </c>
      <c r="H15" s="43">
        <f t="shared" ref="H15:I16" si="37">+F15</f>
        <v>14.109475453163999</v>
      </c>
      <c r="I15" s="43">
        <f t="shared" si="37"/>
        <v>5.7274052062499994</v>
      </c>
      <c r="J15" s="43">
        <f t="shared" ref="J15:J16" si="38">+E15*0.15</f>
        <v>3.05461611</v>
      </c>
      <c r="K15" s="43"/>
      <c r="L15" s="43">
        <f t="shared" ref="L15:L16" si="39">+E15*0.35</f>
        <v>7.1274375900000004</v>
      </c>
      <c r="M15" s="43">
        <f t="shared" ref="M15:M16" si="40">+E15*0.35</f>
        <v>7.1274375900000004</v>
      </c>
      <c r="N15" s="43"/>
      <c r="O15" s="43">
        <f t="shared" ref="O15:O16" si="41">+E15*0.15</f>
        <v>3.05461611</v>
      </c>
      <c r="P15" s="43"/>
      <c r="Q15" s="44">
        <f t="shared" si="30"/>
        <v>20.364107400000002</v>
      </c>
      <c r="R15" s="45">
        <f t="shared" si="31"/>
        <v>14.109475453163999</v>
      </c>
      <c r="S15" s="45">
        <f t="shared" si="32"/>
        <v>5.7274052062499994</v>
      </c>
      <c r="T15" s="46">
        <f t="shared" si="33"/>
        <v>0</v>
      </c>
      <c r="U15" s="46">
        <f t="shared" si="33"/>
        <v>0</v>
      </c>
      <c r="V15" s="46">
        <f t="shared" si="33"/>
        <v>0</v>
      </c>
      <c r="W15" s="44">
        <f t="shared" si="34"/>
        <v>4.8485969999999998</v>
      </c>
      <c r="X15" s="44">
        <f t="shared" si="35"/>
        <v>3.3593989174199996</v>
      </c>
      <c r="Y15" s="44">
        <f t="shared" si="36"/>
        <v>1.3636679062499999</v>
      </c>
    </row>
    <row r="16" spans="1:25">
      <c r="A16" s="6">
        <v>8</v>
      </c>
      <c r="B16" s="25">
        <v>1776</v>
      </c>
      <c r="C16" s="39">
        <v>4.0999999999999996</v>
      </c>
      <c r="D16" s="7" t="s">
        <v>61</v>
      </c>
      <c r="E16" s="9">
        <v>19.879247699999997</v>
      </c>
      <c r="F16" s="9">
        <v>13.129249143464996</v>
      </c>
      <c r="G16" s="9">
        <v>5.4234563575139987</v>
      </c>
      <c r="H16" s="43">
        <f t="shared" si="37"/>
        <v>13.129249143464996</v>
      </c>
      <c r="I16" s="43">
        <f t="shared" si="37"/>
        <v>5.4234563575139987</v>
      </c>
      <c r="J16" s="43">
        <f t="shared" si="38"/>
        <v>2.9818871549999995</v>
      </c>
      <c r="K16" s="43"/>
      <c r="L16" s="43">
        <f t="shared" si="39"/>
        <v>6.9577366949999986</v>
      </c>
      <c r="M16" s="43">
        <f t="shared" si="40"/>
        <v>6.9577366949999986</v>
      </c>
      <c r="N16" s="43"/>
      <c r="O16" s="43">
        <f t="shared" si="41"/>
        <v>2.9818871549999995</v>
      </c>
      <c r="P16" s="43"/>
      <c r="Q16" s="44">
        <f t="shared" si="30"/>
        <v>19.879247699999997</v>
      </c>
      <c r="R16" s="45">
        <f t="shared" si="31"/>
        <v>13.129249143464996</v>
      </c>
      <c r="S16" s="45">
        <f t="shared" si="32"/>
        <v>5.4234563575139987</v>
      </c>
      <c r="T16" s="46">
        <f t="shared" si="33"/>
        <v>0</v>
      </c>
      <c r="U16" s="46">
        <f t="shared" si="33"/>
        <v>0</v>
      </c>
      <c r="V16" s="46">
        <f t="shared" si="33"/>
        <v>0</v>
      </c>
      <c r="W16" s="44">
        <f t="shared" si="34"/>
        <v>4.8485969999999998</v>
      </c>
      <c r="X16" s="44">
        <f t="shared" si="35"/>
        <v>3.2022558886499994</v>
      </c>
      <c r="Y16" s="44">
        <f t="shared" si="36"/>
        <v>1.3227942335399998</v>
      </c>
    </row>
    <row r="17" spans="1:32">
      <c r="A17" s="6">
        <v>9</v>
      </c>
      <c r="B17" s="25" t="s">
        <v>76</v>
      </c>
      <c r="C17" s="39">
        <v>5</v>
      </c>
      <c r="D17" s="7" t="s">
        <v>71</v>
      </c>
      <c r="E17" s="9">
        <v>38.582999999999998</v>
      </c>
      <c r="F17" s="9">
        <v>28.982392109999996</v>
      </c>
      <c r="G17" s="9">
        <v>17.844637500000001</v>
      </c>
      <c r="H17" s="43">
        <f t="shared" ref="H17:H18" si="42">+F17*0.7</f>
        <v>20.287674476999996</v>
      </c>
      <c r="I17" s="43">
        <f t="shared" ref="I17:I18" si="43">+G17*0.5</f>
        <v>8.9223187500000005</v>
      </c>
      <c r="J17" s="43">
        <f t="shared" ref="J17:J18" si="44">+E17*0.25</f>
        <v>9.6457499999999996</v>
      </c>
      <c r="K17" s="43">
        <f t="shared" ref="K17:K18" si="45">+F17*0.15</f>
        <v>4.347358816499999</v>
      </c>
      <c r="L17" s="43">
        <f t="shared" ref="L17:L18" si="46">+E17*0.25</f>
        <v>9.6457499999999996</v>
      </c>
      <c r="M17" s="43">
        <f t="shared" ref="M17:M18" si="47">+E17*0.25</f>
        <v>9.6457499999999996</v>
      </c>
      <c r="N17" s="43">
        <f t="shared" ref="N17:N18" si="48">+G17*0.5</f>
        <v>8.9223187500000005</v>
      </c>
      <c r="O17" s="43">
        <f t="shared" ref="O17:O18" si="49">+E17*0.25</f>
        <v>9.6457499999999996</v>
      </c>
      <c r="P17" s="43">
        <f t="shared" ref="P17:P18" si="50">+F17*0.15</f>
        <v>4.347358816499999</v>
      </c>
      <c r="Q17" s="44">
        <f t="shared" ref="Q17:Q19" si="51">+O17+M17+L17+J17</f>
        <v>38.582999999999998</v>
      </c>
      <c r="R17" s="45">
        <f t="shared" ref="R17:R19" si="52">+P17+K17+H17</f>
        <v>28.982392109999992</v>
      </c>
      <c r="S17" s="45">
        <f t="shared" ref="S17:S19" si="53">+N17+I17</f>
        <v>17.844637500000001</v>
      </c>
      <c r="T17" s="46">
        <f t="shared" ref="T17:V19" si="54">+Q17-E17</f>
        <v>0</v>
      </c>
      <c r="U17" s="46">
        <f t="shared" si="54"/>
        <v>0</v>
      </c>
      <c r="V17" s="46">
        <f t="shared" si="54"/>
        <v>0</v>
      </c>
      <c r="W17" s="44">
        <f t="shared" ref="W17:W19" si="55">+E17/C17</f>
        <v>7.7165999999999997</v>
      </c>
      <c r="X17" s="44">
        <f t="shared" ref="X17:X19" si="56">+F17/C17</f>
        <v>5.796478421999999</v>
      </c>
      <c r="Y17" s="44">
        <f t="shared" ref="Y17:Y19" si="57">+G17/C17</f>
        <v>3.5689275</v>
      </c>
    </row>
    <row r="18" spans="1:32">
      <c r="A18" s="6">
        <v>10</v>
      </c>
      <c r="B18" s="25" t="s">
        <v>76</v>
      </c>
      <c r="C18" s="39">
        <v>2.7</v>
      </c>
      <c r="D18" s="7" t="s">
        <v>71</v>
      </c>
      <c r="E18" s="9">
        <v>20.834820000000001</v>
      </c>
      <c r="F18" s="9">
        <v>18.2304675</v>
      </c>
      <c r="G18" s="9">
        <v>10.254898404000002</v>
      </c>
      <c r="H18" s="43">
        <f t="shared" si="42"/>
        <v>12.761327249999999</v>
      </c>
      <c r="I18" s="43">
        <f t="shared" si="43"/>
        <v>5.1274492020000011</v>
      </c>
      <c r="J18" s="43">
        <f t="shared" si="44"/>
        <v>5.2087050000000001</v>
      </c>
      <c r="K18" s="43">
        <f t="shared" si="45"/>
        <v>2.7345701249999999</v>
      </c>
      <c r="L18" s="43">
        <f t="shared" si="46"/>
        <v>5.2087050000000001</v>
      </c>
      <c r="M18" s="43">
        <f t="shared" si="47"/>
        <v>5.2087050000000001</v>
      </c>
      <c r="N18" s="43">
        <f t="shared" si="48"/>
        <v>5.1274492020000011</v>
      </c>
      <c r="O18" s="43">
        <f t="shared" si="49"/>
        <v>5.2087050000000001</v>
      </c>
      <c r="P18" s="43">
        <f t="shared" si="50"/>
        <v>2.7345701249999999</v>
      </c>
      <c r="Q18" s="44">
        <f t="shared" si="51"/>
        <v>20.834820000000001</v>
      </c>
      <c r="R18" s="45">
        <f t="shared" si="52"/>
        <v>18.2304675</v>
      </c>
      <c r="S18" s="45">
        <f t="shared" si="53"/>
        <v>10.254898404000002</v>
      </c>
      <c r="T18" s="46">
        <f t="shared" si="54"/>
        <v>0</v>
      </c>
      <c r="U18" s="46">
        <f t="shared" si="54"/>
        <v>0</v>
      </c>
      <c r="V18" s="46">
        <f t="shared" si="54"/>
        <v>0</v>
      </c>
      <c r="W18" s="44">
        <f t="shared" si="55"/>
        <v>7.7165999999999997</v>
      </c>
      <c r="X18" s="44">
        <f t="shared" si="56"/>
        <v>6.7520249999999997</v>
      </c>
      <c r="Y18" s="44">
        <f t="shared" si="57"/>
        <v>3.7981105200000007</v>
      </c>
    </row>
    <row r="19" spans="1:32">
      <c r="A19" s="6">
        <v>11</v>
      </c>
      <c r="B19" s="25">
        <v>1777</v>
      </c>
      <c r="C19" s="39">
        <v>2.5</v>
      </c>
      <c r="D19" s="7" t="s">
        <v>61</v>
      </c>
      <c r="E19" s="9">
        <v>12.121492499999999</v>
      </c>
      <c r="F19" s="9">
        <v>8.6343815375999995</v>
      </c>
      <c r="G19" s="9">
        <v>3.681903346875</v>
      </c>
      <c r="H19" s="43">
        <f t="shared" ref="H19:I19" si="58">+F19</f>
        <v>8.6343815375999995</v>
      </c>
      <c r="I19" s="43">
        <f t="shared" si="58"/>
        <v>3.681903346875</v>
      </c>
      <c r="J19" s="43">
        <f t="shared" ref="J19" si="59">+E19*0.15</f>
        <v>1.8182238749999997</v>
      </c>
      <c r="K19" s="43"/>
      <c r="L19" s="43">
        <f t="shared" ref="L19" si="60">+E19*0.35</f>
        <v>4.2425223749999992</v>
      </c>
      <c r="M19" s="43">
        <f t="shared" ref="M19" si="61">+E19*0.35</f>
        <v>4.2425223749999992</v>
      </c>
      <c r="N19" s="43"/>
      <c r="O19" s="43">
        <f t="shared" ref="O19" si="62">+E19*0.15</f>
        <v>1.8182238749999997</v>
      </c>
      <c r="P19" s="43"/>
      <c r="Q19" s="44">
        <f t="shared" si="51"/>
        <v>12.121492499999997</v>
      </c>
      <c r="R19" s="45">
        <f t="shared" si="52"/>
        <v>8.6343815375999995</v>
      </c>
      <c r="S19" s="45">
        <f t="shared" si="53"/>
        <v>3.681903346875</v>
      </c>
      <c r="T19" s="46">
        <f t="shared" si="54"/>
        <v>0</v>
      </c>
      <c r="U19" s="46">
        <f t="shared" si="54"/>
        <v>0</v>
      </c>
      <c r="V19" s="46">
        <f t="shared" si="54"/>
        <v>0</v>
      </c>
      <c r="W19" s="44">
        <f t="shared" si="55"/>
        <v>4.8485969999999998</v>
      </c>
      <c r="X19" s="44">
        <f t="shared" si="56"/>
        <v>3.45375261504</v>
      </c>
      <c r="Y19" s="44">
        <f t="shared" si="57"/>
        <v>1.47276133875</v>
      </c>
    </row>
    <row r="20" spans="1:32" s="10" customFormat="1">
      <c r="A20" s="6">
        <v>12</v>
      </c>
      <c r="B20" s="25">
        <v>1816</v>
      </c>
      <c r="C20" s="39">
        <v>3.7</v>
      </c>
      <c r="D20" s="7" t="s">
        <v>71</v>
      </c>
      <c r="E20" s="9">
        <v>28.55142</v>
      </c>
      <c r="F20" s="9">
        <v>10.0449605844</v>
      </c>
      <c r="G20" s="9">
        <v>13.294968723</v>
      </c>
      <c r="H20" s="43">
        <f t="shared" ref="H20" si="63">+F20*0.7</f>
        <v>7.0314724090799992</v>
      </c>
      <c r="I20" s="43">
        <f t="shared" ref="I20" si="64">+G20*0.5</f>
        <v>6.6474843615000001</v>
      </c>
      <c r="J20" s="43">
        <f t="shared" ref="J20" si="65">+E20*0.25</f>
        <v>7.1378550000000001</v>
      </c>
      <c r="K20" s="43">
        <f t="shared" ref="K20" si="66">+F20*0.15</f>
        <v>1.50674408766</v>
      </c>
      <c r="L20" s="43">
        <f t="shared" ref="L20" si="67">+E20*0.25</f>
        <v>7.1378550000000001</v>
      </c>
      <c r="M20" s="43">
        <f t="shared" ref="M20" si="68">+E20*0.25</f>
        <v>7.1378550000000001</v>
      </c>
      <c r="N20" s="43">
        <f t="shared" ref="N20" si="69">+G20*0.5</f>
        <v>6.6474843615000001</v>
      </c>
      <c r="O20" s="43">
        <f t="shared" ref="O20" si="70">+E20*0.25</f>
        <v>7.1378550000000001</v>
      </c>
      <c r="P20" s="43">
        <f t="shared" ref="P20" si="71">+F20*0.15</f>
        <v>1.50674408766</v>
      </c>
      <c r="Q20" s="44">
        <f t="shared" ref="Q20" si="72">+O20+M20+L20+J20</f>
        <v>28.55142</v>
      </c>
      <c r="R20" s="45">
        <f t="shared" ref="R20" si="73">+P20+K20+H20</f>
        <v>10.044960584399998</v>
      </c>
      <c r="S20" s="45">
        <f t="shared" ref="S20" si="74">+N20+I20</f>
        <v>13.294968723</v>
      </c>
      <c r="T20" s="46">
        <f t="shared" ref="T20:V20" si="75">+Q20-E20</f>
        <v>0</v>
      </c>
      <c r="U20" s="46">
        <f t="shared" si="75"/>
        <v>0</v>
      </c>
      <c r="V20" s="46">
        <f t="shared" si="75"/>
        <v>0</v>
      </c>
      <c r="W20" s="44">
        <f t="shared" ref="W20" si="76">+E20/C20</f>
        <v>7.7165999999999997</v>
      </c>
      <c r="X20" s="44">
        <f t="shared" ref="X20" si="77">+F20/C20</f>
        <v>2.7148542120000001</v>
      </c>
      <c r="Y20" s="44">
        <f t="shared" ref="Y20" si="78">+G20/C20</f>
        <v>3.5932347899999999</v>
      </c>
    </row>
    <row r="21" spans="1:32" s="10" customFormat="1">
      <c r="A21" s="1"/>
      <c r="B21" s="1"/>
      <c r="F21" s="1"/>
      <c r="G21" s="1"/>
      <c r="H21" s="1"/>
      <c r="I21" s="1"/>
      <c r="J21" s="1"/>
      <c r="K21" s="1"/>
      <c r="L21" s="1"/>
      <c r="M21" s="1"/>
    </row>
    <row r="22" spans="1:32" s="10" customFormat="1">
      <c r="A22" s="1"/>
      <c r="B22" s="1"/>
      <c r="C22" s="34">
        <f>SUM(C9:C20)</f>
        <v>46.800000000000004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32" s="10" customForma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32" s="10" customForma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32" s="10" customFormat="1">
      <c r="A25" s="1"/>
      <c r="B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32" s="10" customFormat="1">
      <c r="A26" s="1"/>
      <c r="B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32" s="10" customFormat="1">
      <c r="A27" s="1"/>
      <c r="B27" s="1"/>
      <c r="C27" s="1"/>
      <c r="D27" s="1"/>
      <c r="E27" s="1"/>
      <c r="F27" s="12"/>
      <c r="G27" s="1"/>
      <c r="H27" s="12"/>
      <c r="J27" s="12"/>
      <c r="K27" s="1"/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0" customFormat="1" ht="18" customHeight="1">
      <c r="A28" s="1"/>
      <c r="B28" s="1"/>
      <c r="C28" s="1"/>
      <c r="D28" s="1"/>
      <c r="E28" s="1"/>
      <c r="F28" s="12"/>
      <c r="G28" s="1"/>
      <c r="H28" s="12"/>
      <c r="J28" s="12"/>
      <c r="K28" s="1"/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s="10" customFormat="1" ht="16.5" customHeight="1">
      <c r="A29" s="1"/>
      <c r="B29" s="1"/>
      <c r="C29" s="1"/>
      <c r="D29" s="1"/>
      <c r="E29" s="1"/>
      <c r="F29" s="12"/>
      <c r="G29" s="1"/>
      <c r="H29" s="12"/>
      <c r="J29" s="12"/>
      <c r="K29" s="1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s="10" customFormat="1">
      <c r="A30" s="1"/>
      <c r="B30" s="1"/>
      <c r="C30" s="1"/>
      <c r="D30" s="1"/>
      <c r="E30" s="1"/>
      <c r="F30" s="12"/>
      <c r="G30" s="1"/>
      <c r="H30" s="12"/>
      <c r="J30" s="12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1"/>
      <c r="D31" s="1"/>
      <c r="E31" s="1"/>
      <c r="F31" s="12"/>
      <c r="G31" s="1"/>
      <c r="H31" s="12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1"/>
      <c r="F32" s="12"/>
      <c r="G32" s="1"/>
      <c r="H32" s="12"/>
      <c r="J32" s="12"/>
      <c r="K32" s="1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/>
      <c r="F33" s="12"/>
      <c r="G33" s="1"/>
      <c r="H33" s="12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C34" s="1"/>
      <c r="D34" s="1"/>
      <c r="E34" s="1"/>
      <c r="F34" s="12"/>
      <c r="G34" s="1"/>
      <c r="H34" s="12"/>
      <c r="J34" s="12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C35" s="1"/>
      <c r="D35" s="1"/>
      <c r="E35" s="1"/>
      <c r="F35" s="12"/>
      <c r="G35" s="1"/>
      <c r="H35" s="12"/>
      <c r="J35" s="12"/>
      <c r="K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G64" s="13"/>
      <c r="H64" s="1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G65" s="13"/>
      <c r="H65" s="1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G66" s="13"/>
      <c r="H66" s="1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G67" s="13"/>
      <c r="H67" s="1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G68" s="13"/>
      <c r="H68" s="1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G69" s="13"/>
      <c r="H69" s="1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G70" s="13"/>
      <c r="H70" s="1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G71" s="13"/>
      <c r="H71" s="1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G72" s="13"/>
      <c r="H72" s="1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G73" s="13"/>
      <c r="H73" s="1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G74" s="13"/>
      <c r="H74" s="1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G75" s="13"/>
      <c r="H75" s="1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G76" s="13"/>
      <c r="H76" s="1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15">
    <mergeCell ref="E6:G6"/>
    <mergeCell ref="E7:E8"/>
    <mergeCell ref="F7:F8"/>
    <mergeCell ref="G7:G8"/>
    <mergeCell ref="H6:P6"/>
    <mergeCell ref="H7:I7"/>
    <mergeCell ref="M7:N7"/>
    <mergeCell ref="O7:P7"/>
    <mergeCell ref="A1:X1"/>
    <mergeCell ref="A2:X2"/>
    <mergeCell ref="A3:X3"/>
    <mergeCell ref="A6:A8"/>
    <mergeCell ref="B6:B8"/>
    <mergeCell ref="C6:C8"/>
    <mergeCell ref="D6:D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Жадвал</vt:lpstr>
      <vt:lpstr>3.</vt:lpstr>
      <vt:lpstr>4</vt:lpstr>
      <vt:lpstr>'4'!Заголовки_для_печати</vt:lpstr>
      <vt:lpstr>Жадвал!Заголовки_для_печати</vt:lpstr>
      <vt:lpstr>'3.'!Область_печати</vt:lpstr>
      <vt:lpstr>'4'!Область_печати</vt:lpstr>
      <vt:lpstr>Жадвал!Область_печати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2022-12-19T06:44:24Z</cp:lastPrinted>
  <dcterms:created xsi:type="dcterms:W3CDTF">2021-12-28T07:29:34Z</dcterms:created>
  <dcterms:modified xsi:type="dcterms:W3CDTF">2023-04-11T16:29:31Z</dcterms:modified>
</cp:coreProperties>
</file>