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Тошлоқ\Араббой Тухтабой\Тухтаназар ота файз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7" r:id="rId3"/>
  </sheets>
  <externalReferences>
    <externalReference r:id="rId4"/>
  </externalReference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5" i="7" l="1"/>
  <c r="X15" i="7"/>
  <c r="W15" i="7"/>
  <c r="R15" i="7"/>
  <c r="U15" i="7" s="1"/>
  <c r="P15" i="7"/>
  <c r="O15" i="7"/>
  <c r="Q15" i="7" s="1"/>
  <c r="T15" i="7" s="1"/>
  <c r="N15" i="7"/>
  <c r="S15" i="7" s="1"/>
  <c r="V15" i="7" s="1"/>
  <c r="M15" i="7"/>
  <c r="L15" i="7"/>
  <c r="K15" i="7"/>
  <c r="J15" i="7"/>
  <c r="I15" i="7"/>
  <c r="H15" i="7"/>
  <c r="Y14" i="7"/>
  <c r="X14" i="7"/>
  <c r="W14" i="7"/>
  <c r="P14" i="7"/>
  <c r="R14" i="7" s="1"/>
  <c r="U14" i="7" s="1"/>
  <c r="O14" i="7"/>
  <c r="N14" i="7"/>
  <c r="S14" i="7" s="1"/>
  <c r="V14" i="7" s="1"/>
  <c r="M14" i="7"/>
  <c r="Q14" i="7" s="1"/>
  <c r="T14" i="7" s="1"/>
  <c r="L14" i="7"/>
  <c r="K14" i="7"/>
  <c r="J14" i="7"/>
  <c r="I14" i="7"/>
  <c r="H14" i="7"/>
  <c r="Y13" i="7"/>
  <c r="X13" i="7"/>
  <c r="W13" i="7"/>
  <c r="R13" i="7"/>
  <c r="U13" i="7" s="1"/>
  <c r="P13" i="7"/>
  <c r="O13" i="7"/>
  <c r="Q13" i="7" s="1"/>
  <c r="T13" i="7" s="1"/>
  <c r="N13" i="7"/>
  <c r="S13" i="7" s="1"/>
  <c r="V13" i="7" s="1"/>
  <c r="M13" i="7"/>
  <c r="L13" i="7"/>
  <c r="K13" i="7"/>
  <c r="J13" i="7"/>
  <c r="I13" i="7"/>
  <c r="H13" i="7"/>
  <c r="Y12" i="7"/>
  <c r="X12" i="7"/>
  <c r="W12" i="7"/>
  <c r="P12" i="7"/>
  <c r="R12" i="7" s="1"/>
  <c r="U12" i="7" s="1"/>
  <c r="O12" i="7"/>
  <c r="N12" i="7"/>
  <c r="S12" i="7" s="1"/>
  <c r="V12" i="7" s="1"/>
  <c r="M12" i="7"/>
  <c r="Q12" i="7" s="1"/>
  <c r="T12" i="7" s="1"/>
  <c r="L12" i="7"/>
  <c r="K12" i="7"/>
  <c r="J12" i="7"/>
  <c r="I12" i="7"/>
  <c r="H12" i="7"/>
  <c r="Y11" i="7"/>
  <c r="X11" i="7"/>
  <c r="W11" i="7"/>
  <c r="R11" i="7"/>
  <c r="U11" i="7" s="1"/>
  <c r="P11" i="7"/>
  <c r="O11" i="7"/>
  <c r="Q11" i="7" s="1"/>
  <c r="T11" i="7" s="1"/>
  <c r="N11" i="7"/>
  <c r="S11" i="7" s="1"/>
  <c r="V11" i="7" s="1"/>
  <c r="M11" i="7"/>
  <c r="L11" i="7"/>
  <c r="K11" i="7"/>
  <c r="J11" i="7"/>
  <c r="I11" i="7"/>
  <c r="H11" i="7"/>
  <c r="Y10" i="7"/>
  <c r="X10" i="7"/>
  <c r="W10" i="7"/>
  <c r="P10" i="7"/>
  <c r="R10" i="7" s="1"/>
  <c r="U10" i="7" s="1"/>
  <c r="O10" i="7"/>
  <c r="N10" i="7"/>
  <c r="S10" i="7" s="1"/>
  <c r="V10" i="7" s="1"/>
  <c r="M10" i="7"/>
  <c r="Q10" i="7" s="1"/>
  <c r="T10" i="7" s="1"/>
  <c r="L10" i="7"/>
  <c r="K10" i="7"/>
  <c r="J10" i="7"/>
  <c r="I10" i="7"/>
  <c r="H10" i="7"/>
  <c r="Y16" i="7"/>
  <c r="X16" i="7"/>
  <c r="W16" i="7"/>
  <c r="V16" i="7"/>
  <c r="S16" i="7"/>
  <c r="R16" i="7"/>
  <c r="U16" i="7" s="1"/>
  <c r="O16" i="7"/>
  <c r="Q16" i="7" s="1"/>
  <c r="T16" i="7" s="1"/>
  <c r="M16" i="7"/>
  <c r="L16" i="7"/>
  <c r="J16" i="7"/>
  <c r="I16" i="7"/>
  <c r="H16" i="7"/>
  <c r="Y9" i="7"/>
  <c r="X9" i="7"/>
  <c r="W9" i="7"/>
  <c r="U9" i="7"/>
  <c r="R9" i="7"/>
  <c r="Q9" i="7"/>
  <c r="T9" i="7" s="1"/>
  <c r="O9" i="7"/>
  <c r="M9" i="7"/>
  <c r="L9" i="7"/>
  <c r="J9" i="7"/>
  <c r="I9" i="7"/>
  <c r="S9" i="7" s="1"/>
  <c r="V9" i="7" s="1"/>
  <c r="H9" i="7"/>
  <c r="C18" i="7"/>
  <c r="I16" i="1"/>
  <c r="O16" i="1" s="1"/>
  <c r="R16" i="1" s="1"/>
  <c r="I15" i="1"/>
  <c r="I14" i="1"/>
  <c r="I13" i="1"/>
  <c r="I12" i="1"/>
  <c r="I11" i="1"/>
  <c r="I10" i="1"/>
  <c r="I9" i="1"/>
  <c r="F16" i="1"/>
  <c r="N16" i="1" s="1"/>
  <c r="Q16" i="1" s="1"/>
  <c r="F13" i="1"/>
  <c r="F11" i="1"/>
  <c r="F12" i="1"/>
  <c r="F10" i="1"/>
  <c r="F14" i="1"/>
  <c r="F9" i="1"/>
  <c r="C18" i="1"/>
  <c r="M16" i="1"/>
  <c r="P16" i="1"/>
  <c r="S16" i="1"/>
  <c r="U16" i="1" s="1"/>
  <c r="X16" i="1" s="1"/>
  <c r="T16" i="1" l="1"/>
  <c r="W16" i="1" s="1"/>
  <c r="V16" i="1"/>
  <c r="E19" i="1"/>
  <c r="E20" i="1" s="1"/>
  <c r="A21" i="2" l="1"/>
  <c r="A11" i="2"/>
  <c r="M11" i="1" l="1"/>
  <c r="O11" i="1" s="1"/>
  <c r="R11" i="1" s="1"/>
  <c r="N11" i="1"/>
  <c r="Q11" i="1" s="1"/>
  <c r="S11" i="1"/>
  <c r="U11" i="1" s="1"/>
  <c r="X11" i="1" s="1"/>
  <c r="M12" i="1"/>
  <c r="P12" i="1" s="1"/>
  <c r="N12" i="1"/>
  <c r="Q12" i="1" s="1"/>
  <c r="O12" i="1"/>
  <c r="R12" i="1" s="1"/>
  <c r="S12" i="1"/>
  <c r="U12" i="1" s="1"/>
  <c r="X12" i="1" s="1"/>
  <c r="T12" i="1"/>
  <c r="W12" i="1" s="1"/>
  <c r="M13" i="1"/>
  <c r="O13" i="1" s="1"/>
  <c r="R13" i="1" s="1"/>
  <c r="S13" i="1"/>
  <c r="U13" i="1" s="1"/>
  <c r="X13" i="1" s="1"/>
  <c r="T13" i="1"/>
  <c r="W13" i="1" s="1"/>
  <c r="M14" i="1"/>
  <c r="N14" i="1" s="1"/>
  <c r="Q14" i="1" s="1"/>
  <c r="S14" i="1"/>
  <c r="U14" i="1" s="1"/>
  <c r="X14" i="1" s="1"/>
  <c r="M15" i="1"/>
  <c r="O15" i="1" s="1"/>
  <c r="R15" i="1" s="1"/>
  <c r="N15" i="1"/>
  <c r="Q15" i="1" s="1"/>
  <c r="S15" i="1"/>
  <c r="U15" i="1" s="1"/>
  <c r="X15" i="1" s="1"/>
  <c r="P14" i="1" l="1"/>
  <c r="O14" i="1"/>
  <c r="R14" i="1" s="1"/>
  <c r="T15" i="1"/>
  <c r="W15" i="1" s="1"/>
  <c r="T14" i="1"/>
  <c r="W14" i="1" s="1"/>
  <c r="N13" i="1"/>
  <c r="Q13" i="1" s="1"/>
  <c r="T11" i="1"/>
  <c r="W11" i="1" s="1"/>
  <c r="P15" i="1"/>
  <c r="P13" i="1"/>
  <c r="P11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9" i="1" l="1"/>
  <c r="K20" i="1" s="1"/>
  <c r="M29" i="2" l="1"/>
  <c r="F9" i="2" l="1"/>
  <c r="B29" i="2"/>
  <c r="B19" i="2"/>
  <c r="L19" i="2" s="1"/>
  <c r="H19" i="1"/>
  <c r="H20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<sst xmlns="http://schemas.openxmlformats.org/spreadsheetml/2006/main" count="200" uniqueCount="76">
  <si>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</si>
  <si>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</si>
  <si>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</si>
  <si>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</si>
  <si>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</si>
  <si>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</si>
  <si>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</si>
  <si>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</si>
  <si>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</si>
  <si>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</si>
  <si>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</si>
  <si>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</si>
  <si>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</si>
  <si>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</si>
  <si>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</si>
  <si>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</si>
  <si>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</si>
  <si>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</si>
  <si>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</si>
  <si>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</si>
  <si>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</si>
  <si>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</si>
  <si>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</si>
  <si>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</si>
  <si>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</si>
  <si>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</si>
  <si>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</si>
  <si>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</si>
  <si>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</si>
  <si>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</si>
  <si>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</si>
  <si>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</si>
  <si>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</si>
  <si>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</si>
  <si>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</si>
  <si>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</si>
  <si>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</si>
  <si>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</si>
  <si>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</si>
  <si>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</si>
  <si>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</si>
  <si>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</si>
  <si>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</si>
  <si>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</si>
  <si>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</si>
  <si>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</si>
  <si>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</si>
  <si>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</si>
  <si>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</si>
  <si>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</si>
  <si>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</si>
  <si>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</si>
  <si>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</si>
  <si>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</si>
  <si>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</si>
  <si>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</si>
  <si>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</si>
  <si>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</si>
  <si>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</si>
  <si>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</si>
  <si>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</si>
  <si>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</si>
  <si>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</si>
  <si>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</si>
  <si>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</si>
  <si>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</si>
  <si>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</si>
  <si>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</si>
  <si>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</si>
  <si>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</si>
  <si>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</si>
  <si>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</si>
  <si>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Тошлоқ тумани Араббой Тухтабой худуди Тухтаназар ота файзи фермер хўжалиги томонидан суғорилиб экиладиган </t>
  </si>
  <si>
    <t>2027-2029</t>
  </si>
  <si>
    <t>пахта-ғалла</t>
  </si>
  <si>
    <t>2037-2038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</si>
</sst>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1081;&#1080;&#1083;\&#1040;&#1075;&#1088;&#1086;-&#1090;&#1072;&#1093;&#1083;&#1080;&#1083;\&#1092;&#1086;&#1089;&#1092;&#1086;&#1088;,%20&#1082;&#1072;&#1083;&#1080;&#1081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3)"/>
      <sheetName val="фосфор"/>
      <sheetName val="калий"/>
    </sheetNames>
    <sheetDataSet>
      <sheetData sheetId="0"/>
      <sheetData sheetId="1">
        <row r="2">
          <cell r="E2">
            <v>1.1583000000000001</v>
          </cell>
        </row>
        <row r="4">
          <cell r="B4">
            <v>1.2464</v>
          </cell>
        </row>
        <row r="9">
          <cell r="B9">
            <v>1.2387999999999999</v>
          </cell>
        </row>
        <row r="26">
          <cell r="B26">
            <v>1.2101555555555554</v>
          </cell>
        </row>
        <row r="51">
          <cell r="B51">
            <v>1.1675777777777778</v>
          </cell>
        </row>
        <row r="71">
          <cell r="E71">
            <v>0.9434555555555556</v>
          </cell>
        </row>
      </sheetData>
      <sheetData sheetId="2">
        <row r="18">
          <cell r="E18">
            <v>1.034375</v>
          </cell>
        </row>
        <row r="31">
          <cell r="E31">
            <v>1</v>
          </cell>
        </row>
        <row r="56">
          <cell r="E56">
            <v>0.9375</v>
          </cell>
        </row>
        <row r="58">
          <cell r="E58">
            <v>0.93437499999999996</v>
          </cell>
        </row>
        <row r="65">
          <cell r="E65">
            <v>0.91562500000000002</v>
          </cell>
        </row>
        <row r="77">
          <cell r="B77">
            <v>0.88749999999999996</v>
          </cell>
        </row>
        <row r="87">
          <cell r="B87">
            <v>0.86250000000000004</v>
          </cell>
        </row>
        <row r="89">
          <cell r="B89">
            <v>0.85624999999999996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60" t="s">
        <v>4</v>
      </c>
      <c r="B6" s="53" t="s">
        <v>5</v>
      </c>
      <c r="C6" s="53" t="s">
        <v>6</v>
      </c>
      <c r="D6" s="53" t="s">
        <v>7</v>
      </c>
      <c r="E6" s="53" t="s">
        <v>8</v>
      </c>
      <c r="F6" s="53" t="s">
        <v>9</v>
      </c>
      <c r="G6" s="61" t="s">
        <v>10</v>
      </c>
      <c r="H6" s="53" t="s">
        <v>11</v>
      </c>
      <c r="I6" s="53" t="s">
        <v>9</v>
      </c>
      <c r="J6" s="53" t="s">
        <v>12</v>
      </c>
      <c r="K6" s="53" t="s">
        <v>13</v>
      </c>
      <c r="L6" s="53" t="s">
        <v>14</v>
      </c>
      <c r="M6" s="60" t="s">
        <v>15</v>
      </c>
      <c r="N6" s="60"/>
      <c r="O6" s="60"/>
      <c r="P6" s="60" t="s">
        <v>16</v>
      </c>
      <c r="Q6" s="60"/>
      <c r="R6" s="60"/>
      <c r="S6" s="60" t="s">
        <v>15</v>
      </c>
      <c r="T6" s="60"/>
      <c r="U6" s="60"/>
      <c r="V6" s="60" t="s">
        <v>16</v>
      </c>
      <c r="W6" s="60"/>
      <c r="X6" s="60"/>
    </row>
    <row r="7" spans="1:33" ht="60" customHeight="1">
      <c r="A7" s="60"/>
      <c r="B7" s="53"/>
      <c r="C7" s="53"/>
      <c r="D7" s="53"/>
      <c r="E7" s="53"/>
      <c r="F7" s="53"/>
      <c r="G7" s="61"/>
      <c r="H7" s="53"/>
      <c r="I7" s="53"/>
      <c r="J7" s="53"/>
      <c r="K7" s="53"/>
      <c r="L7" s="53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60"/>
      <c r="B8" s="53"/>
      <c r="C8" s="53"/>
      <c r="D8" s="53"/>
      <c r="E8" s="53"/>
      <c r="F8" s="53"/>
      <c r="G8" s="61"/>
      <c r="H8" s="53"/>
      <c r="I8" s="53"/>
      <c r="J8" s="53"/>
      <c r="K8" s="53"/>
      <c r="L8" s="53"/>
      <c r="M8" s="5">
        <v>6</v>
      </c>
      <c r="N8" s="5"/>
      <c r="O8" s="6"/>
      <c r="P8" s="62" t="s">
        <v>20</v>
      </c>
      <c r="Q8" s="62"/>
      <c r="R8" s="62"/>
      <c r="S8" s="5">
        <v>3.77</v>
      </c>
      <c r="T8" s="5"/>
      <c r="U8" s="6"/>
      <c r="V8" s="62" t="s">
        <v>58</v>
      </c>
      <c r="W8" s="62"/>
      <c r="X8" s="62"/>
    </row>
    <row r="9" spans="1:33" s="10" customFormat="1">
      <c r="A9" s="6">
        <v>1</v>
      </c>
      <c r="B9" s="25">
        <v>2039</v>
      </c>
      <c r="C9" s="39">
        <v>6.6</v>
      </c>
      <c r="D9" s="7" t="s">
        <v>61</v>
      </c>
      <c r="E9" s="49">
        <v>25.9</v>
      </c>
      <c r="F9" s="50">
        <f>[1]фосфор!$E$71</f>
        <v>0.9434555555555556</v>
      </c>
      <c r="G9" s="32" t="s">
        <v>21</v>
      </c>
      <c r="H9" s="51">
        <v>136</v>
      </c>
      <c r="I9" s="50">
        <f>[1]калий!$E$18</f>
        <v>1.034375</v>
      </c>
      <c r="J9" s="32" t="s">
        <v>21</v>
      </c>
      <c r="K9" s="52">
        <v>1</v>
      </c>
      <c r="L9" s="32" t="s">
        <v>21</v>
      </c>
      <c r="M9" s="8">
        <f>+Y9*Z9</f>
        <v>7.7165999999999997</v>
      </c>
      <c r="N9" s="9">
        <f>M9*F9*0.7</f>
        <v>5.0961883979999998</v>
      </c>
      <c r="O9" s="9">
        <f>M9*I9*0.5</f>
        <v>3.9909290624999998</v>
      </c>
      <c r="P9" s="9">
        <f>M9*C9</f>
        <v>50.929559999999995</v>
      </c>
      <c r="Q9" s="9">
        <f>N9*C9</f>
        <v>33.634843426799996</v>
      </c>
      <c r="R9" s="9">
        <f>O9*C9</f>
        <v>26.340131812499997</v>
      </c>
      <c r="S9" s="9">
        <f>+AA9*Z9</f>
        <v>4.8485969999999998</v>
      </c>
      <c r="T9" s="9">
        <f>S9*F9*0.7</f>
        <v>3.2021050434099996</v>
      </c>
      <c r="U9" s="9">
        <f>S9*I9*0.3</f>
        <v>1.5045802565624999</v>
      </c>
      <c r="V9" s="9">
        <f>S9*C9</f>
        <v>32.000740199999996</v>
      </c>
      <c r="W9" s="9">
        <f>T9*C9</f>
        <v>21.133893286505995</v>
      </c>
      <c r="X9" s="9">
        <f>U9*C9</f>
        <v>9.9302296933124996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>
      <c r="A10" s="6">
        <v>2</v>
      </c>
      <c r="B10" s="25">
        <v>1962</v>
      </c>
      <c r="C10" s="39">
        <v>1.8</v>
      </c>
      <c r="D10" s="7" t="s">
        <v>71</v>
      </c>
      <c r="E10" s="49">
        <v>13.02</v>
      </c>
      <c r="F10" s="50">
        <f>[1]фосфор!$E$2</f>
        <v>1.1583000000000001</v>
      </c>
      <c r="G10" s="31" t="s">
        <v>55</v>
      </c>
      <c r="H10" s="51">
        <v>149</v>
      </c>
      <c r="I10" s="50">
        <f>[1]калий!$E$31</f>
        <v>1</v>
      </c>
      <c r="J10" s="32" t="s">
        <v>21</v>
      </c>
      <c r="K10" s="52">
        <v>1.9</v>
      </c>
      <c r="L10" s="30" t="s">
        <v>56</v>
      </c>
      <c r="M10" s="8">
        <f t="shared" ref="M10:M11" si="0">+Y10*Z10</f>
        <v>7.7165999999999997</v>
      </c>
      <c r="N10" s="9">
        <f t="shared" ref="N10:N11" si="1">M10*F10*0.7</f>
        <v>6.2566964459999994</v>
      </c>
      <c r="O10" s="9">
        <f t="shared" ref="O10:O11" si="2">M10*I10*0.5</f>
        <v>3.8582999999999998</v>
      </c>
      <c r="P10" s="9">
        <f t="shared" ref="P10:P11" si="3">M10*C10</f>
        <v>13.88988</v>
      </c>
      <c r="Q10" s="9">
        <f t="shared" ref="Q10:Q11" si="4">N10*C10</f>
        <v>11.2620536028</v>
      </c>
      <c r="R10" s="9">
        <f t="shared" ref="R10:R11" si="5">O10*C10</f>
        <v>6.9449399999999999</v>
      </c>
      <c r="S10" s="9">
        <f t="shared" ref="S10:S11" si="6">+AA10*Z10</f>
        <v>4.8485969999999998</v>
      </c>
      <c r="T10" s="9">
        <f t="shared" ref="T10:T11" si="7">S10*F10*0.7</f>
        <v>3.9312909335699997</v>
      </c>
      <c r="U10" s="9">
        <f t="shared" ref="U10:U11" si="8">S10*I10*0.3</f>
        <v>1.4545790999999999</v>
      </c>
      <c r="V10" s="9">
        <f t="shared" ref="V10:V11" si="9">S10*C10</f>
        <v>8.7274746000000007</v>
      </c>
      <c r="W10" s="9">
        <f t="shared" ref="W10:W11" si="10">T10*C10</f>
        <v>7.0763236804259995</v>
      </c>
      <c r="X10" s="9">
        <f t="shared" ref="X10:X11" si="11">U10*C10</f>
        <v>2.6182423799999999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>
      <c r="A11" s="6">
        <v>3</v>
      </c>
      <c r="B11" s="25">
        <v>1973</v>
      </c>
      <c r="C11" s="39">
        <v>1.8</v>
      </c>
      <c r="D11" s="7" t="s">
        <v>71</v>
      </c>
      <c r="E11" s="49">
        <v>8.26</v>
      </c>
      <c r="F11" s="50">
        <f>[1]фосфор!$B$9</f>
        <v>1.2387999999999999</v>
      </c>
      <c r="G11" s="31" t="s">
        <v>55</v>
      </c>
      <c r="H11" s="51">
        <v>176</v>
      </c>
      <c r="I11" s="50">
        <f>[1]калий!$E$58</f>
        <v>0.93437499999999996</v>
      </c>
      <c r="J11" s="32" t="s">
        <v>21</v>
      </c>
      <c r="K11" s="51">
        <v>1.5</v>
      </c>
      <c r="L11" s="29" t="s">
        <v>57</v>
      </c>
      <c r="M11" s="8">
        <f t="shared" si="0"/>
        <v>7.7165999999999997</v>
      </c>
      <c r="N11" s="9">
        <f t="shared" si="1"/>
        <v>6.6915268559999994</v>
      </c>
      <c r="O11" s="9">
        <f t="shared" si="2"/>
        <v>3.6050990624999999</v>
      </c>
      <c r="P11" s="9">
        <f t="shared" si="3"/>
        <v>13.88988</v>
      </c>
      <c r="Q11" s="9">
        <f t="shared" si="4"/>
        <v>12.0447483408</v>
      </c>
      <c r="R11" s="9">
        <f t="shared" si="5"/>
        <v>6.4891783125</v>
      </c>
      <c r="S11" s="9">
        <f t="shared" si="6"/>
        <v>4.8485969999999998</v>
      </c>
      <c r="T11" s="9">
        <f t="shared" si="7"/>
        <v>4.2045093745199997</v>
      </c>
      <c r="U11" s="9">
        <f t="shared" si="8"/>
        <v>1.3591223465624998</v>
      </c>
      <c r="V11" s="9">
        <f t="shared" si="9"/>
        <v>8.7274746000000007</v>
      </c>
      <c r="W11" s="9">
        <f t="shared" si="10"/>
        <v>7.5681168741359999</v>
      </c>
      <c r="X11" s="9">
        <f t="shared" si="11"/>
        <v>2.4464202238124995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>
      <c r="A12" s="6">
        <v>4</v>
      </c>
      <c r="B12" s="25">
        <v>1974</v>
      </c>
      <c r="C12" s="39">
        <v>6.5</v>
      </c>
      <c r="D12" s="7" t="s">
        <v>71</v>
      </c>
      <c r="E12" s="49">
        <v>12.44</v>
      </c>
      <c r="F12" s="50">
        <f>[1]фосфор!$B$51</f>
        <v>1.1675777777777778</v>
      </c>
      <c r="G12" s="31" t="s">
        <v>55</v>
      </c>
      <c r="H12" s="51">
        <v>174</v>
      </c>
      <c r="I12" s="50">
        <f>[1]калий!$E$56</f>
        <v>0.9375</v>
      </c>
      <c r="J12" s="32" t="s">
        <v>21</v>
      </c>
      <c r="K12" s="52">
        <v>2.1</v>
      </c>
      <c r="L12" s="33" t="s">
        <v>60</v>
      </c>
      <c r="M12" s="8">
        <f t="shared" ref="M12:M15" si="12">+Y12*Z12</f>
        <v>7.7165999999999997</v>
      </c>
      <c r="N12" s="9">
        <f t="shared" ref="N12:N15" si="13">M12*F12*0.7</f>
        <v>6.306811476</v>
      </c>
      <c r="O12" s="9">
        <f t="shared" ref="O12:O15" si="14">M12*I12*0.5</f>
        <v>3.6171562499999999</v>
      </c>
      <c r="P12" s="9">
        <f t="shared" ref="P12:P15" si="15">M12*C12</f>
        <v>50.157899999999998</v>
      </c>
      <c r="Q12" s="9">
        <f t="shared" ref="Q12:Q15" si="16">N12*C12</f>
        <v>40.994274594000004</v>
      </c>
      <c r="R12" s="9">
        <f t="shared" ref="R12:R15" si="17">O12*C12</f>
        <v>23.511515624999998</v>
      </c>
      <c r="S12" s="9">
        <f t="shared" ref="S12:S15" si="18">+AA12*Z12</f>
        <v>4.8485969999999998</v>
      </c>
      <c r="T12" s="9">
        <f t="shared" ref="T12:T15" si="19">S12*F12*0.7</f>
        <v>3.9627798774199996</v>
      </c>
      <c r="U12" s="9">
        <f t="shared" ref="U12:U15" si="20">S12*I12*0.3</f>
        <v>1.3636679062499999</v>
      </c>
      <c r="V12" s="9">
        <f t="shared" ref="V12:V15" si="21">S12*C12</f>
        <v>31.515880499999998</v>
      </c>
      <c r="W12" s="9">
        <f t="shared" ref="W12:W15" si="22">T12*C12</f>
        <v>25.758069203229997</v>
      </c>
      <c r="X12" s="9">
        <f t="shared" ref="X12:X15" si="23">U12*C12</f>
        <v>8.8638413906249998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5" customHeight="1">
      <c r="A13" s="6">
        <v>5</v>
      </c>
      <c r="B13" s="25" t="s">
        <v>73</v>
      </c>
      <c r="C13" s="39">
        <v>3.9</v>
      </c>
      <c r="D13" s="7" t="s">
        <v>74</v>
      </c>
      <c r="E13" s="49">
        <v>9.9380000000000006</v>
      </c>
      <c r="F13" s="50">
        <f>[1]фосфор!$B$26</f>
        <v>1.2101555555555554</v>
      </c>
      <c r="G13" s="31" t="s">
        <v>55</v>
      </c>
      <c r="H13" s="51">
        <v>183</v>
      </c>
      <c r="I13" s="50">
        <f>[1]калий!$E$65</f>
        <v>0.91562500000000002</v>
      </c>
      <c r="J13" s="32" t="s">
        <v>21</v>
      </c>
      <c r="K13" s="51">
        <v>1.3</v>
      </c>
      <c r="L13" s="29" t="s">
        <v>57</v>
      </c>
      <c r="M13" s="8">
        <f t="shared" si="12"/>
        <v>7.7165999999999997</v>
      </c>
      <c r="N13" s="9">
        <f t="shared" si="13"/>
        <v>6.5368004519999978</v>
      </c>
      <c r="O13" s="9">
        <f t="shared" si="14"/>
        <v>3.5327559374999997</v>
      </c>
      <c r="P13" s="9">
        <f t="shared" si="15"/>
        <v>30.094739999999998</v>
      </c>
      <c r="Q13" s="9">
        <f t="shared" si="16"/>
        <v>25.49352176279999</v>
      </c>
      <c r="R13" s="9">
        <f t="shared" si="17"/>
        <v>13.777748156249999</v>
      </c>
      <c r="S13" s="9">
        <f t="shared" si="18"/>
        <v>4.8485969999999998</v>
      </c>
      <c r="T13" s="9">
        <f t="shared" si="19"/>
        <v>4.1072896173399993</v>
      </c>
      <c r="U13" s="9">
        <f t="shared" si="20"/>
        <v>1.3318489884375</v>
      </c>
      <c r="V13" s="9">
        <f t="shared" si="21"/>
        <v>18.909528299999998</v>
      </c>
      <c r="W13" s="9">
        <f t="shared" si="22"/>
        <v>16.018429507625996</v>
      </c>
      <c r="X13" s="9">
        <f t="shared" si="23"/>
        <v>5.1942110549062495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A14" s="6">
        <v>6</v>
      </c>
      <c r="B14" s="25">
        <v>2034</v>
      </c>
      <c r="C14" s="39">
        <v>2.1</v>
      </c>
      <c r="D14" s="7" t="s">
        <v>74</v>
      </c>
      <c r="E14" s="49">
        <v>25.93</v>
      </c>
      <c r="F14" s="50">
        <f>[1]фосфор!$E$71</f>
        <v>0.9434555555555556</v>
      </c>
      <c r="G14" s="32" t="s">
        <v>21</v>
      </c>
      <c r="H14" s="51">
        <v>195</v>
      </c>
      <c r="I14" s="50">
        <f>[1]калий!$B$77</f>
        <v>0.88749999999999996</v>
      </c>
      <c r="J14" s="32" t="s">
        <v>21</v>
      </c>
      <c r="K14" s="52">
        <v>1.2</v>
      </c>
      <c r="L14" s="32" t="s">
        <v>21</v>
      </c>
      <c r="M14" s="8">
        <f t="shared" si="12"/>
        <v>7.7165999999999997</v>
      </c>
      <c r="N14" s="9">
        <f t="shared" si="13"/>
        <v>5.0961883979999998</v>
      </c>
      <c r="O14" s="9">
        <f t="shared" si="14"/>
        <v>3.4242412499999997</v>
      </c>
      <c r="P14" s="9">
        <f t="shared" si="15"/>
        <v>16.20486</v>
      </c>
      <c r="Q14" s="9">
        <f t="shared" si="16"/>
        <v>10.701995635799999</v>
      </c>
      <c r="R14" s="9">
        <f t="shared" si="17"/>
        <v>7.1909066249999993</v>
      </c>
      <c r="S14" s="9">
        <f t="shared" si="18"/>
        <v>4.8485969999999998</v>
      </c>
      <c r="T14" s="9">
        <f t="shared" si="19"/>
        <v>3.2021050434099996</v>
      </c>
      <c r="U14" s="9">
        <f t="shared" si="20"/>
        <v>1.2909389512499998</v>
      </c>
      <c r="V14" s="9">
        <f t="shared" si="21"/>
        <v>10.182053700000001</v>
      </c>
      <c r="W14" s="9">
        <f t="shared" si="22"/>
        <v>6.7244205911609995</v>
      </c>
      <c r="X14" s="9">
        <f t="shared" si="23"/>
        <v>2.7109717976249996</v>
      </c>
      <c r="Y14" s="27">
        <v>6</v>
      </c>
      <c r="Z14" s="10">
        <v>1.2861</v>
      </c>
      <c r="AA14" s="10">
        <v>3.77</v>
      </c>
    </row>
    <row r="15" spans="1:33">
      <c r="A15" s="6">
        <v>7</v>
      </c>
      <c r="B15" s="25">
        <v>2035</v>
      </c>
      <c r="C15" s="39">
        <v>4.2</v>
      </c>
      <c r="D15" s="7" t="s">
        <v>71</v>
      </c>
      <c r="E15" s="49">
        <v>73.349999999999994</v>
      </c>
      <c r="F15" s="50">
        <v>0.373</v>
      </c>
      <c r="G15" s="33" t="s">
        <v>60</v>
      </c>
      <c r="H15" s="51">
        <v>205</v>
      </c>
      <c r="I15" s="50">
        <f>[1]калий!$B$87</f>
        <v>0.86250000000000004</v>
      </c>
      <c r="J15" s="29" t="s">
        <v>57</v>
      </c>
      <c r="K15" s="51">
        <v>1.3</v>
      </c>
      <c r="L15" s="29" t="s">
        <v>57</v>
      </c>
      <c r="M15" s="8">
        <f t="shared" si="12"/>
        <v>7.7165999999999997</v>
      </c>
      <c r="N15" s="9">
        <f t="shared" si="13"/>
        <v>2.01480426</v>
      </c>
      <c r="O15" s="9">
        <f t="shared" si="14"/>
        <v>3.32778375</v>
      </c>
      <c r="P15" s="9">
        <f t="shared" si="15"/>
        <v>32.40972</v>
      </c>
      <c r="Q15" s="9">
        <f t="shared" si="16"/>
        <v>8.4621778919999997</v>
      </c>
      <c r="R15" s="9">
        <f t="shared" si="17"/>
        <v>13.976691750000001</v>
      </c>
      <c r="S15" s="9">
        <f t="shared" si="18"/>
        <v>4.8485969999999998</v>
      </c>
      <c r="T15" s="9">
        <f t="shared" si="19"/>
        <v>1.2659686767</v>
      </c>
      <c r="U15" s="9">
        <f t="shared" si="20"/>
        <v>1.25457447375</v>
      </c>
      <c r="V15" s="9">
        <f t="shared" si="21"/>
        <v>20.364107400000002</v>
      </c>
      <c r="W15" s="9">
        <f t="shared" si="22"/>
        <v>5.3170684421400001</v>
      </c>
      <c r="X15" s="9">
        <f t="shared" si="23"/>
        <v>5.2692127897500001</v>
      </c>
      <c r="Y15" s="27">
        <v>6</v>
      </c>
      <c r="Z15" s="10">
        <v>1.2861</v>
      </c>
      <c r="AA15" s="10">
        <v>3.77</v>
      </c>
    </row>
    <row r="16" spans="1:33">
      <c r="A16" s="6">
        <v>8</v>
      </c>
      <c r="B16" s="25" t="s">
        <v>75</v>
      </c>
      <c r="C16" s="39">
        <v>5.9</v>
      </c>
      <c r="D16" s="7" t="s">
        <v>61</v>
      </c>
      <c r="E16" s="49">
        <v>7.7510000000000003</v>
      </c>
      <c r="F16" s="50">
        <f>[1]фосфор!$B$4</f>
        <v>1.2464</v>
      </c>
      <c r="G16" s="31" t="s">
        <v>55</v>
      </c>
      <c r="H16" s="51">
        <v>207</v>
      </c>
      <c r="I16" s="50">
        <f>[1]калий!$B$89</f>
        <v>0.85624999999999996</v>
      </c>
      <c r="J16" s="29" t="s">
        <v>57</v>
      </c>
      <c r="K16" s="51">
        <v>1.3</v>
      </c>
      <c r="L16" s="29" t="s">
        <v>57</v>
      </c>
      <c r="M16" s="8">
        <f t="shared" ref="M16" si="24">+Y16*Z16</f>
        <v>7.7165999999999997</v>
      </c>
      <c r="N16" s="9">
        <f t="shared" ref="N16" si="25">M16*F16*0.7</f>
        <v>6.732579168</v>
      </c>
      <c r="O16" s="9">
        <f t="shared" ref="O16" si="26">M16*I16*0.5</f>
        <v>3.3036693749999997</v>
      </c>
      <c r="P16" s="9">
        <f t="shared" ref="P16" si="27">M16*C16</f>
        <v>45.527940000000001</v>
      </c>
      <c r="Q16" s="9">
        <f t="shared" ref="Q16" si="28">N16*C16</f>
        <v>39.722217091200001</v>
      </c>
      <c r="R16" s="9">
        <f t="shared" ref="R16" si="29">O16*C16</f>
        <v>19.491649312499998</v>
      </c>
      <c r="S16" s="9">
        <f t="shared" ref="S16" si="30">+AA16*Z16</f>
        <v>4.8485969999999998</v>
      </c>
      <c r="T16" s="9">
        <f t="shared" ref="T16" si="31">S16*F16*0.7</f>
        <v>4.23030391056</v>
      </c>
      <c r="U16" s="9">
        <f t="shared" ref="U16" si="32">S16*I16*0.3</f>
        <v>1.2454833543749999</v>
      </c>
      <c r="V16" s="9">
        <f t="shared" ref="V16" si="33">S16*C16</f>
        <v>28.606722300000001</v>
      </c>
      <c r="W16" s="9">
        <f t="shared" ref="W16" si="34">T16*C16</f>
        <v>24.958793072304001</v>
      </c>
      <c r="X16" s="9">
        <f t="shared" ref="X16" si="35">U16*C16</f>
        <v>7.3483517908125</v>
      </c>
      <c r="Y16" s="27">
        <v>6</v>
      </c>
      <c r="Z16" s="10">
        <v>1.2861</v>
      </c>
      <c r="AA16" s="10">
        <v>3.77</v>
      </c>
    </row>
    <row r="18" spans="1:32">
      <c r="C18" s="34">
        <f>SUM(C9:C16)</f>
        <v>32.800000000000004</v>
      </c>
      <c r="F18" s="12"/>
      <c r="G18" s="1"/>
    </row>
    <row r="19" spans="1:32">
      <c r="E19" s="34">
        <f>SUM(E9:E18)</f>
        <v>176.589</v>
      </c>
      <c r="F19" s="12"/>
      <c r="G19" s="1"/>
      <c r="H19" s="1">
        <f>SUM(H9:H18)</f>
        <v>1425</v>
      </c>
      <c r="K19" s="1">
        <f>SUM(K9:K18)</f>
        <v>11.600000000000001</v>
      </c>
    </row>
    <row r="20" spans="1:32" s="10" customFormat="1">
      <c r="A20" s="1"/>
      <c r="B20" s="1"/>
      <c r="C20" s="1"/>
      <c r="D20" s="1"/>
      <c r="E20" s="1">
        <f>+E19/8</f>
        <v>22.073625</v>
      </c>
      <c r="F20" s="12"/>
      <c r="G20" s="1"/>
      <c r="H20" s="1">
        <f>+H19/8</f>
        <v>178.125</v>
      </c>
      <c r="J20" s="12"/>
      <c r="K20" s="1">
        <f>+K19/8</f>
        <v>1.4500000000000002</v>
      </c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3" t="s">
        <v>72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4"/>
      <c r="O1" s="14"/>
      <c r="P1" s="14"/>
      <c r="Q1" s="14"/>
    </row>
    <row r="2" spans="1:17" ht="15.75" customHeight="1">
      <c r="A2" s="64" t="s">
        <v>22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15"/>
    </row>
    <row r="3" spans="1:17" ht="15.75" customHeight="1">
      <c r="A3" s="64" t="s">
        <v>23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15"/>
    </row>
    <row r="4" spans="1:17" ht="15.75" thickBot="1"/>
    <row r="5" spans="1:17" ht="19.5" thickBot="1">
      <c r="A5" s="65" t="s">
        <v>4</v>
      </c>
      <c r="B5" s="65" t="s">
        <v>24</v>
      </c>
      <c r="C5" s="68" t="s">
        <v>25</v>
      </c>
      <c r="D5" s="69"/>
      <c r="E5" s="69"/>
      <c r="F5" s="69"/>
      <c r="G5" s="69"/>
      <c r="H5" s="69"/>
      <c r="I5" s="69"/>
      <c r="J5" s="69"/>
      <c r="K5" s="69"/>
      <c r="L5" s="70"/>
      <c r="M5" s="65" t="s">
        <v>26</v>
      </c>
    </row>
    <row r="6" spans="1:17" ht="18.75" customHeight="1">
      <c r="A6" s="66"/>
      <c r="B6" s="66"/>
      <c r="C6" s="71" t="s">
        <v>27</v>
      </c>
      <c r="D6" s="72"/>
      <c r="E6" s="73" t="s">
        <v>28</v>
      </c>
      <c r="F6" s="74"/>
      <c r="G6" s="75" t="s">
        <v>29</v>
      </c>
      <c r="H6" s="76"/>
      <c r="I6" s="77" t="s">
        <v>30</v>
      </c>
      <c r="J6" s="78"/>
      <c r="K6" s="79" t="s">
        <v>31</v>
      </c>
      <c r="L6" s="80"/>
      <c r="M6" s="66"/>
    </row>
    <row r="7" spans="1:17" ht="28.5" customHeight="1" thickBot="1">
      <c r="A7" s="66"/>
      <c r="B7" s="66"/>
      <c r="C7" s="81" t="s">
        <v>32</v>
      </c>
      <c r="D7" s="82"/>
      <c r="E7" s="83" t="s">
        <v>33</v>
      </c>
      <c r="F7" s="84"/>
      <c r="G7" s="85" t="s">
        <v>34</v>
      </c>
      <c r="H7" s="86"/>
      <c r="I7" s="87" t="s">
        <v>35</v>
      </c>
      <c r="J7" s="88"/>
      <c r="K7" s="89" t="s">
        <v>36</v>
      </c>
      <c r="L7" s="90"/>
      <c r="M7" s="67"/>
    </row>
    <row r="8" spans="1:17" ht="19.5" thickBot="1">
      <c r="A8" s="67"/>
      <c r="B8" s="67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32.799999999999997</v>
      </c>
      <c r="C9" s="20">
        <v>19.899999999999999</v>
      </c>
      <c r="D9" s="21">
        <f>+C9/B9%</f>
        <v>60.670731707317074</v>
      </c>
      <c r="E9" s="20">
        <v>8.6999999999999993</v>
      </c>
      <c r="F9" s="21">
        <f>E9/B9*100</f>
        <v>26.524390243902442</v>
      </c>
      <c r="G9" s="22"/>
      <c r="H9" s="21">
        <f>+G9/B9%</f>
        <v>0</v>
      </c>
      <c r="I9" s="22"/>
      <c r="J9" s="21">
        <f>+I9/B9%</f>
        <v>0</v>
      </c>
      <c r="K9" s="22">
        <v>4.2</v>
      </c>
      <c r="L9" s="21">
        <f>+K9/B9%</f>
        <v>12.804878048780489</v>
      </c>
      <c r="M9" s="21">
        <f>+Жадвал!E20</f>
        <v>22.073625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3" t="str">
        <f>A1</f>
        <v xml:space="preserve">Фарғона вилояти Тошлоқ тумани Араббой Тухтабой худуди Тухтаназар ота файзи фермер хўжалиги томонидан суғорилиб экиладиган 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36"/>
    </row>
    <row r="12" spans="1:17" ht="18.75">
      <c r="A12" s="64" t="s">
        <v>40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36"/>
    </row>
    <row r="13" spans="1:17" ht="18.75">
      <c r="A13" s="64" t="s">
        <v>23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5" t="s">
        <v>4</v>
      </c>
      <c r="B15" s="65" t="s">
        <v>24</v>
      </c>
      <c r="C15" s="68" t="s">
        <v>41</v>
      </c>
      <c r="D15" s="69"/>
      <c r="E15" s="69"/>
      <c r="F15" s="69"/>
      <c r="G15" s="69"/>
      <c r="H15" s="69"/>
      <c r="I15" s="69"/>
      <c r="J15" s="69"/>
      <c r="K15" s="69"/>
      <c r="L15" s="70"/>
      <c r="M15" s="65" t="s">
        <v>26</v>
      </c>
      <c r="N15" s="36"/>
    </row>
    <row r="16" spans="1:17" ht="18.75" customHeight="1">
      <c r="A16" s="66"/>
      <c r="B16" s="66"/>
      <c r="C16" s="71" t="s">
        <v>27</v>
      </c>
      <c r="D16" s="72"/>
      <c r="E16" s="73" t="s">
        <v>28</v>
      </c>
      <c r="F16" s="74"/>
      <c r="G16" s="75" t="s">
        <v>29</v>
      </c>
      <c r="H16" s="76"/>
      <c r="I16" s="77" t="s">
        <v>30</v>
      </c>
      <c r="J16" s="78"/>
      <c r="K16" s="79" t="s">
        <v>31</v>
      </c>
      <c r="L16" s="80"/>
      <c r="M16" s="66"/>
      <c r="N16" s="36"/>
    </row>
    <row r="17" spans="1:14" ht="30" customHeight="1" thickBot="1">
      <c r="A17" s="66"/>
      <c r="B17" s="66"/>
      <c r="C17" s="81" t="s">
        <v>42</v>
      </c>
      <c r="D17" s="82"/>
      <c r="E17" s="83" t="s">
        <v>43</v>
      </c>
      <c r="F17" s="84"/>
      <c r="G17" s="85" t="s">
        <v>44</v>
      </c>
      <c r="H17" s="86"/>
      <c r="I17" s="87" t="s">
        <v>45</v>
      </c>
      <c r="J17" s="88"/>
      <c r="K17" s="89" t="s">
        <v>46</v>
      </c>
      <c r="L17" s="90"/>
      <c r="M17" s="67"/>
      <c r="N17" s="36"/>
    </row>
    <row r="18" spans="1:14" ht="19.5" thickBot="1">
      <c r="A18" s="67"/>
      <c r="B18" s="67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32.799999999999997</v>
      </c>
      <c r="C19" s="20"/>
      <c r="D19" s="21">
        <f>+C19/B19%</f>
        <v>0</v>
      </c>
      <c r="E19" s="20">
        <v>22.7</v>
      </c>
      <c r="F19" s="21">
        <f>+E19/B19%</f>
        <v>69.207317073170742</v>
      </c>
      <c r="G19" s="22">
        <v>10.1</v>
      </c>
      <c r="H19" s="21">
        <f>G19/B19*100</f>
        <v>30.792682926829269</v>
      </c>
      <c r="I19" s="22"/>
      <c r="J19" s="21">
        <f>+I19/B19%</f>
        <v>0</v>
      </c>
      <c r="K19" s="22"/>
      <c r="L19" s="21">
        <f>+K19/B19%</f>
        <v>0</v>
      </c>
      <c r="M19" s="21">
        <f>+Жадвал!H20</f>
        <v>178.125</v>
      </c>
      <c r="N19" s="35">
        <f>+L19+J19+H19+F19+D19</f>
        <v>100.00000000000001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3" t="str">
        <f>A1</f>
        <v xml:space="preserve">Фарғона вилояти Тошлоқ тумани Араббой Тухтабой худуди Тухтаназар ота файзи фермер хўжалиги томонидан суғорилиб экиладиган 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36"/>
    </row>
    <row r="22" spans="1:14" ht="18.75">
      <c r="A22" s="64" t="s">
        <v>47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36"/>
    </row>
    <row r="23" spans="1:14" ht="18.75">
      <c r="A23" s="64" t="s">
        <v>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5" t="s">
        <v>4</v>
      </c>
      <c r="B25" s="65" t="s">
        <v>24</v>
      </c>
      <c r="C25" s="68" t="s">
        <v>48</v>
      </c>
      <c r="D25" s="69"/>
      <c r="E25" s="69"/>
      <c r="F25" s="69"/>
      <c r="G25" s="69"/>
      <c r="H25" s="69"/>
      <c r="I25" s="69"/>
      <c r="J25" s="69"/>
      <c r="K25" s="69"/>
      <c r="L25" s="70"/>
      <c r="M25" s="65" t="s">
        <v>49</v>
      </c>
      <c r="N25" s="36"/>
    </row>
    <row r="26" spans="1:14" ht="18.75" customHeight="1">
      <c r="A26" s="66"/>
      <c r="B26" s="66"/>
      <c r="C26" s="71" t="s">
        <v>27</v>
      </c>
      <c r="D26" s="72"/>
      <c r="E26" s="73" t="s">
        <v>28</v>
      </c>
      <c r="F26" s="74"/>
      <c r="G26" s="75" t="s">
        <v>29</v>
      </c>
      <c r="H26" s="76"/>
      <c r="I26" s="77" t="s">
        <v>30</v>
      </c>
      <c r="J26" s="78"/>
      <c r="K26" s="79" t="s">
        <v>31</v>
      </c>
      <c r="L26" s="80"/>
      <c r="M26" s="66"/>
      <c r="N26" s="36"/>
    </row>
    <row r="27" spans="1:14" ht="27.75" customHeight="1" thickBot="1">
      <c r="A27" s="66"/>
      <c r="B27" s="66"/>
      <c r="C27" s="81" t="s">
        <v>50</v>
      </c>
      <c r="D27" s="82"/>
      <c r="E27" s="83" t="s">
        <v>51</v>
      </c>
      <c r="F27" s="84"/>
      <c r="G27" s="85" t="s">
        <v>52</v>
      </c>
      <c r="H27" s="86"/>
      <c r="I27" s="87" t="s">
        <v>53</v>
      </c>
      <c r="J27" s="88"/>
      <c r="K27" s="89" t="s">
        <v>54</v>
      </c>
      <c r="L27" s="90"/>
      <c r="M27" s="67"/>
      <c r="N27" s="36"/>
    </row>
    <row r="28" spans="1:14" ht="19.5" thickBot="1">
      <c r="A28" s="67"/>
      <c r="B28" s="67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32.799999999999997</v>
      </c>
      <c r="C29" s="20"/>
      <c r="D29" s="21">
        <f>+C29/B29%</f>
        <v>0</v>
      </c>
      <c r="E29" s="20">
        <v>8.6999999999999993</v>
      </c>
      <c r="F29" s="21">
        <f>+E29/B29%</f>
        <v>26.524390243902442</v>
      </c>
      <c r="G29" s="22">
        <v>15.8</v>
      </c>
      <c r="H29" s="21">
        <f>+G29/B29%</f>
        <v>48.170731707317081</v>
      </c>
      <c r="I29" s="26">
        <v>1.8</v>
      </c>
      <c r="J29" s="21">
        <f>+I29/B29%</f>
        <v>5.4878048780487809</v>
      </c>
      <c r="K29" s="22">
        <v>6.5</v>
      </c>
      <c r="L29" s="21">
        <f>+K29/B29%</f>
        <v>19.81707317073171</v>
      </c>
      <c r="M29" s="24">
        <f>+Жадвал!K20</f>
        <v>1.4500000000000002</v>
      </c>
      <c r="N29" s="35">
        <f>+L29+J29+H29+F29+D29</f>
        <v>100.00000000000001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N20" sqref="N2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60" t="s">
        <v>4</v>
      </c>
      <c r="B6" s="53" t="s">
        <v>5</v>
      </c>
      <c r="C6" s="53" t="s">
        <v>6</v>
      </c>
      <c r="D6" s="53" t="s">
        <v>7</v>
      </c>
      <c r="E6" s="60" t="s">
        <v>16</v>
      </c>
      <c r="F6" s="60"/>
      <c r="G6" s="60"/>
      <c r="H6" s="60" t="s">
        <v>62</v>
      </c>
      <c r="I6" s="60"/>
      <c r="J6" s="60"/>
      <c r="K6" s="60"/>
      <c r="L6" s="60"/>
      <c r="M6" s="60"/>
      <c r="N6" s="60"/>
      <c r="O6" s="60"/>
      <c r="P6" s="60"/>
    </row>
    <row r="7" spans="1:25" ht="60" customHeight="1">
      <c r="A7" s="60"/>
      <c r="B7" s="53"/>
      <c r="C7" s="53"/>
      <c r="D7" s="53"/>
      <c r="E7" s="91" t="s">
        <v>17</v>
      </c>
      <c r="F7" s="91" t="s">
        <v>18</v>
      </c>
      <c r="G7" s="91" t="s">
        <v>19</v>
      </c>
      <c r="H7" s="93" t="s">
        <v>63</v>
      </c>
      <c r="I7" s="93"/>
      <c r="J7" s="48" t="s">
        <v>64</v>
      </c>
      <c r="K7" s="40" t="s">
        <v>65</v>
      </c>
      <c r="L7" s="48" t="s">
        <v>66</v>
      </c>
      <c r="M7" s="93" t="s">
        <v>67</v>
      </c>
      <c r="N7" s="93"/>
      <c r="O7" s="93" t="s">
        <v>68</v>
      </c>
      <c r="P7" s="93"/>
    </row>
    <row r="8" spans="1:25" ht="22.5" customHeight="1">
      <c r="A8" s="60"/>
      <c r="B8" s="53"/>
      <c r="C8" s="53"/>
      <c r="D8" s="53"/>
      <c r="E8" s="92"/>
      <c r="F8" s="92"/>
      <c r="G8" s="92"/>
      <c r="H8" s="48" t="s">
        <v>69</v>
      </c>
      <c r="I8" s="48" t="s">
        <v>70</v>
      </c>
      <c r="J8" s="48" t="s">
        <v>17</v>
      </c>
      <c r="K8" s="48" t="s">
        <v>69</v>
      </c>
      <c r="L8" s="48" t="s">
        <v>17</v>
      </c>
      <c r="M8" s="48" t="s">
        <v>17</v>
      </c>
      <c r="N8" s="48" t="s">
        <v>70</v>
      </c>
      <c r="O8" s="48" t="s">
        <v>17</v>
      </c>
      <c r="P8" s="48" t="s">
        <v>69</v>
      </c>
      <c r="Q8" s="41" t="s">
        <v>17</v>
      </c>
      <c r="R8" s="41" t="s">
        <v>69</v>
      </c>
      <c r="S8" s="41" t="s">
        <v>70</v>
      </c>
      <c r="T8" s="42"/>
      <c r="U8" s="42"/>
      <c r="V8" s="42"/>
      <c r="W8" s="41" t="s">
        <v>17</v>
      </c>
      <c r="X8" s="41" t="s">
        <v>69</v>
      </c>
      <c r="Y8" s="41" t="s">
        <v>70</v>
      </c>
    </row>
    <row r="9" spans="1:25" s="10" customFormat="1">
      <c r="A9" s="6">
        <v>1</v>
      </c>
      <c r="B9" s="25">
        <v>2039</v>
      </c>
      <c r="C9" s="39">
        <v>6.6</v>
      </c>
      <c r="D9" s="7" t="s">
        <v>61</v>
      </c>
      <c r="E9" s="9">
        <v>32.000740199999996</v>
      </c>
      <c r="F9" s="9">
        <v>21.133893286505995</v>
      </c>
      <c r="G9" s="9">
        <v>9.9302296933124996</v>
      </c>
      <c r="H9" s="43">
        <f t="shared" ref="H9:I9" si="0">+F9</f>
        <v>21.133893286505995</v>
      </c>
      <c r="I9" s="43">
        <f t="shared" si="0"/>
        <v>9.9302296933124996</v>
      </c>
      <c r="J9" s="43">
        <f t="shared" ref="J9" si="1">+E9*0.15</f>
        <v>4.8001110299999992</v>
      </c>
      <c r="K9" s="43"/>
      <c r="L9" s="43">
        <f t="shared" ref="L9" si="2">+E9*0.35</f>
        <v>11.200259069999998</v>
      </c>
      <c r="M9" s="43">
        <f t="shared" ref="M9" si="3">+E9*0.35</f>
        <v>11.200259069999998</v>
      </c>
      <c r="N9" s="43"/>
      <c r="O9" s="43">
        <f t="shared" ref="O9" si="4">+E9*0.15</f>
        <v>4.8001110299999992</v>
      </c>
      <c r="P9" s="43"/>
      <c r="Q9" s="44">
        <f t="shared" ref="Q9:Q15" si="5">+O9+M9+L9+J9</f>
        <v>32.000740199999996</v>
      </c>
      <c r="R9" s="45">
        <f t="shared" ref="R9:R15" si="6">+P9+K9+H9</f>
        <v>21.133893286505995</v>
      </c>
      <c r="S9" s="45">
        <f t="shared" ref="S9:S15" si="7">+N9+I9</f>
        <v>9.9302296933124996</v>
      </c>
      <c r="T9" s="46">
        <f t="shared" ref="T9:V15" si="8">+Q9-E9</f>
        <v>0</v>
      </c>
      <c r="U9" s="46">
        <f t="shared" si="8"/>
        <v>0</v>
      </c>
      <c r="V9" s="46">
        <f t="shared" si="8"/>
        <v>0</v>
      </c>
      <c r="W9" s="44">
        <f t="shared" ref="W9:W15" si="9">+E9/C9</f>
        <v>4.8485969999999998</v>
      </c>
      <c r="X9" s="44">
        <f t="shared" ref="X9:X15" si="10">+F9/C9</f>
        <v>3.2021050434099991</v>
      </c>
      <c r="Y9" s="44">
        <f t="shared" ref="Y9:Y15" si="11">+G9/C9</f>
        <v>1.5045802565624999</v>
      </c>
    </row>
    <row r="10" spans="1:25" s="10" customFormat="1">
      <c r="A10" s="6">
        <v>2</v>
      </c>
      <c r="B10" s="25">
        <v>1962</v>
      </c>
      <c r="C10" s="39">
        <v>1.8</v>
      </c>
      <c r="D10" s="7" t="s">
        <v>71</v>
      </c>
      <c r="E10" s="9">
        <v>13.88988</v>
      </c>
      <c r="F10" s="9">
        <v>11.2620536028</v>
      </c>
      <c r="G10" s="9">
        <v>6.9449399999999999</v>
      </c>
      <c r="H10" s="43">
        <f t="shared" ref="H10:H15" si="12">+F10*0.7</f>
        <v>7.8834375219599995</v>
      </c>
      <c r="I10" s="43">
        <f t="shared" ref="I10:I15" si="13">+G10*0.5</f>
        <v>3.4724699999999999</v>
      </c>
      <c r="J10" s="43">
        <f t="shared" ref="J10:J15" si="14">+E10*0.25</f>
        <v>3.4724699999999999</v>
      </c>
      <c r="K10" s="43">
        <f t="shared" ref="K10:K15" si="15">+F10*0.15</f>
        <v>1.68930804042</v>
      </c>
      <c r="L10" s="43">
        <f t="shared" ref="L10:L15" si="16">+E10*0.25</f>
        <v>3.4724699999999999</v>
      </c>
      <c r="M10" s="43">
        <f t="shared" ref="M10:M15" si="17">+E10*0.25</f>
        <v>3.4724699999999999</v>
      </c>
      <c r="N10" s="43">
        <f t="shared" ref="N10:N15" si="18">+G10*0.5</f>
        <v>3.4724699999999999</v>
      </c>
      <c r="O10" s="43">
        <f t="shared" ref="O10:O15" si="19">+E10*0.25</f>
        <v>3.4724699999999999</v>
      </c>
      <c r="P10" s="43">
        <f t="shared" ref="P10:P15" si="20">+F10*0.15</f>
        <v>1.68930804042</v>
      </c>
      <c r="Q10" s="44">
        <f t="shared" si="5"/>
        <v>13.88988</v>
      </c>
      <c r="R10" s="45">
        <f t="shared" si="6"/>
        <v>11.2620536028</v>
      </c>
      <c r="S10" s="45">
        <f t="shared" si="7"/>
        <v>6.9449399999999999</v>
      </c>
      <c r="T10" s="46">
        <f t="shared" si="8"/>
        <v>0</v>
      </c>
      <c r="U10" s="46">
        <f t="shared" si="8"/>
        <v>0</v>
      </c>
      <c r="V10" s="46">
        <f t="shared" si="8"/>
        <v>0</v>
      </c>
      <c r="W10" s="44">
        <f t="shared" si="9"/>
        <v>7.7165999999999997</v>
      </c>
      <c r="X10" s="44">
        <f t="shared" si="10"/>
        <v>6.2566964459999994</v>
      </c>
      <c r="Y10" s="44">
        <f t="shared" si="11"/>
        <v>3.8582999999999998</v>
      </c>
    </row>
    <row r="11" spans="1:25" s="10" customFormat="1">
      <c r="A11" s="6">
        <v>3</v>
      </c>
      <c r="B11" s="25">
        <v>1973</v>
      </c>
      <c r="C11" s="39">
        <v>1.8</v>
      </c>
      <c r="D11" s="7" t="s">
        <v>71</v>
      </c>
      <c r="E11" s="9">
        <v>13.88988</v>
      </c>
      <c r="F11" s="9">
        <v>12.0447483408</v>
      </c>
      <c r="G11" s="9">
        <v>6.4891783125</v>
      </c>
      <c r="H11" s="43">
        <f t="shared" si="12"/>
        <v>8.4313238385599991</v>
      </c>
      <c r="I11" s="43">
        <f t="shared" si="13"/>
        <v>3.24458915625</v>
      </c>
      <c r="J11" s="43">
        <f t="shared" si="14"/>
        <v>3.4724699999999999</v>
      </c>
      <c r="K11" s="43">
        <f t="shared" si="15"/>
        <v>1.80671225112</v>
      </c>
      <c r="L11" s="43">
        <f t="shared" si="16"/>
        <v>3.4724699999999999</v>
      </c>
      <c r="M11" s="43">
        <f t="shared" si="17"/>
        <v>3.4724699999999999</v>
      </c>
      <c r="N11" s="43">
        <f t="shared" si="18"/>
        <v>3.24458915625</v>
      </c>
      <c r="O11" s="43">
        <f t="shared" si="19"/>
        <v>3.4724699999999999</v>
      </c>
      <c r="P11" s="43">
        <f t="shared" si="20"/>
        <v>1.80671225112</v>
      </c>
      <c r="Q11" s="44">
        <f t="shared" si="5"/>
        <v>13.88988</v>
      </c>
      <c r="R11" s="45">
        <f t="shared" si="6"/>
        <v>12.044748340799998</v>
      </c>
      <c r="S11" s="45">
        <f t="shared" si="7"/>
        <v>6.4891783125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4">
        <f t="shared" si="9"/>
        <v>7.7165999999999997</v>
      </c>
      <c r="X11" s="44">
        <f t="shared" si="10"/>
        <v>6.6915268559999994</v>
      </c>
      <c r="Y11" s="44">
        <f t="shared" si="11"/>
        <v>3.6050990624999999</v>
      </c>
    </row>
    <row r="12" spans="1:25">
      <c r="A12" s="6">
        <v>4</v>
      </c>
      <c r="B12" s="25">
        <v>1974</v>
      </c>
      <c r="C12" s="39">
        <v>6.5</v>
      </c>
      <c r="D12" s="7" t="s">
        <v>71</v>
      </c>
      <c r="E12" s="9">
        <v>50.157899999999998</v>
      </c>
      <c r="F12" s="9">
        <v>40.994274594000004</v>
      </c>
      <c r="G12" s="9">
        <v>23.511515624999998</v>
      </c>
      <c r="H12" s="43">
        <f t="shared" si="12"/>
        <v>28.6959922158</v>
      </c>
      <c r="I12" s="43">
        <f t="shared" si="13"/>
        <v>11.755757812499999</v>
      </c>
      <c r="J12" s="43">
        <f t="shared" si="14"/>
        <v>12.539474999999999</v>
      </c>
      <c r="K12" s="43">
        <f t="shared" si="15"/>
        <v>6.1491411891000007</v>
      </c>
      <c r="L12" s="43">
        <f t="shared" si="16"/>
        <v>12.539474999999999</v>
      </c>
      <c r="M12" s="43">
        <f t="shared" si="17"/>
        <v>12.539474999999999</v>
      </c>
      <c r="N12" s="43">
        <f t="shared" si="18"/>
        <v>11.755757812499999</v>
      </c>
      <c r="O12" s="43">
        <f t="shared" si="19"/>
        <v>12.539474999999999</v>
      </c>
      <c r="P12" s="43">
        <f t="shared" si="20"/>
        <v>6.1491411891000007</v>
      </c>
      <c r="Q12" s="44">
        <f t="shared" si="5"/>
        <v>50.157899999999998</v>
      </c>
      <c r="R12" s="45">
        <f t="shared" si="6"/>
        <v>40.994274594000004</v>
      </c>
      <c r="S12" s="45">
        <f t="shared" si="7"/>
        <v>23.511515624999998</v>
      </c>
      <c r="T12" s="46">
        <f t="shared" si="8"/>
        <v>0</v>
      </c>
      <c r="U12" s="46">
        <f t="shared" si="8"/>
        <v>0</v>
      </c>
      <c r="V12" s="46">
        <f t="shared" si="8"/>
        <v>0</v>
      </c>
      <c r="W12" s="44">
        <f t="shared" si="9"/>
        <v>7.7165999999999997</v>
      </c>
      <c r="X12" s="44">
        <f t="shared" si="10"/>
        <v>6.3068114760000009</v>
      </c>
      <c r="Y12" s="44">
        <f t="shared" si="11"/>
        <v>3.6171562499999999</v>
      </c>
    </row>
    <row r="13" spans="1:25" ht="15" customHeight="1">
      <c r="A13" s="6">
        <v>5</v>
      </c>
      <c r="B13" s="25" t="s">
        <v>73</v>
      </c>
      <c r="C13" s="39">
        <v>3.9</v>
      </c>
      <c r="D13" s="7" t="s">
        <v>74</v>
      </c>
      <c r="E13" s="9">
        <v>30.094739999999998</v>
      </c>
      <c r="F13" s="9">
        <v>25.49352176279999</v>
      </c>
      <c r="G13" s="9">
        <v>13.777748156249999</v>
      </c>
      <c r="H13" s="43">
        <f t="shared" si="12"/>
        <v>17.845465233959992</v>
      </c>
      <c r="I13" s="43">
        <f t="shared" si="13"/>
        <v>6.8888740781249993</v>
      </c>
      <c r="J13" s="43">
        <f t="shared" si="14"/>
        <v>7.5236849999999995</v>
      </c>
      <c r="K13" s="43">
        <f t="shared" si="15"/>
        <v>3.8240282644199981</v>
      </c>
      <c r="L13" s="43">
        <f t="shared" si="16"/>
        <v>7.5236849999999995</v>
      </c>
      <c r="M13" s="43">
        <f t="shared" si="17"/>
        <v>7.5236849999999995</v>
      </c>
      <c r="N13" s="43">
        <f t="shared" si="18"/>
        <v>6.8888740781249993</v>
      </c>
      <c r="O13" s="43">
        <f t="shared" si="19"/>
        <v>7.5236849999999995</v>
      </c>
      <c r="P13" s="43">
        <f t="shared" si="20"/>
        <v>3.8240282644199981</v>
      </c>
      <c r="Q13" s="44">
        <f t="shared" si="5"/>
        <v>30.094739999999998</v>
      </c>
      <c r="R13" s="45">
        <f t="shared" si="6"/>
        <v>25.493521762799986</v>
      </c>
      <c r="S13" s="45">
        <f t="shared" si="7"/>
        <v>13.777748156249999</v>
      </c>
      <c r="T13" s="46">
        <f t="shared" si="8"/>
        <v>0</v>
      </c>
      <c r="U13" s="46">
        <f t="shared" si="8"/>
        <v>0</v>
      </c>
      <c r="V13" s="46">
        <f t="shared" si="8"/>
        <v>0</v>
      </c>
      <c r="W13" s="44">
        <f t="shared" si="9"/>
        <v>7.7165999999999997</v>
      </c>
      <c r="X13" s="44">
        <f t="shared" si="10"/>
        <v>6.5368004519999978</v>
      </c>
      <c r="Y13" s="44">
        <f t="shared" si="11"/>
        <v>3.5327559374999997</v>
      </c>
    </row>
    <row r="14" spans="1:25">
      <c r="A14" s="6">
        <v>6</v>
      </c>
      <c r="B14" s="25">
        <v>2034</v>
      </c>
      <c r="C14" s="39">
        <v>2.1</v>
      </c>
      <c r="D14" s="7" t="s">
        <v>74</v>
      </c>
      <c r="E14" s="9">
        <v>16.20486</v>
      </c>
      <c r="F14" s="9">
        <v>10.701995635799999</v>
      </c>
      <c r="G14" s="9">
        <v>7.1909066249999993</v>
      </c>
      <c r="H14" s="43">
        <f t="shared" si="12"/>
        <v>7.4913969450599991</v>
      </c>
      <c r="I14" s="43">
        <f t="shared" si="13"/>
        <v>3.5954533124999997</v>
      </c>
      <c r="J14" s="43">
        <f t="shared" si="14"/>
        <v>4.051215</v>
      </c>
      <c r="K14" s="43">
        <f t="shared" si="15"/>
        <v>1.60529934537</v>
      </c>
      <c r="L14" s="43">
        <f t="shared" si="16"/>
        <v>4.051215</v>
      </c>
      <c r="M14" s="43">
        <f t="shared" si="17"/>
        <v>4.051215</v>
      </c>
      <c r="N14" s="43">
        <f t="shared" si="18"/>
        <v>3.5954533124999997</v>
      </c>
      <c r="O14" s="43">
        <f t="shared" si="19"/>
        <v>4.051215</v>
      </c>
      <c r="P14" s="43">
        <f t="shared" si="20"/>
        <v>1.60529934537</v>
      </c>
      <c r="Q14" s="44">
        <f t="shared" si="5"/>
        <v>16.20486</v>
      </c>
      <c r="R14" s="45">
        <f t="shared" si="6"/>
        <v>10.701995635799999</v>
      </c>
      <c r="S14" s="45">
        <f t="shared" si="7"/>
        <v>7.1909066249999993</v>
      </c>
      <c r="T14" s="46">
        <f t="shared" si="8"/>
        <v>0</v>
      </c>
      <c r="U14" s="46">
        <f t="shared" si="8"/>
        <v>0</v>
      </c>
      <c r="V14" s="46">
        <f t="shared" si="8"/>
        <v>0</v>
      </c>
      <c r="W14" s="44">
        <f t="shared" si="9"/>
        <v>7.7165999999999997</v>
      </c>
      <c r="X14" s="44">
        <f t="shared" si="10"/>
        <v>5.0961883979999998</v>
      </c>
      <c r="Y14" s="44">
        <f t="shared" si="11"/>
        <v>3.4242412499999997</v>
      </c>
    </row>
    <row r="15" spans="1:25">
      <c r="A15" s="6">
        <v>7</v>
      </c>
      <c r="B15" s="25">
        <v>2035</v>
      </c>
      <c r="C15" s="39">
        <v>4.2</v>
      </c>
      <c r="D15" s="7" t="s">
        <v>71</v>
      </c>
      <c r="E15" s="9">
        <v>32.40972</v>
      </c>
      <c r="F15" s="9">
        <v>8.4621778919999997</v>
      </c>
      <c r="G15" s="9">
        <v>13.976691750000001</v>
      </c>
      <c r="H15" s="43">
        <f t="shared" si="12"/>
        <v>5.9235245243999994</v>
      </c>
      <c r="I15" s="43">
        <f t="shared" si="13"/>
        <v>6.9883458750000003</v>
      </c>
      <c r="J15" s="43">
        <f t="shared" si="14"/>
        <v>8.10243</v>
      </c>
      <c r="K15" s="43">
        <f t="shared" si="15"/>
        <v>1.2693266837999999</v>
      </c>
      <c r="L15" s="43">
        <f t="shared" si="16"/>
        <v>8.10243</v>
      </c>
      <c r="M15" s="43">
        <f t="shared" si="17"/>
        <v>8.10243</v>
      </c>
      <c r="N15" s="43">
        <f t="shared" si="18"/>
        <v>6.9883458750000003</v>
      </c>
      <c r="O15" s="43">
        <f t="shared" si="19"/>
        <v>8.10243</v>
      </c>
      <c r="P15" s="43">
        <f t="shared" si="20"/>
        <v>1.2693266837999999</v>
      </c>
      <c r="Q15" s="44">
        <f t="shared" si="5"/>
        <v>32.40972</v>
      </c>
      <c r="R15" s="45">
        <f t="shared" si="6"/>
        <v>8.4621778919999997</v>
      </c>
      <c r="S15" s="45">
        <f t="shared" si="7"/>
        <v>13.976691750000001</v>
      </c>
      <c r="T15" s="46">
        <f t="shared" si="8"/>
        <v>0</v>
      </c>
      <c r="U15" s="46">
        <f t="shared" si="8"/>
        <v>0</v>
      </c>
      <c r="V15" s="46">
        <f t="shared" si="8"/>
        <v>0</v>
      </c>
      <c r="W15" s="44">
        <f t="shared" si="9"/>
        <v>7.7165999999999997</v>
      </c>
      <c r="X15" s="44">
        <f t="shared" si="10"/>
        <v>2.01480426</v>
      </c>
      <c r="Y15" s="44">
        <f t="shared" si="11"/>
        <v>3.32778375</v>
      </c>
    </row>
    <row r="16" spans="1:25">
      <c r="A16" s="6">
        <v>8</v>
      </c>
      <c r="B16" s="25" t="s">
        <v>75</v>
      </c>
      <c r="C16" s="39">
        <v>5.9</v>
      </c>
      <c r="D16" s="7" t="s">
        <v>61</v>
      </c>
      <c r="E16" s="9">
        <v>28.606722300000001</v>
      </c>
      <c r="F16" s="9">
        <v>24.958793072304001</v>
      </c>
      <c r="G16" s="9">
        <v>7.3483517908125</v>
      </c>
      <c r="H16" s="43">
        <f t="shared" ref="H16:I16" si="21">+F16</f>
        <v>24.958793072304001</v>
      </c>
      <c r="I16" s="43">
        <f t="shared" si="21"/>
        <v>7.3483517908125</v>
      </c>
      <c r="J16" s="43">
        <f t="shared" ref="J16" si="22">+E16*0.15</f>
        <v>4.2910083449999998</v>
      </c>
      <c r="K16" s="43"/>
      <c r="L16" s="43">
        <f t="shared" ref="L16" si="23">+E16*0.35</f>
        <v>10.012352804999999</v>
      </c>
      <c r="M16" s="43">
        <f t="shared" ref="M16" si="24">+E16*0.35</f>
        <v>10.012352804999999</v>
      </c>
      <c r="N16" s="43"/>
      <c r="O16" s="43">
        <f t="shared" ref="O16" si="25">+E16*0.15</f>
        <v>4.2910083449999998</v>
      </c>
      <c r="P16" s="43"/>
      <c r="Q16" s="44">
        <f t="shared" ref="Q16" si="26">+O16+M16+L16+J16</f>
        <v>28.606722300000001</v>
      </c>
      <c r="R16" s="45">
        <f t="shared" ref="R16" si="27">+P16+K16+H16</f>
        <v>24.958793072304001</v>
      </c>
      <c r="S16" s="45">
        <f t="shared" ref="S16" si="28">+N16+I16</f>
        <v>7.3483517908125</v>
      </c>
      <c r="T16" s="46">
        <f t="shared" ref="T16:V16" si="29">+Q16-E16</f>
        <v>0</v>
      </c>
      <c r="U16" s="46">
        <f t="shared" si="29"/>
        <v>0</v>
      </c>
      <c r="V16" s="46">
        <f t="shared" si="29"/>
        <v>0</v>
      </c>
      <c r="W16" s="44">
        <f t="shared" ref="W16" si="30">+E16/C16</f>
        <v>4.8485969999999998</v>
      </c>
      <c r="X16" s="44">
        <f t="shared" ref="X16" si="31">+F16/C16</f>
        <v>4.23030391056</v>
      </c>
      <c r="Y16" s="44">
        <f t="shared" ref="Y16" si="32">+G16/C16</f>
        <v>1.2454833543749999</v>
      </c>
    </row>
    <row r="17" spans="1:32">
      <c r="F17" s="1"/>
      <c r="G17" s="1"/>
      <c r="I17" s="1"/>
      <c r="J17" s="1"/>
      <c r="L17" s="1"/>
    </row>
    <row r="18" spans="1:32">
      <c r="C18" s="34">
        <f>SUM(C9:C16)</f>
        <v>32.800000000000004</v>
      </c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2" s="10" customFormat="1">
      <c r="A21" s="1"/>
      <c r="B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2" s="1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2023-04-14T05:50:56Z</dcterms:modified>
</cp:coreProperties>
</file>