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tr\Downloads\Trash\"/>
    </mc:Choice>
  </mc:AlternateContent>
  <xr:revisionPtr revIDLastSave="0" documentId="13_ncr:1_{062C91A3-6AC5-4FE4-8DAA-D3C8506A22F7}" xr6:coauthVersionLast="47" xr6:coauthVersionMax="47" xr10:uidLastSave="{00000000-0000-0000-0000-000000000000}"/>
  <bookViews>
    <workbookView xWindow="-108" yWindow="-108" windowWidth="23256" windowHeight="12456" tabRatio="601" firstSheet="9" activeTab="14" xr2:uid="{130DAD22-FE53-4009-B940-D4A5EC443123}"/>
  </bookViews>
  <sheets>
    <sheet name="8-9.2023," sheetId="28" state="hidden" r:id="rId1"/>
    <sheet name="11-2023" sheetId="31" state="hidden" r:id="rId2"/>
    <sheet name="12-2023" sheetId="32" state="hidden" r:id="rId3"/>
    <sheet name="01.2024" sheetId="33" state="hidden" r:id="rId4"/>
    <sheet name="02.2024" sheetId="37" state="hidden" r:id="rId5"/>
    <sheet name="03.2024" sheetId="40" state="hidden" r:id="rId6"/>
    <sheet name="chia cont 6000027718" sheetId="41" state="hidden" r:id="rId7"/>
    <sheet name="04.2024" sheetId="42" state="hidden" r:id="rId8"/>
    <sheet name="05.2024" sheetId="43" state="hidden" r:id="rId9"/>
    <sheet name="User" sheetId="69" r:id="rId10"/>
    <sheet name="示意圖" sheetId="68" r:id="rId11"/>
    <sheet name="儲位" sheetId="67" r:id="rId12"/>
    <sheet name="Warehouse" sheetId="63" r:id="rId13"/>
    <sheet name="Area" sheetId="65" r:id="rId14"/>
    <sheet name="Location" sheetId="66" r:id="rId15"/>
    <sheet name="Trang_tính3" sheetId="52" state="hidden" r:id="rId16"/>
    <sheet name="Trang_tính2" sheetId="49" state="hidden" r:id="rId17"/>
    <sheet name="Trang_tính1" sheetId="36" state="hidden" r:id="rId18"/>
  </sheets>
  <definedNames>
    <definedName name="_xlnm._FilterDatabase" localSheetId="3" hidden="1">'01.2024'!$A$1:$A$312</definedName>
    <definedName name="_xlnm._FilterDatabase" localSheetId="4" hidden="1">'02.2024'!$A$1:$A$352</definedName>
    <definedName name="_xlnm._FilterDatabase" localSheetId="5" hidden="1">'03.2024'!$A$1:$A$347</definedName>
    <definedName name="_xlnm._FilterDatabase" localSheetId="7" hidden="1">'04.2024'!$A$1:$A$351</definedName>
    <definedName name="_xlnm._FilterDatabase" localSheetId="8" hidden="1">'05.2024'!$A$1:$A$363</definedName>
    <definedName name="_xlnm._FilterDatabase" localSheetId="1" hidden="1">'11-2023'!$A$1:$A$241</definedName>
    <definedName name="_xlnm._FilterDatabase" localSheetId="2" hidden="1">'12-2023'!$A$1:$A$273</definedName>
    <definedName name="_xlnm._FilterDatabase" localSheetId="9" hidden="1">User!$A$2:$J$5</definedName>
    <definedName name="a" localSheetId="9">#REF!</definedName>
    <definedName name="a" localSheetId="11">#REF!</definedName>
    <definedName name="a" localSheetId="10">#REF!</definedName>
    <definedName name="a">#REF!</definedName>
    <definedName name="_xlnm.Print_Area" localSheetId="9">User!$A$1:$K$14</definedName>
    <definedName name="_xlnm.Print_Titles" localSheetId="9">User!$2:$2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6" l="1"/>
  <c r="G2" i="66" s="1"/>
  <c r="G622" i="66"/>
  <c r="G629" i="66"/>
  <c r="G630" i="66"/>
  <c r="G631" i="66"/>
  <c r="G632" i="66"/>
  <c r="G633" i="66"/>
  <c r="G634" i="66"/>
  <c r="G635" i="66"/>
  <c r="G636" i="66"/>
  <c r="G645" i="66"/>
  <c r="G646" i="66"/>
  <c r="G647" i="66"/>
  <c r="G648" i="66"/>
  <c r="G649" i="66"/>
  <c r="G650" i="66"/>
  <c r="G651" i="66"/>
  <c r="G652" i="66"/>
  <c r="G661" i="66"/>
  <c r="F622" i="66"/>
  <c r="F623" i="66"/>
  <c r="G623" i="66" s="1"/>
  <c r="F624" i="66"/>
  <c r="G624" i="66" s="1"/>
  <c r="F625" i="66"/>
  <c r="G625" i="66" s="1"/>
  <c r="F626" i="66"/>
  <c r="G626" i="66" s="1"/>
  <c r="F627" i="66"/>
  <c r="G627" i="66" s="1"/>
  <c r="F628" i="66"/>
  <c r="G628" i="66" s="1"/>
  <c r="F629" i="66"/>
  <c r="F630" i="66"/>
  <c r="F631" i="66"/>
  <c r="F632" i="66"/>
  <c r="F633" i="66"/>
  <c r="F634" i="66"/>
  <c r="F635" i="66"/>
  <c r="F636" i="66"/>
  <c r="F637" i="66"/>
  <c r="G637" i="66" s="1"/>
  <c r="F638" i="66"/>
  <c r="G638" i="66" s="1"/>
  <c r="F639" i="66"/>
  <c r="G639" i="66" s="1"/>
  <c r="F640" i="66"/>
  <c r="G640" i="66" s="1"/>
  <c r="F641" i="66"/>
  <c r="G641" i="66" s="1"/>
  <c r="F642" i="66"/>
  <c r="G642" i="66" s="1"/>
  <c r="F643" i="66"/>
  <c r="G643" i="66" s="1"/>
  <c r="F644" i="66"/>
  <c r="G644" i="66" s="1"/>
  <c r="F645" i="66"/>
  <c r="F646" i="66"/>
  <c r="F647" i="66"/>
  <c r="F648" i="66"/>
  <c r="F649" i="66"/>
  <c r="F650" i="66"/>
  <c r="F651" i="66"/>
  <c r="F652" i="66"/>
  <c r="F653" i="66"/>
  <c r="G653" i="66" s="1"/>
  <c r="F654" i="66"/>
  <c r="G654" i="66" s="1"/>
  <c r="F655" i="66"/>
  <c r="G655" i="66" s="1"/>
  <c r="F656" i="66"/>
  <c r="G656" i="66" s="1"/>
  <c r="F657" i="66"/>
  <c r="G657" i="66" s="1"/>
  <c r="F658" i="66"/>
  <c r="G658" i="66" s="1"/>
  <c r="F659" i="66"/>
  <c r="G659" i="66" s="1"/>
  <c r="F660" i="66"/>
  <c r="G660" i="66" s="1"/>
  <c r="F661" i="66"/>
  <c r="G589" i="66"/>
  <c r="G590" i="66"/>
  <c r="G591" i="66"/>
  <c r="G592" i="66"/>
  <c r="G593" i="66"/>
  <c r="G594" i="66"/>
  <c r="G595" i="66"/>
  <c r="G596" i="66"/>
  <c r="G605" i="66"/>
  <c r="G606" i="66"/>
  <c r="G607" i="66"/>
  <c r="G608" i="66"/>
  <c r="G609" i="66"/>
  <c r="G610" i="66"/>
  <c r="G611" i="66"/>
  <c r="G612" i="66"/>
  <c r="G621" i="66"/>
  <c r="F582" i="66"/>
  <c r="G582" i="66" s="1"/>
  <c r="F583" i="66"/>
  <c r="G583" i="66" s="1"/>
  <c r="F584" i="66"/>
  <c r="G584" i="66" s="1"/>
  <c r="F585" i="66"/>
  <c r="G585" i="66" s="1"/>
  <c r="F586" i="66"/>
  <c r="G586" i="66" s="1"/>
  <c r="F587" i="66"/>
  <c r="G587" i="66" s="1"/>
  <c r="F588" i="66"/>
  <c r="G588" i="66" s="1"/>
  <c r="F589" i="66"/>
  <c r="F590" i="66"/>
  <c r="F591" i="66"/>
  <c r="F592" i="66"/>
  <c r="F593" i="66"/>
  <c r="F594" i="66"/>
  <c r="F595" i="66"/>
  <c r="F596" i="66"/>
  <c r="F597" i="66"/>
  <c r="G597" i="66" s="1"/>
  <c r="F598" i="66"/>
  <c r="G598" i="66" s="1"/>
  <c r="F599" i="66"/>
  <c r="G599" i="66" s="1"/>
  <c r="F600" i="66"/>
  <c r="G600" i="66" s="1"/>
  <c r="F601" i="66"/>
  <c r="G601" i="66" s="1"/>
  <c r="F602" i="66"/>
  <c r="G602" i="66" s="1"/>
  <c r="F603" i="66"/>
  <c r="G603" i="66" s="1"/>
  <c r="F604" i="66"/>
  <c r="G604" i="66" s="1"/>
  <c r="F605" i="66"/>
  <c r="F606" i="66"/>
  <c r="F607" i="66"/>
  <c r="F608" i="66"/>
  <c r="F609" i="66"/>
  <c r="F610" i="66"/>
  <c r="F611" i="66"/>
  <c r="F612" i="66"/>
  <c r="F613" i="66"/>
  <c r="G613" i="66" s="1"/>
  <c r="F614" i="66"/>
  <c r="G614" i="66" s="1"/>
  <c r="F615" i="66"/>
  <c r="G615" i="66" s="1"/>
  <c r="F616" i="66"/>
  <c r="G616" i="66" s="1"/>
  <c r="F617" i="66"/>
  <c r="G617" i="66" s="1"/>
  <c r="F618" i="66"/>
  <c r="G618" i="66" s="1"/>
  <c r="F619" i="66"/>
  <c r="G619" i="66" s="1"/>
  <c r="F620" i="66"/>
  <c r="G620" i="66" s="1"/>
  <c r="F621" i="66"/>
  <c r="G548" i="66"/>
  <c r="G551" i="66"/>
  <c r="G552" i="66"/>
  <c r="G557" i="66"/>
  <c r="G558" i="66"/>
  <c r="G559" i="66"/>
  <c r="G560" i="66"/>
  <c r="G561" i="66"/>
  <c r="G562" i="66"/>
  <c r="G563" i="66"/>
  <c r="G564" i="66"/>
  <c r="G567" i="66"/>
  <c r="G568" i="66"/>
  <c r="G577" i="66"/>
  <c r="G578" i="66"/>
  <c r="G579" i="66"/>
  <c r="G580" i="66"/>
  <c r="F548" i="66"/>
  <c r="F549" i="66"/>
  <c r="G549" i="66" s="1"/>
  <c r="F550" i="66"/>
  <c r="G550" i="66" s="1"/>
  <c r="F551" i="66"/>
  <c r="F552" i="66"/>
  <c r="F553" i="66"/>
  <c r="G553" i="66" s="1"/>
  <c r="F554" i="66"/>
  <c r="G554" i="66" s="1"/>
  <c r="F555" i="66"/>
  <c r="G555" i="66" s="1"/>
  <c r="F556" i="66"/>
  <c r="G556" i="66" s="1"/>
  <c r="F557" i="66"/>
  <c r="F558" i="66"/>
  <c r="F559" i="66"/>
  <c r="F560" i="66"/>
  <c r="F561" i="66"/>
  <c r="F562" i="66"/>
  <c r="F563" i="66"/>
  <c r="F564" i="66"/>
  <c r="F565" i="66"/>
  <c r="G565" i="66" s="1"/>
  <c r="F566" i="66"/>
  <c r="G566" i="66" s="1"/>
  <c r="F567" i="66"/>
  <c r="F568" i="66"/>
  <c r="F569" i="66"/>
  <c r="G569" i="66" s="1"/>
  <c r="F570" i="66"/>
  <c r="G570" i="66" s="1"/>
  <c r="F571" i="66"/>
  <c r="G571" i="66" s="1"/>
  <c r="F572" i="66"/>
  <c r="G572" i="66" s="1"/>
  <c r="F573" i="66"/>
  <c r="G573" i="66" s="1"/>
  <c r="F574" i="66"/>
  <c r="G574" i="66" s="1"/>
  <c r="F575" i="66"/>
  <c r="G575" i="66" s="1"/>
  <c r="F576" i="66"/>
  <c r="G576" i="66" s="1"/>
  <c r="F577" i="66"/>
  <c r="F578" i="66"/>
  <c r="F579" i="66"/>
  <c r="F580" i="66"/>
  <c r="F581" i="66"/>
  <c r="G581" i="66" s="1"/>
  <c r="G514" i="66"/>
  <c r="G521" i="66"/>
  <c r="G522" i="66"/>
  <c r="G523" i="66"/>
  <c r="G524" i="66"/>
  <c r="G525" i="66"/>
  <c r="G526" i="66"/>
  <c r="G529" i="66"/>
  <c r="G530" i="66"/>
  <c r="G534" i="66"/>
  <c r="G535" i="66"/>
  <c r="G536" i="66"/>
  <c r="G537" i="66"/>
  <c r="G538" i="66"/>
  <c r="G539" i="66"/>
  <c r="G540" i="66"/>
  <c r="G541" i="66"/>
  <c r="G542" i="66"/>
  <c r="G545" i="66"/>
  <c r="G546" i="66"/>
  <c r="F514" i="66"/>
  <c r="F515" i="66"/>
  <c r="G515" i="66" s="1"/>
  <c r="F516" i="66"/>
  <c r="G516" i="66" s="1"/>
  <c r="F517" i="66"/>
  <c r="G517" i="66" s="1"/>
  <c r="F518" i="66"/>
  <c r="G518" i="66" s="1"/>
  <c r="F519" i="66"/>
  <c r="G519" i="66" s="1"/>
  <c r="F520" i="66"/>
  <c r="G520" i="66" s="1"/>
  <c r="F521" i="66"/>
  <c r="F522" i="66"/>
  <c r="F523" i="66"/>
  <c r="F524" i="66"/>
  <c r="F525" i="66"/>
  <c r="F526" i="66"/>
  <c r="F527" i="66"/>
  <c r="G527" i="66" s="1"/>
  <c r="F528" i="66"/>
  <c r="G528" i="66" s="1"/>
  <c r="F529" i="66"/>
  <c r="F530" i="66"/>
  <c r="F531" i="66"/>
  <c r="G531" i="66" s="1"/>
  <c r="F532" i="66"/>
  <c r="G532" i="66" s="1"/>
  <c r="F533" i="66"/>
  <c r="G533" i="66" s="1"/>
  <c r="F534" i="66"/>
  <c r="F535" i="66"/>
  <c r="F536" i="66"/>
  <c r="F537" i="66"/>
  <c r="F538" i="66"/>
  <c r="F539" i="66"/>
  <c r="F540" i="66"/>
  <c r="F541" i="66"/>
  <c r="F542" i="66"/>
  <c r="F543" i="66"/>
  <c r="G543" i="66" s="1"/>
  <c r="F544" i="66"/>
  <c r="G544" i="66" s="1"/>
  <c r="F545" i="66"/>
  <c r="F546" i="66"/>
  <c r="F547" i="66"/>
  <c r="G547" i="66" s="1"/>
  <c r="G481" i="66"/>
  <c r="G482" i="66"/>
  <c r="G483" i="66"/>
  <c r="G484" i="66"/>
  <c r="G487" i="66"/>
  <c r="G488" i="66"/>
  <c r="G489" i="66"/>
  <c r="G494" i="66"/>
  <c r="G495" i="66"/>
  <c r="G497" i="66"/>
  <c r="G498" i="66"/>
  <c r="G499" i="66"/>
  <c r="G500" i="66"/>
  <c r="G503" i="66"/>
  <c r="G504" i="66"/>
  <c r="G505" i="66"/>
  <c r="G510" i="66"/>
  <c r="G511" i="66"/>
  <c r="G513" i="66"/>
  <c r="F478" i="66"/>
  <c r="G478" i="66" s="1"/>
  <c r="F479" i="66"/>
  <c r="G479" i="66" s="1"/>
  <c r="F480" i="66"/>
  <c r="G480" i="66" s="1"/>
  <c r="F481" i="66"/>
  <c r="F482" i="66"/>
  <c r="F483" i="66"/>
  <c r="F484" i="66"/>
  <c r="F485" i="66"/>
  <c r="G485" i="66" s="1"/>
  <c r="F486" i="66"/>
  <c r="G486" i="66" s="1"/>
  <c r="F487" i="66"/>
  <c r="F488" i="66"/>
  <c r="F489" i="66"/>
  <c r="F490" i="66"/>
  <c r="G490" i="66" s="1"/>
  <c r="F491" i="66"/>
  <c r="G491" i="66" s="1"/>
  <c r="F492" i="66"/>
  <c r="G492" i="66" s="1"/>
  <c r="F493" i="66"/>
  <c r="G493" i="66" s="1"/>
  <c r="F494" i="66"/>
  <c r="F495" i="66"/>
  <c r="F496" i="66"/>
  <c r="G496" i="66" s="1"/>
  <c r="F497" i="66"/>
  <c r="F498" i="66"/>
  <c r="F499" i="66"/>
  <c r="F500" i="66"/>
  <c r="F501" i="66"/>
  <c r="G501" i="66" s="1"/>
  <c r="F502" i="66"/>
  <c r="G502" i="66" s="1"/>
  <c r="F503" i="66"/>
  <c r="F504" i="66"/>
  <c r="F505" i="66"/>
  <c r="F506" i="66"/>
  <c r="G506" i="66" s="1"/>
  <c r="F507" i="66"/>
  <c r="G507" i="66" s="1"/>
  <c r="F508" i="66"/>
  <c r="G508" i="66" s="1"/>
  <c r="F509" i="66"/>
  <c r="G509" i="66" s="1"/>
  <c r="F510" i="66"/>
  <c r="F511" i="66"/>
  <c r="F512" i="66"/>
  <c r="G512" i="66" s="1"/>
  <c r="F513" i="66"/>
  <c r="G444" i="66"/>
  <c r="G447" i="66"/>
  <c r="G448" i="66"/>
  <c r="G452" i="66"/>
  <c r="G453" i="66"/>
  <c r="G454" i="66"/>
  <c r="G455" i="66"/>
  <c r="G456" i="66"/>
  <c r="G457" i="66"/>
  <c r="G458" i="66"/>
  <c r="G459" i="66"/>
  <c r="G460" i="66"/>
  <c r="G463" i="66"/>
  <c r="G464" i="66"/>
  <c r="G468" i="66"/>
  <c r="G473" i="66"/>
  <c r="G474" i="66"/>
  <c r="G475" i="66"/>
  <c r="G476" i="66"/>
  <c r="F444" i="66"/>
  <c r="F445" i="66"/>
  <c r="G445" i="66" s="1"/>
  <c r="F446" i="66"/>
  <c r="G446" i="66" s="1"/>
  <c r="F447" i="66"/>
  <c r="F448" i="66"/>
  <c r="F449" i="66"/>
  <c r="G449" i="66" s="1"/>
  <c r="F450" i="66"/>
  <c r="G450" i="66" s="1"/>
  <c r="F451" i="66"/>
  <c r="G451" i="66" s="1"/>
  <c r="F452" i="66"/>
  <c r="F453" i="66"/>
  <c r="F454" i="66"/>
  <c r="F455" i="66"/>
  <c r="F456" i="66"/>
  <c r="F457" i="66"/>
  <c r="F458" i="66"/>
  <c r="F459" i="66"/>
  <c r="F460" i="66"/>
  <c r="F461" i="66"/>
  <c r="G461" i="66" s="1"/>
  <c r="F462" i="66"/>
  <c r="G462" i="66" s="1"/>
  <c r="F463" i="66"/>
  <c r="F464" i="66"/>
  <c r="F465" i="66"/>
  <c r="G465" i="66" s="1"/>
  <c r="F466" i="66"/>
  <c r="G466" i="66" s="1"/>
  <c r="F467" i="66"/>
  <c r="G467" i="66" s="1"/>
  <c r="F468" i="66"/>
  <c r="F469" i="66"/>
  <c r="G469" i="66" s="1"/>
  <c r="F470" i="66"/>
  <c r="G470" i="66" s="1"/>
  <c r="F471" i="66"/>
  <c r="G471" i="66" s="1"/>
  <c r="F472" i="66"/>
  <c r="G472" i="66" s="1"/>
  <c r="F473" i="66"/>
  <c r="F474" i="66"/>
  <c r="F475" i="66"/>
  <c r="F476" i="66"/>
  <c r="F477" i="66"/>
  <c r="G477" i="66" s="1"/>
  <c r="G408" i="66"/>
  <c r="G415" i="66"/>
  <c r="G416" i="66"/>
  <c r="G417" i="66"/>
  <c r="G418" i="66"/>
  <c r="G421" i="66"/>
  <c r="G422" i="66"/>
  <c r="G423" i="66"/>
  <c r="G424" i="66"/>
  <c r="G428" i="66"/>
  <c r="G429" i="66"/>
  <c r="G430" i="66"/>
  <c r="G431" i="66"/>
  <c r="G432" i="66"/>
  <c r="G433" i="66"/>
  <c r="G434" i="66"/>
  <c r="G437" i="66"/>
  <c r="G438" i="66"/>
  <c r="G439" i="66"/>
  <c r="F408" i="66"/>
  <c r="F409" i="66"/>
  <c r="G409" i="66" s="1"/>
  <c r="F410" i="66"/>
  <c r="G410" i="66" s="1"/>
  <c r="F411" i="66"/>
  <c r="G411" i="66" s="1"/>
  <c r="F412" i="66"/>
  <c r="G412" i="66" s="1"/>
  <c r="F413" i="66"/>
  <c r="G413" i="66" s="1"/>
  <c r="F414" i="66"/>
  <c r="G414" i="66" s="1"/>
  <c r="F415" i="66"/>
  <c r="F416" i="66"/>
  <c r="F417" i="66"/>
  <c r="F418" i="66"/>
  <c r="F419" i="66"/>
  <c r="G419" i="66" s="1"/>
  <c r="F420" i="66"/>
  <c r="G420" i="66" s="1"/>
  <c r="F421" i="66"/>
  <c r="F422" i="66"/>
  <c r="F423" i="66"/>
  <c r="F424" i="66"/>
  <c r="F425" i="66"/>
  <c r="G425" i="66" s="1"/>
  <c r="F426" i="66"/>
  <c r="G426" i="66" s="1"/>
  <c r="F427" i="66"/>
  <c r="G427" i="66" s="1"/>
  <c r="F428" i="66"/>
  <c r="F429" i="66"/>
  <c r="F430" i="66"/>
  <c r="F431" i="66"/>
  <c r="F432" i="66"/>
  <c r="F433" i="66"/>
  <c r="F434" i="66"/>
  <c r="F435" i="66"/>
  <c r="G435" i="66" s="1"/>
  <c r="F436" i="66"/>
  <c r="G436" i="66" s="1"/>
  <c r="F437" i="66"/>
  <c r="F438" i="66"/>
  <c r="F439" i="66"/>
  <c r="F440" i="66"/>
  <c r="G440" i="66" s="1"/>
  <c r="F441" i="66"/>
  <c r="G441" i="66" s="1"/>
  <c r="F442" i="66"/>
  <c r="G442" i="66" s="1"/>
  <c r="F443" i="66"/>
  <c r="G443" i="66" s="1"/>
  <c r="G372" i="66"/>
  <c r="G373" i="66"/>
  <c r="G374" i="66"/>
  <c r="G377" i="66"/>
  <c r="G378" i="66"/>
  <c r="G379" i="66"/>
  <c r="G385" i="66"/>
  <c r="G386" i="66"/>
  <c r="G387" i="66"/>
  <c r="G388" i="66"/>
  <c r="G389" i="66"/>
  <c r="G390" i="66"/>
  <c r="G393" i="66"/>
  <c r="G394" i="66"/>
  <c r="G395" i="66"/>
  <c r="G401" i="66"/>
  <c r="G402" i="66"/>
  <c r="G403" i="66"/>
  <c r="G404" i="66"/>
  <c r="G405" i="66"/>
  <c r="G406" i="66"/>
  <c r="F372" i="66"/>
  <c r="F373" i="66"/>
  <c r="F374" i="66"/>
  <c r="F375" i="66"/>
  <c r="G375" i="66" s="1"/>
  <c r="F376" i="66"/>
  <c r="G376" i="66" s="1"/>
  <c r="F377" i="66"/>
  <c r="F378" i="66"/>
  <c r="F379" i="66"/>
  <c r="F380" i="66"/>
  <c r="G380" i="66" s="1"/>
  <c r="F381" i="66"/>
  <c r="G381" i="66" s="1"/>
  <c r="F382" i="66"/>
  <c r="G382" i="66" s="1"/>
  <c r="F383" i="66"/>
  <c r="G383" i="66" s="1"/>
  <c r="F384" i="66"/>
  <c r="G384" i="66" s="1"/>
  <c r="F385" i="66"/>
  <c r="F386" i="66"/>
  <c r="F387" i="66"/>
  <c r="F388" i="66"/>
  <c r="F389" i="66"/>
  <c r="F390" i="66"/>
  <c r="F391" i="66"/>
  <c r="G391" i="66" s="1"/>
  <c r="F392" i="66"/>
  <c r="G392" i="66" s="1"/>
  <c r="F393" i="66"/>
  <c r="F394" i="66"/>
  <c r="F395" i="66"/>
  <c r="F396" i="66"/>
  <c r="G396" i="66" s="1"/>
  <c r="F397" i="66"/>
  <c r="G397" i="66" s="1"/>
  <c r="F398" i="66"/>
  <c r="G398" i="66" s="1"/>
  <c r="F399" i="66"/>
  <c r="G399" i="66" s="1"/>
  <c r="F400" i="66"/>
  <c r="G400" i="66" s="1"/>
  <c r="F401" i="66"/>
  <c r="F402" i="66"/>
  <c r="F403" i="66"/>
  <c r="F404" i="66"/>
  <c r="F405" i="66"/>
  <c r="F406" i="66"/>
  <c r="F407" i="66"/>
  <c r="G407" i="66" s="1"/>
  <c r="G343" i="66"/>
  <c r="G344" i="66"/>
  <c r="G345" i="66"/>
  <c r="G346" i="66"/>
  <c r="G349" i="66"/>
  <c r="G350" i="66"/>
  <c r="G351" i="66"/>
  <c r="G356" i="66"/>
  <c r="G357" i="66"/>
  <c r="G359" i="66"/>
  <c r="G360" i="66"/>
  <c r="G361" i="66"/>
  <c r="G362" i="66"/>
  <c r="G365" i="66"/>
  <c r="G366" i="66"/>
  <c r="G367" i="66"/>
  <c r="F336" i="66"/>
  <c r="G336" i="66" s="1"/>
  <c r="F337" i="66"/>
  <c r="G337" i="66" s="1"/>
  <c r="F338" i="66"/>
  <c r="G338" i="66" s="1"/>
  <c r="F339" i="66"/>
  <c r="G339" i="66" s="1"/>
  <c r="F340" i="66"/>
  <c r="G340" i="66" s="1"/>
  <c r="F341" i="66"/>
  <c r="G341" i="66" s="1"/>
  <c r="F342" i="66"/>
  <c r="G342" i="66" s="1"/>
  <c r="F343" i="66"/>
  <c r="F344" i="66"/>
  <c r="F345" i="66"/>
  <c r="F346" i="66"/>
  <c r="F347" i="66"/>
  <c r="G347" i="66" s="1"/>
  <c r="F348" i="66"/>
  <c r="G348" i="66" s="1"/>
  <c r="F349" i="66"/>
  <c r="F350" i="66"/>
  <c r="F351" i="66"/>
  <c r="F352" i="66"/>
  <c r="G352" i="66" s="1"/>
  <c r="F353" i="66"/>
  <c r="G353" i="66" s="1"/>
  <c r="F354" i="66"/>
  <c r="G354" i="66" s="1"/>
  <c r="F355" i="66"/>
  <c r="G355" i="66" s="1"/>
  <c r="F356" i="66"/>
  <c r="F357" i="66"/>
  <c r="F358" i="66"/>
  <c r="G358" i="66" s="1"/>
  <c r="F359" i="66"/>
  <c r="F360" i="66"/>
  <c r="F361" i="66"/>
  <c r="F362" i="66"/>
  <c r="F363" i="66"/>
  <c r="G363" i="66" s="1"/>
  <c r="F364" i="66"/>
  <c r="G364" i="66" s="1"/>
  <c r="F365" i="66"/>
  <c r="F366" i="66"/>
  <c r="F367" i="66"/>
  <c r="F368" i="66"/>
  <c r="G368" i="66" s="1"/>
  <c r="F369" i="66"/>
  <c r="G369" i="66" s="1"/>
  <c r="F370" i="66"/>
  <c r="G370" i="66" s="1"/>
  <c r="F371" i="66"/>
  <c r="G371" i="66" s="1"/>
  <c r="G328" i="66"/>
  <c r="F304" i="66"/>
  <c r="G304" i="66" s="1"/>
  <c r="F305" i="66"/>
  <c r="G305" i="66" s="1"/>
  <c r="F306" i="66"/>
  <c r="G306" i="66" s="1"/>
  <c r="F307" i="66"/>
  <c r="G307" i="66" s="1"/>
  <c r="F308" i="66"/>
  <c r="G308" i="66" s="1"/>
  <c r="F309" i="66"/>
  <c r="G309" i="66" s="1"/>
  <c r="F310" i="66"/>
  <c r="G310" i="66" s="1"/>
  <c r="F311" i="66"/>
  <c r="G311" i="66" s="1"/>
  <c r="F312" i="66"/>
  <c r="G312" i="66" s="1"/>
  <c r="F313" i="66"/>
  <c r="G313" i="66" s="1"/>
  <c r="F314" i="66"/>
  <c r="G314" i="66" s="1"/>
  <c r="F315" i="66"/>
  <c r="G315" i="66" s="1"/>
  <c r="F316" i="66"/>
  <c r="G316" i="66" s="1"/>
  <c r="F317" i="66"/>
  <c r="G317" i="66" s="1"/>
  <c r="F318" i="66"/>
  <c r="G318" i="66" s="1"/>
  <c r="F319" i="66"/>
  <c r="G319" i="66" s="1"/>
  <c r="F320" i="66"/>
  <c r="G320" i="66" s="1"/>
  <c r="F321" i="66"/>
  <c r="G321" i="66" s="1"/>
  <c r="F322" i="66"/>
  <c r="G322" i="66" s="1"/>
  <c r="F323" i="66"/>
  <c r="G323" i="66" s="1"/>
  <c r="F324" i="66"/>
  <c r="G324" i="66" s="1"/>
  <c r="F325" i="66"/>
  <c r="G325" i="66" s="1"/>
  <c r="F326" i="66"/>
  <c r="G326" i="66" s="1"/>
  <c r="F327" i="66"/>
  <c r="G327" i="66" s="1"/>
  <c r="F328" i="66"/>
  <c r="F329" i="66"/>
  <c r="G329" i="66" s="1"/>
  <c r="F330" i="66"/>
  <c r="G330" i="66" s="1"/>
  <c r="F331" i="66"/>
  <c r="G331" i="66" s="1"/>
  <c r="F332" i="66"/>
  <c r="G332" i="66" s="1"/>
  <c r="F333" i="66"/>
  <c r="G333" i="66" s="1"/>
  <c r="F334" i="66"/>
  <c r="G334" i="66" s="1"/>
  <c r="F335" i="66"/>
  <c r="G335" i="66" s="1"/>
  <c r="F303" i="66"/>
  <c r="G303" i="66"/>
  <c r="F302" i="66"/>
  <c r="G302" i="66" s="1"/>
  <c r="G276" i="66"/>
  <c r="G277" i="66"/>
  <c r="G280" i="66"/>
  <c r="G281" i="66"/>
  <c r="G282" i="66"/>
  <c r="G286" i="66"/>
  <c r="G287" i="66"/>
  <c r="G292" i="66"/>
  <c r="G293" i="66"/>
  <c r="G296" i="66"/>
  <c r="G297" i="66"/>
  <c r="G298" i="66"/>
  <c r="G299" i="66"/>
  <c r="F272" i="66"/>
  <c r="G272" i="66" s="1"/>
  <c r="F273" i="66"/>
  <c r="G273" i="66" s="1"/>
  <c r="F274" i="66"/>
  <c r="G274" i="66" s="1"/>
  <c r="F275" i="66"/>
  <c r="G275" i="66" s="1"/>
  <c r="F276" i="66"/>
  <c r="F277" i="66"/>
  <c r="F278" i="66"/>
  <c r="G278" i="66" s="1"/>
  <c r="F279" i="66"/>
  <c r="G279" i="66" s="1"/>
  <c r="F280" i="66"/>
  <c r="F281" i="66"/>
  <c r="F282" i="66"/>
  <c r="F283" i="66"/>
  <c r="G283" i="66" s="1"/>
  <c r="F284" i="66"/>
  <c r="G284" i="66" s="1"/>
  <c r="F285" i="66"/>
  <c r="G285" i="66" s="1"/>
  <c r="F286" i="66"/>
  <c r="F287" i="66"/>
  <c r="F288" i="66"/>
  <c r="G288" i="66" s="1"/>
  <c r="F289" i="66"/>
  <c r="G289" i="66" s="1"/>
  <c r="F290" i="66"/>
  <c r="G290" i="66" s="1"/>
  <c r="F291" i="66"/>
  <c r="G291" i="66" s="1"/>
  <c r="F292" i="66"/>
  <c r="F293" i="66"/>
  <c r="F294" i="66"/>
  <c r="G294" i="66" s="1"/>
  <c r="F295" i="66"/>
  <c r="G295" i="66" s="1"/>
  <c r="F296" i="66"/>
  <c r="F297" i="66"/>
  <c r="F298" i="66"/>
  <c r="F299" i="66"/>
  <c r="F300" i="66"/>
  <c r="G300" i="66" s="1"/>
  <c r="F301" i="66"/>
  <c r="G301" i="66" s="1"/>
  <c r="G248" i="66"/>
  <c r="G249" i="66"/>
  <c r="G250" i="66"/>
  <c r="G260" i="66"/>
  <c r="G261" i="66"/>
  <c r="G262" i="66"/>
  <c r="G263" i="66"/>
  <c r="G264" i="66"/>
  <c r="G265" i="66"/>
  <c r="G266" i="66"/>
  <c r="F247" i="66"/>
  <c r="G247" i="66" s="1"/>
  <c r="F248" i="66"/>
  <c r="F249" i="66"/>
  <c r="F250" i="66"/>
  <c r="F251" i="66"/>
  <c r="G251" i="66" s="1"/>
  <c r="F252" i="66"/>
  <c r="G252" i="66" s="1"/>
  <c r="F253" i="66"/>
  <c r="G253" i="66" s="1"/>
  <c r="F254" i="66"/>
  <c r="G254" i="66" s="1"/>
  <c r="F255" i="66"/>
  <c r="G255" i="66" s="1"/>
  <c r="F256" i="66"/>
  <c r="G256" i="66" s="1"/>
  <c r="F257" i="66"/>
  <c r="G257" i="66" s="1"/>
  <c r="F258" i="66"/>
  <c r="G258" i="66" s="1"/>
  <c r="F259" i="66"/>
  <c r="G259" i="66" s="1"/>
  <c r="F260" i="66"/>
  <c r="F261" i="66"/>
  <c r="F262" i="66"/>
  <c r="F263" i="66"/>
  <c r="F264" i="66"/>
  <c r="F265" i="66"/>
  <c r="F266" i="66"/>
  <c r="F267" i="66"/>
  <c r="G267" i="66" s="1"/>
  <c r="F268" i="66"/>
  <c r="G268" i="66" s="1"/>
  <c r="F269" i="66"/>
  <c r="G269" i="66" s="1"/>
  <c r="F270" i="66"/>
  <c r="G270" i="66" s="1"/>
  <c r="F271" i="66"/>
  <c r="G271" i="66" s="1"/>
  <c r="F246" i="66"/>
  <c r="G246" i="66" s="1"/>
  <c r="F245" i="66"/>
  <c r="G245" i="66" s="1"/>
  <c r="F244" i="66"/>
  <c r="G244" i="66" s="1"/>
  <c r="F243" i="66"/>
  <c r="G243" i="66" s="1"/>
  <c r="F242" i="66"/>
  <c r="G242" i="66" s="1"/>
  <c r="G227" i="66"/>
  <c r="G235" i="66"/>
  <c r="F226" i="66"/>
  <c r="G226" i="66" s="1"/>
  <c r="F227" i="66"/>
  <c r="F228" i="66"/>
  <c r="G228" i="66" s="1"/>
  <c r="F229" i="66"/>
  <c r="G229" i="66" s="1"/>
  <c r="F230" i="66"/>
  <c r="G230" i="66" s="1"/>
  <c r="F231" i="66"/>
  <c r="G231" i="66" s="1"/>
  <c r="F232" i="66"/>
  <c r="G232" i="66" s="1"/>
  <c r="F233" i="66"/>
  <c r="G233" i="66" s="1"/>
  <c r="F234" i="66"/>
  <c r="G234" i="66" s="1"/>
  <c r="F235" i="66"/>
  <c r="F236" i="66"/>
  <c r="G236" i="66" s="1"/>
  <c r="F237" i="66"/>
  <c r="G237" i="66" s="1"/>
  <c r="F238" i="66"/>
  <c r="G238" i="66" s="1"/>
  <c r="F239" i="66"/>
  <c r="G239" i="66" s="1"/>
  <c r="F240" i="66"/>
  <c r="G240" i="66" s="1"/>
  <c r="F241" i="66"/>
  <c r="G241" i="66" s="1"/>
  <c r="F225" i="66"/>
  <c r="G225" i="66"/>
  <c r="F224" i="66"/>
  <c r="G224" i="66" s="1"/>
  <c r="F223" i="66"/>
  <c r="G223" i="66" s="1"/>
  <c r="F222" i="66"/>
  <c r="G222" i="66"/>
  <c r="G182" i="66"/>
  <c r="G183" i="66"/>
  <c r="G184" i="66"/>
  <c r="G185" i="66"/>
  <c r="G186" i="66"/>
  <c r="G187" i="66"/>
  <c r="G193" i="66"/>
  <c r="G196" i="66"/>
  <c r="G197" i="66"/>
  <c r="G198" i="66"/>
  <c r="G199" i="66"/>
  <c r="G200" i="66"/>
  <c r="G201" i="66"/>
  <c r="G202" i="66"/>
  <c r="G203" i="66"/>
  <c r="G209" i="66"/>
  <c r="G212" i="66"/>
  <c r="G213" i="66"/>
  <c r="G214" i="66"/>
  <c r="G215" i="66"/>
  <c r="G216" i="66"/>
  <c r="G217" i="66"/>
  <c r="G218" i="66"/>
  <c r="G219" i="66"/>
  <c r="F182" i="66"/>
  <c r="F183" i="66"/>
  <c r="F184" i="66"/>
  <c r="F185" i="66"/>
  <c r="F186" i="66"/>
  <c r="F187" i="66"/>
  <c r="F188" i="66"/>
  <c r="G188" i="66" s="1"/>
  <c r="F189" i="66"/>
  <c r="G189" i="66" s="1"/>
  <c r="F190" i="66"/>
  <c r="G190" i="66" s="1"/>
  <c r="F191" i="66"/>
  <c r="G191" i="66" s="1"/>
  <c r="F192" i="66"/>
  <c r="G192" i="66" s="1"/>
  <c r="F193" i="66"/>
  <c r="F194" i="66"/>
  <c r="G194" i="66" s="1"/>
  <c r="F195" i="66"/>
  <c r="G195" i="66" s="1"/>
  <c r="F196" i="66"/>
  <c r="F197" i="66"/>
  <c r="F198" i="66"/>
  <c r="F199" i="66"/>
  <c r="F200" i="66"/>
  <c r="F201" i="66"/>
  <c r="F202" i="66"/>
  <c r="F203" i="66"/>
  <c r="F204" i="66"/>
  <c r="G204" i="66" s="1"/>
  <c r="F205" i="66"/>
  <c r="G205" i="66" s="1"/>
  <c r="F206" i="66"/>
  <c r="G206" i="66" s="1"/>
  <c r="F207" i="66"/>
  <c r="G207" i="66" s="1"/>
  <c r="F208" i="66"/>
  <c r="G208" i="66" s="1"/>
  <c r="F209" i="66"/>
  <c r="F210" i="66"/>
  <c r="G210" i="66" s="1"/>
  <c r="F211" i="66"/>
  <c r="G211" i="66" s="1"/>
  <c r="F212" i="66"/>
  <c r="F213" i="66"/>
  <c r="F214" i="66"/>
  <c r="F215" i="66"/>
  <c r="F216" i="66"/>
  <c r="F217" i="66"/>
  <c r="F218" i="66"/>
  <c r="F219" i="66"/>
  <c r="F220" i="66"/>
  <c r="G220" i="66" s="1"/>
  <c r="F221" i="66"/>
  <c r="G221" i="66" s="1"/>
  <c r="F181" i="66"/>
  <c r="G181" i="66"/>
  <c r="F180" i="66"/>
  <c r="G180" i="66" s="1"/>
  <c r="G174" i="66"/>
  <c r="G175" i="66"/>
  <c r="G176" i="66"/>
  <c r="G177" i="66"/>
  <c r="F174" i="66"/>
  <c r="F175" i="66"/>
  <c r="F176" i="66"/>
  <c r="F177" i="66"/>
  <c r="F178" i="66"/>
  <c r="G178" i="66" s="1"/>
  <c r="F179" i="66"/>
  <c r="G179" i="66" s="1"/>
  <c r="F164" i="66"/>
  <c r="G164" i="66" s="1"/>
  <c r="F159" i="66"/>
  <c r="G159" i="66" s="1"/>
  <c r="F160" i="66"/>
  <c r="G160" i="66" s="1"/>
  <c r="F161" i="66"/>
  <c r="G161" i="66" s="1"/>
  <c r="F162" i="66"/>
  <c r="G162" i="66" s="1"/>
  <c r="F163" i="66"/>
  <c r="G163" i="66" s="1"/>
  <c r="F165" i="66"/>
  <c r="G165" i="66" s="1"/>
  <c r="F166" i="66"/>
  <c r="G166" i="66" s="1"/>
  <c r="F167" i="66"/>
  <c r="G167" i="66" s="1"/>
  <c r="F168" i="66"/>
  <c r="G168" i="66" s="1"/>
  <c r="F169" i="66"/>
  <c r="G169" i="66" s="1"/>
  <c r="F170" i="66"/>
  <c r="G170" i="66" s="1"/>
  <c r="F171" i="66"/>
  <c r="G171" i="66" s="1"/>
  <c r="F172" i="66"/>
  <c r="G172" i="66" s="1"/>
  <c r="F173" i="66"/>
  <c r="G173" i="66" s="1"/>
  <c r="F155" i="66"/>
  <c r="G155" i="66" s="1"/>
  <c r="F138" i="66"/>
  <c r="G138" i="66" s="1"/>
  <c r="F139" i="66"/>
  <c r="G139" i="66" s="1"/>
  <c r="F140" i="66"/>
  <c r="G140" i="66" s="1"/>
  <c r="F141" i="66"/>
  <c r="G141" i="66" s="1"/>
  <c r="F142" i="66"/>
  <c r="G142" i="66" s="1"/>
  <c r="F143" i="66"/>
  <c r="G143" i="66" s="1"/>
  <c r="F144" i="66"/>
  <c r="G144" i="66" s="1"/>
  <c r="F145" i="66"/>
  <c r="G145" i="66" s="1"/>
  <c r="F146" i="66"/>
  <c r="G146" i="66" s="1"/>
  <c r="F147" i="66"/>
  <c r="G147" i="66" s="1"/>
  <c r="F148" i="66"/>
  <c r="G148" i="66" s="1"/>
  <c r="F149" i="66"/>
  <c r="G149" i="66" s="1"/>
  <c r="F150" i="66"/>
  <c r="G150" i="66" s="1"/>
  <c r="F151" i="66"/>
  <c r="G151" i="66" s="1"/>
  <c r="F152" i="66"/>
  <c r="G152" i="66" s="1"/>
  <c r="F153" i="66"/>
  <c r="G153" i="66" s="1"/>
  <c r="F154" i="66"/>
  <c r="G154" i="66" s="1"/>
  <c r="G131" i="66"/>
  <c r="F120" i="66"/>
  <c r="G120" i="66" s="1"/>
  <c r="F121" i="66"/>
  <c r="G121" i="66" s="1"/>
  <c r="F122" i="66"/>
  <c r="G122" i="66" s="1"/>
  <c r="F123" i="66"/>
  <c r="G123" i="66" s="1"/>
  <c r="F124" i="66"/>
  <c r="G124" i="66" s="1"/>
  <c r="F125" i="66"/>
  <c r="G125" i="66" s="1"/>
  <c r="F126" i="66"/>
  <c r="G126" i="66" s="1"/>
  <c r="F127" i="66"/>
  <c r="G127" i="66" s="1"/>
  <c r="F128" i="66"/>
  <c r="G128" i="66" s="1"/>
  <c r="F129" i="66"/>
  <c r="G129" i="66" s="1"/>
  <c r="F130" i="66"/>
  <c r="G130" i="66" s="1"/>
  <c r="F131" i="66"/>
  <c r="F132" i="66"/>
  <c r="G132" i="66" s="1"/>
  <c r="F133" i="66"/>
  <c r="G133" i="66" s="1"/>
  <c r="F134" i="66"/>
  <c r="G134" i="66" s="1"/>
  <c r="F135" i="66"/>
  <c r="G135" i="66" s="1"/>
  <c r="F136" i="66"/>
  <c r="G136" i="66" s="1"/>
  <c r="F137" i="66"/>
  <c r="G137" i="66" s="1"/>
  <c r="F102" i="66"/>
  <c r="G102" i="66" s="1"/>
  <c r="F103" i="66"/>
  <c r="G103" i="66" s="1"/>
  <c r="F104" i="66"/>
  <c r="G104" i="66" s="1"/>
  <c r="F105" i="66"/>
  <c r="G105" i="66" s="1"/>
  <c r="F106" i="66"/>
  <c r="G106" i="66" s="1"/>
  <c r="F107" i="66"/>
  <c r="G107" i="66" s="1"/>
  <c r="F108" i="66"/>
  <c r="G108" i="66" s="1"/>
  <c r="F109" i="66"/>
  <c r="G109" i="66" s="1"/>
  <c r="F110" i="66"/>
  <c r="G110" i="66" s="1"/>
  <c r="F111" i="66"/>
  <c r="G111" i="66" s="1"/>
  <c r="F112" i="66"/>
  <c r="G112" i="66" s="1"/>
  <c r="F113" i="66"/>
  <c r="G113" i="66" s="1"/>
  <c r="F114" i="66"/>
  <c r="G114" i="66" s="1"/>
  <c r="F115" i="66"/>
  <c r="G115" i="66" s="1"/>
  <c r="F116" i="66"/>
  <c r="G116" i="66" s="1"/>
  <c r="F117" i="66"/>
  <c r="G117" i="66" s="1"/>
  <c r="F118" i="66"/>
  <c r="G118" i="66" s="1"/>
  <c r="F119" i="66"/>
  <c r="G119" i="66" s="1"/>
  <c r="F84" i="66"/>
  <c r="G84" i="66" s="1"/>
  <c r="F85" i="66"/>
  <c r="G85" i="66" s="1"/>
  <c r="F86" i="66"/>
  <c r="G86" i="66" s="1"/>
  <c r="F87" i="66"/>
  <c r="G87" i="66" s="1"/>
  <c r="F88" i="66"/>
  <c r="G88" i="66" s="1"/>
  <c r="F89" i="66"/>
  <c r="G89" i="66" s="1"/>
  <c r="F90" i="66"/>
  <c r="G90" i="66" s="1"/>
  <c r="F91" i="66"/>
  <c r="G91" i="66" s="1"/>
  <c r="F92" i="66"/>
  <c r="G92" i="66" s="1"/>
  <c r="F93" i="66"/>
  <c r="G93" i="66" s="1"/>
  <c r="F94" i="66"/>
  <c r="G94" i="66" s="1"/>
  <c r="F95" i="66"/>
  <c r="G95" i="66" s="1"/>
  <c r="F96" i="66"/>
  <c r="G96" i="66" s="1"/>
  <c r="F97" i="66"/>
  <c r="G97" i="66" s="1"/>
  <c r="F98" i="66"/>
  <c r="G98" i="66" s="1"/>
  <c r="F99" i="66"/>
  <c r="G99" i="66" s="1"/>
  <c r="F100" i="66"/>
  <c r="G100" i="66" s="1"/>
  <c r="F101" i="66"/>
  <c r="G101" i="66" s="1"/>
  <c r="F74" i="66"/>
  <c r="G74" i="66" s="1"/>
  <c r="F75" i="66"/>
  <c r="G75" i="66" s="1"/>
  <c r="F76" i="66"/>
  <c r="G76" i="66" s="1"/>
  <c r="F77" i="66"/>
  <c r="G77" i="66" s="1"/>
  <c r="F78" i="66"/>
  <c r="G78" i="66" s="1"/>
  <c r="F79" i="66"/>
  <c r="G79" i="66" s="1"/>
  <c r="F80" i="66"/>
  <c r="G80" i="66" s="1"/>
  <c r="F81" i="66"/>
  <c r="G81" i="66" s="1"/>
  <c r="F82" i="66"/>
  <c r="G82" i="66" s="1"/>
  <c r="F83" i="66"/>
  <c r="G83" i="66" s="1"/>
  <c r="F66" i="66"/>
  <c r="G66" i="66" s="1"/>
  <c r="F67" i="66"/>
  <c r="G67" i="66" s="1"/>
  <c r="F68" i="66"/>
  <c r="G68" i="66" s="1"/>
  <c r="F69" i="66"/>
  <c r="G69" i="66" s="1"/>
  <c r="F70" i="66"/>
  <c r="G70" i="66" s="1"/>
  <c r="F71" i="66"/>
  <c r="G71" i="66" s="1"/>
  <c r="F72" i="66"/>
  <c r="G72" i="66" s="1"/>
  <c r="F73" i="66"/>
  <c r="G73" i="66" s="1"/>
  <c r="F158" i="66"/>
  <c r="G158" i="66" s="1"/>
  <c r="F157" i="66"/>
  <c r="G157" i="66" s="1"/>
  <c r="F156" i="66"/>
  <c r="G156" i="66" s="1"/>
  <c r="F30" i="66"/>
  <c r="G30" i="66" s="1"/>
  <c r="F31" i="66"/>
  <c r="G31" i="66" s="1"/>
  <c r="F32" i="66"/>
  <c r="G32" i="66" s="1"/>
  <c r="F33" i="66"/>
  <c r="G33" i="66" s="1"/>
  <c r="F34" i="66"/>
  <c r="G34" i="66" s="1"/>
  <c r="F35" i="66"/>
  <c r="G35" i="66" s="1"/>
  <c r="F36" i="66"/>
  <c r="G36" i="66" s="1"/>
  <c r="F37" i="66"/>
  <c r="G37" i="66" s="1"/>
  <c r="F38" i="66"/>
  <c r="G38" i="66" s="1"/>
  <c r="F39" i="66"/>
  <c r="G39" i="66" s="1"/>
  <c r="F40" i="66"/>
  <c r="G40" i="66" s="1"/>
  <c r="F41" i="66"/>
  <c r="G41" i="66" s="1"/>
  <c r="F42" i="66"/>
  <c r="G42" i="66" s="1"/>
  <c r="F43" i="66"/>
  <c r="G43" i="66" s="1"/>
  <c r="F44" i="66"/>
  <c r="G44" i="66" s="1"/>
  <c r="F45" i="66"/>
  <c r="G45" i="66" s="1"/>
  <c r="F46" i="66"/>
  <c r="G46" i="66" s="1"/>
  <c r="F47" i="66"/>
  <c r="G47" i="66" s="1"/>
  <c r="F48" i="66"/>
  <c r="G48" i="66" s="1"/>
  <c r="F49" i="66"/>
  <c r="G49" i="66" s="1"/>
  <c r="F50" i="66"/>
  <c r="G50" i="66" s="1"/>
  <c r="F51" i="66"/>
  <c r="G51" i="66" s="1"/>
  <c r="F52" i="66"/>
  <c r="G52" i="66" s="1"/>
  <c r="F53" i="66"/>
  <c r="G53" i="66" s="1"/>
  <c r="F54" i="66"/>
  <c r="G54" i="66" s="1"/>
  <c r="F55" i="66"/>
  <c r="G55" i="66" s="1"/>
  <c r="F56" i="66"/>
  <c r="G56" i="66" s="1"/>
  <c r="F57" i="66"/>
  <c r="G57" i="66" s="1"/>
  <c r="F58" i="66"/>
  <c r="G58" i="66" s="1"/>
  <c r="F59" i="66"/>
  <c r="G59" i="66" s="1"/>
  <c r="F60" i="66"/>
  <c r="G60" i="66" s="1"/>
  <c r="F61" i="66"/>
  <c r="G61" i="66" s="1"/>
  <c r="F62" i="66"/>
  <c r="G62" i="66" s="1"/>
  <c r="F63" i="66"/>
  <c r="G63" i="66" s="1"/>
  <c r="F64" i="66"/>
  <c r="G64" i="66" s="1"/>
  <c r="F65" i="66"/>
  <c r="G65" i="66" s="1"/>
  <c r="F4" i="66"/>
  <c r="F5" i="66"/>
  <c r="F6" i="66"/>
  <c r="F7" i="66"/>
  <c r="F8" i="66"/>
  <c r="F9" i="66"/>
  <c r="F10" i="66"/>
  <c r="F11" i="66"/>
  <c r="F12" i="66"/>
  <c r="F13" i="66"/>
  <c r="F14" i="66"/>
  <c r="F15" i="66"/>
  <c r="F16" i="66"/>
  <c r="F17" i="66"/>
  <c r="F18" i="66"/>
  <c r="F19" i="66"/>
  <c r="F20" i="66"/>
  <c r="F21" i="66"/>
  <c r="F22" i="66"/>
  <c r="F23" i="66"/>
  <c r="F24" i="66"/>
  <c r="F25" i="66"/>
  <c r="F26" i="66"/>
  <c r="F27" i="66"/>
  <c r="F28" i="66"/>
  <c r="F29" i="66"/>
  <c r="F3" i="66"/>
  <c r="Y308" i="43"/>
  <c r="AB308" i="43" s="1"/>
  <c r="X308" i="43"/>
  <c r="Y38" i="33" l="1"/>
  <c r="X38" i="33"/>
  <c r="Y37" i="33" l="1"/>
  <c r="X37" i="33"/>
  <c r="Y36" i="33" l="1"/>
  <c r="X36" i="33"/>
  <c r="Y270" i="43" l="1"/>
  <c r="X270" i="43"/>
  <c r="Y249" i="42" l="1"/>
  <c r="X249" i="42"/>
  <c r="Y206" i="43" l="1"/>
  <c r="X206" i="43"/>
  <c r="X12" i="40" l="1"/>
  <c r="Y12" i="40"/>
  <c r="Y13" i="40" l="1"/>
  <c r="X13" i="40"/>
  <c r="X14" i="40"/>
  <c r="Y14" i="40"/>
  <c r="K16" i="42"/>
  <c r="K310" i="43" l="1"/>
  <c r="K311" i="43"/>
  <c r="Y212" i="43" l="1"/>
  <c r="X212" i="43"/>
  <c r="J73" i="43" l="1"/>
  <c r="K73" i="43"/>
  <c r="AB378" i="43" l="1"/>
  <c r="AA378" i="43"/>
  <c r="AB373" i="43"/>
  <c r="AA373" i="43"/>
  <c r="G373" i="43"/>
  <c r="AB372" i="43"/>
  <c r="AA372" i="43"/>
  <c r="G372" i="43"/>
  <c r="AB371" i="43"/>
  <c r="AA371" i="43"/>
  <c r="G371" i="43"/>
  <c r="AB370" i="43"/>
  <c r="AA370" i="43"/>
  <c r="G370" i="43"/>
  <c r="AB369" i="43"/>
  <c r="AA369" i="43"/>
  <c r="G369" i="43"/>
  <c r="AB368" i="43"/>
  <c r="AA368" i="43"/>
  <c r="G368" i="43"/>
  <c r="AA367" i="43"/>
  <c r="Y367" i="43"/>
  <c r="AB367" i="43" s="1"/>
  <c r="X367" i="43"/>
  <c r="G367" i="43"/>
  <c r="AB366" i="43"/>
  <c r="AA366" i="43"/>
  <c r="G366" i="43"/>
  <c r="AB365" i="43"/>
  <c r="AA365" i="43"/>
  <c r="G365" i="43"/>
  <c r="AB364" i="43"/>
  <c r="AA364" i="43"/>
  <c r="G364" i="43"/>
  <c r="AB363" i="43"/>
  <c r="AA363" i="43"/>
  <c r="G363" i="43"/>
  <c r="AB362" i="43"/>
  <c r="AA362" i="43"/>
  <c r="G362" i="43"/>
  <c r="AB361" i="43"/>
  <c r="AA361" i="43"/>
  <c r="G361" i="43"/>
  <c r="AB360" i="43"/>
  <c r="AA360" i="43"/>
  <c r="G360" i="43"/>
  <c r="AB359" i="43"/>
  <c r="AA359" i="43"/>
  <c r="G359" i="43"/>
  <c r="AB358" i="43"/>
  <c r="AA358" i="43"/>
  <c r="G358" i="43"/>
  <c r="AB357" i="43"/>
  <c r="AA357" i="43"/>
  <c r="G357" i="43"/>
  <c r="AB356" i="43"/>
  <c r="AA356" i="43"/>
  <c r="G356" i="43"/>
  <c r="AB355" i="43"/>
  <c r="AA355" i="43"/>
  <c r="G355" i="43"/>
  <c r="AB354" i="43"/>
  <c r="AA354" i="43"/>
  <c r="G354" i="43"/>
  <c r="AB353" i="43"/>
  <c r="AA353" i="43"/>
  <c r="K353" i="43"/>
  <c r="G353" i="43"/>
  <c r="AB352" i="43"/>
  <c r="AA352" i="43"/>
  <c r="G352" i="43"/>
  <c r="AB351" i="43"/>
  <c r="AA351" i="43"/>
  <c r="G351" i="43"/>
  <c r="AB350" i="43"/>
  <c r="AA350" i="43"/>
  <c r="G350" i="43"/>
  <c r="AB349" i="43"/>
  <c r="J349" i="43"/>
  <c r="AA349" i="43" s="1"/>
  <c r="G349" i="43"/>
  <c r="AB348" i="43"/>
  <c r="AA348" i="43"/>
  <c r="G348" i="43"/>
  <c r="AB347" i="43"/>
  <c r="AA347" i="43"/>
  <c r="J347" i="43"/>
  <c r="G347" i="43"/>
  <c r="AB346" i="43"/>
  <c r="AA346" i="43"/>
  <c r="K346" i="43"/>
  <c r="J346" i="43"/>
  <c r="G346" i="43"/>
  <c r="AB345" i="43"/>
  <c r="AA345" i="43"/>
  <c r="G345" i="43"/>
  <c r="AB344" i="43"/>
  <c r="AA344" i="43"/>
  <c r="J344" i="43"/>
  <c r="AB343" i="43"/>
  <c r="AA343" i="43"/>
  <c r="G343" i="43"/>
  <c r="AB342" i="43"/>
  <c r="AA342" i="43"/>
  <c r="G342" i="43"/>
  <c r="AB341" i="43"/>
  <c r="AA341" i="43"/>
  <c r="G341" i="43"/>
  <c r="AB340" i="43"/>
  <c r="AA340" i="43"/>
  <c r="G340" i="43"/>
  <c r="AB339" i="43"/>
  <c r="AA339" i="43"/>
  <c r="G339" i="43"/>
  <c r="AB338" i="43"/>
  <c r="AA338" i="43"/>
  <c r="G338" i="43"/>
  <c r="AB337" i="43"/>
  <c r="AA337" i="43"/>
  <c r="G337" i="43"/>
  <c r="AB336" i="43"/>
  <c r="AA336" i="43"/>
  <c r="G336" i="43"/>
  <c r="AB335" i="43"/>
  <c r="AA335" i="43"/>
  <c r="G335" i="43"/>
  <c r="AB334" i="43"/>
  <c r="AA334" i="43"/>
  <c r="G334" i="43"/>
  <c r="AB333" i="43"/>
  <c r="AA333" i="43"/>
  <c r="G333" i="43"/>
  <c r="AB332" i="43"/>
  <c r="AA332" i="43"/>
  <c r="G332" i="43"/>
  <c r="AB331" i="43"/>
  <c r="AA331" i="43"/>
  <c r="G331" i="43"/>
  <c r="Y330" i="43"/>
  <c r="AB330" i="43" s="1"/>
  <c r="X330" i="43"/>
  <c r="J330" i="43"/>
  <c r="AA330" i="43" s="1"/>
  <c r="G330" i="43"/>
  <c r="AB329" i="43"/>
  <c r="AA329" i="43"/>
  <c r="G329" i="43"/>
  <c r="AB328" i="43"/>
  <c r="J328" i="43"/>
  <c r="AA328" i="43" s="1"/>
  <c r="G328" i="43"/>
  <c r="AB327" i="43"/>
  <c r="AA327" i="43"/>
  <c r="G327" i="43"/>
  <c r="AB326" i="43"/>
  <c r="AA326" i="43"/>
  <c r="J326" i="43"/>
  <c r="G326" i="43"/>
  <c r="AB325" i="43"/>
  <c r="J325" i="43"/>
  <c r="AA325" i="43" s="1"/>
  <c r="G325" i="43"/>
  <c r="AB324" i="43"/>
  <c r="J324" i="43"/>
  <c r="AA324" i="43" s="1"/>
  <c r="G324" i="43"/>
  <c r="AB323" i="43"/>
  <c r="AA323" i="43"/>
  <c r="G323" i="43"/>
  <c r="AB322" i="43"/>
  <c r="AA322" i="43"/>
  <c r="G322" i="43"/>
  <c r="AB321" i="43"/>
  <c r="AA321" i="43"/>
  <c r="G321" i="43"/>
  <c r="AB320" i="43"/>
  <c r="AA320" i="43"/>
  <c r="G320" i="43"/>
  <c r="AB319" i="43"/>
  <c r="AA319" i="43"/>
  <c r="K319" i="43"/>
  <c r="J319" i="43"/>
  <c r="G319" i="43"/>
  <c r="AB318" i="43"/>
  <c r="AA318" i="43"/>
  <c r="G318" i="43"/>
  <c r="AA317" i="43"/>
  <c r="M317" i="43"/>
  <c r="AB317" i="43" s="1"/>
  <c r="K317" i="43"/>
  <c r="G317" i="43"/>
  <c r="AB316" i="43"/>
  <c r="AA316" i="43"/>
  <c r="G316" i="43"/>
  <c r="AB315" i="43"/>
  <c r="AA315" i="43"/>
  <c r="G315" i="43"/>
  <c r="AB314" i="43"/>
  <c r="AA314" i="43"/>
  <c r="G314" i="43"/>
  <c r="AB313" i="43"/>
  <c r="AA313" i="43"/>
  <c r="G313" i="43"/>
  <c r="AB312" i="43"/>
  <c r="AA312" i="43"/>
  <c r="G312" i="43"/>
  <c r="AB311" i="43"/>
  <c r="AA311" i="43"/>
  <c r="G311" i="43"/>
  <c r="AB310" i="43"/>
  <c r="AA310" i="43"/>
  <c r="G310" i="43"/>
  <c r="AB309" i="43"/>
  <c r="AA309" i="43"/>
  <c r="G309" i="43"/>
  <c r="AA308" i="43"/>
  <c r="G308" i="43"/>
  <c r="AB307" i="43"/>
  <c r="AA307" i="43"/>
  <c r="G307" i="43"/>
  <c r="AB306" i="43"/>
  <c r="AA306" i="43"/>
  <c r="G306" i="43"/>
  <c r="AB305" i="43"/>
  <c r="AA305" i="43"/>
  <c r="G305" i="43"/>
  <c r="AB304" i="43"/>
  <c r="AA304" i="43"/>
  <c r="G304" i="43"/>
  <c r="AB303" i="43"/>
  <c r="AA303" i="43"/>
  <c r="K303" i="43"/>
  <c r="G303" i="43"/>
  <c r="AB302" i="43"/>
  <c r="AA302" i="43"/>
  <c r="K302" i="43"/>
  <c r="G302" i="43"/>
  <c r="AB301" i="43"/>
  <c r="AA301" i="43"/>
  <c r="K301" i="43"/>
  <c r="G301" i="43"/>
  <c r="AB300" i="43"/>
  <c r="AA300" i="43"/>
  <c r="K300" i="43"/>
  <c r="G300" i="43"/>
  <c r="AB299" i="43"/>
  <c r="AA299" i="43"/>
  <c r="G299" i="43"/>
  <c r="AB298" i="43"/>
  <c r="AA298" i="43"/>
  <c r="G298" i="43"/>
  <c r="AB297" i="43"/>
  <c r="AA297" i="43"/>
  <c r="G297" i="43"/>
  <c r="AB296" i="43"/>
  <c r="AA296" i="43"/>
  <c r="G296" i="43"/>
  <c r="AB295" i="43"/>
  <c r="Y295" i="43"/>
  <c r="X295" i="43"/>
  <c r="AA295" i="43" s="1"/>
  <c r="G295" i="43"/>
  <c r="AB294" i="43"/>
  <c r="AA294" i="43"/>
  <c r="K294" i="43"/>
  <c r="G294" i="43"/>
  <c r="AB293" i="43"/>
  <c r="AA293" i="43"/>
  <c r="G293" i="43"/>
  <c r="AB292" i="43"/>
  <c r="AA292" i="43"/>
  <c r="G292" i="43"/>
  <c r="AB291" i="43"/>
  <c r="AA291" i="43"/>
  <c r="G291" i="43"/>
  <c r="AB290" i="43"/>
  <c r="AA290" i="43"/>
  <c r="G290" i="43"/>
  <c r="AB289" i="43"/>
  <c r="AA289" i="43"/>
  <c r="G289" i="43"/>
  <c r="AB288" i="43"/>
  <c r="AA288" i="43"/>
  <c r="G288" i="43"/>
  <c r="AB287" i="43"/>
  <c r="AA287" i="43"/>
  <c r="G287" i="43"/>
  <c r="AB286" i="43"/>
  <c r="AA286" i="43"/>
  <c r="G286" i="43"/>
  <c r="AB285" i="43"/>
  <c r="AA285" i="43"/>
  <c r="G285" i="43"/>
  <c r="AB284" i="43"/>
  <c r="AA284" i="43"/>
  <c r="G284" i="43"/>
  <c r="AB283" i="43"/>
  <c r="AA283" i="43"/>
  <c r="AB282" i="43"/>
  <c r="AA282" i="43"/>
  <c r="G282" i="43"/>
  <c r="AB281" i="43"/>
  <c r="AA281" i="43"/>
  <c r="G281" i="43"/>
  <c r="AB280" i="43"/>
  <c r="AA280" i="43"/>
  <c r="G280" i="43"/>
  <c r="AB279" i="43"/>
  <c r="AA279" i="43"/>
  <c r="G279" i="43"/>
  <c r="AB278" i="43"/>
  <c r="AA278" i="43"/>
  <c r="G278" i="43"/>
  <c r="AB277" i="43"/>
  <c r="J277" i="43"/>
  <c r="AA277" i="43" s="1"/>
  <c r="G277" i="43"/>
  <c r="AB276" i="43"/>
  <c r="AA276" i="43"/>
  <c r="G276" i="43"/>
  <c r="AA275" i="43"/>
  <c r="Y275" i="43"/>
  <c r="AB275" i="43" s="1"/>
  <c r="X275" i="43"/>
  <c r="J275" i="43"/>
  <c r="G275" i="43"/>
  <c r="AB274" i="43"/>
  <c r="AA274" i="43"/>
  <c r="G274" i="43"/>
  <c r="AB273" i="43"/>
  <c r="AA273" i="43"/>
  <c r="K273" i="43"/>
  <c r="G273" i="43"/>
  <c r="AB272" i="43"/>
  <c r="AA272" i="43"/>
  <c r="K272" i="43"/>
  <c r="G272" i="43"/>
  <c r="AB271" i="43"/>
  <c r="AA271" i="43"/>
  <c r="G271" i="43"/>
  <c r="AB270" i="43"/>
  <c r="AA270" i="43"/>
  <c r="G270" i="43"/>
  <c r="Y269" i="43"/>
  <c r="AB269" i="43" s="1"/>
  <c r="X269" i="43"/>
  <c r="AA269" i="43" s="1"/>
  <c r="K269" i="43"/>
  <c r="G269" i="43"/>
  <c r="AB268" i="43"/>
  <c r="AA268" i="43"/>
  <c r="K268" i="43"/>
  <c r="G268" i="43"/>
  <c r="AB267" i="43"/>
  <c r="AA267" i="43"/>
  <c r="K267" i="43"/>
  <c r="G267" i="43"/>
  <c r="AB266" i="43"/>
  <c r="AA266" i="43"/>
  <c r="K266" i="43"/>
  <c r="G266" i="43"/>
  <c r="AB265" i="43"/>
  <c r="AA265" i="43"/>
  <c r="G265" i="43"/>
  <c r="AB264" i="43"/>
  <c r="AA264" i="43"/>
  <c r="G264" i="43"/>
  <c r="AB263" i="43"/>
  <c r="AA263" i="43"/>
  <c r="K263" i="43"/>
  <c r="G263" i="43"/>
  <c r="AB262" i="43"/>
  <c r="X262" i="43"/>
  <c r="AA262" i="43" s="1"/>
  <c r="G262" i="43"/>
  <c r="Y261" i="43"/>
  <c r="AB261" i="43" s="1"/>
  <c r="X261" i="43"/>
  <c r="AA261" i="43" s="1"/>
  <c r="G261" i="43"/>
  <c r="AB260" i="43"/>
  <c r="AA260" i="43"/>
  <c r="K260" i="43"/>
  <c r="G260" i="43"/>
  <c r="AB259" i="43"/>
  <c r="AA259" i="43"/>
  <c r="G259" i="43"/>
  <c r="AA258" i="43"/>
  <c r="Y258" i="43"/>
  <c r="AB258" i="43" s="1"/>
  <c r="K258" i="43"/>
  <c r="G258" i="43"/>
  <c r="AB257" i="43"/>
  <c r="AA257" i="43"/>
  <c r="K257" i="43"/>
  <c r="G257" i="43"/>
  <c r="AB256" i="43"/>
  <c r="AA256" i="43"/>
  <c r="G256" i="43"/>
  <c r="AB255" i="43"/>
  <c r="AA255" i="43"/>
  <c r="G255" i="43"/>
  <c r="AB254" i="43"/>
  <c r="K254" i="43"/>
  <c r="J254" i="43"/>
  <c r="AA254" i="43" s="1"/>
  <c r="G254" i="43"/>
  <c r="AB253" i="43"/>
  <c r="AA253" i="43"/>
  <c r="G253" i="43"/>
  <c r="Y252" i="43"/>
  <c r="AB252" i="43" s="1"/>
  <c r="X252" i="43"/>
  <c r="AA252" i="43" s="1"/>
  <c r="G252" i="43"/>
  <c r="AB251" i="43"/>
  <c r="AA251" i="43"/>
  <c r="G251" i="43"/>
  <c r="AB250" i="43"/>
  <c r="AA250" i="43"/>
  <c r="J250" i="43"/>
  <c r="G250" i="43"/>
  <c r="AB249" i="43"/>
  <c r="AA249" i="43"/>
  <c r="G249" i="43"/>
  <c r="AB248" i="43"/>
  <c r="AA248" i="43"/>
  <c r="G248" i="43"/>
  <c r="AB247" i="43"/>
  <c r="AA247" i="43"/>
  <c r="G247" i="43"/>
  <c r="AB246" i="43"/>
  <c r="AA246" i="43"/>
  <c r="G246" i="43"/>
  <c r="AB245" i="43"/>
  <c r="AA245" i="43"/>
  <c r="G245" i="43"/>
  <c r="AB244" i="43"/>
  <c r="AA244" i="43"/>
  <c r="G244" i="43"/>
  <c r="AB243" i="43"/>
  <c r="AA243" i="43"/>
  <c r="G243" i="43"/>
  <c r="AB242" i="43"/>
  <c r="AA242" i="43"/>
  <c r="G242" i="43"/>
  <c r="AB241" i="43"/>
  <c r="AA241" i="43"/>
  <c r="G241" i="43"/>
  <c r="AB240" i="43"/>
  <c r="AA240" i="43"/>
  <c r="G240" i="43"/>
  <c r="AB239" i="43"/>
  <c r="AA239" i="43"/>
  <c r="G239" i="43"/>
  <c r="AB238" i="43"/>
  <c r="AA238" i="43"/>
  <c r="K238" i="43"/>
  <c r="G238" i="43"/>
  <c r="AB237" i="43"/>
  <c r="AA237" i="43"/>
  <c r="K237" i="43"/>
  <c r="G237" i="43"/>
  <c r="AB236" i="43"/>
  <c r="AA236" i="43"/>
  <c r="G236" i="43"/>
  <c r="AB235" i="43"/>
  <c r="AA235" i="43"/>
  <c r="K235" i="43"/>
  <c r="G235" i="43"/>
  <c r="AB234" i="43"/>
  <c r="AA234" i="43"/>
  <c r="K234" i="43"/>
  <c r="G234" i="43"/>
  <c r="AB233" i="43"/>
  <c r="AA233" i="43"/>
  <c r="N233" i="43"/>
  <c r="K233" i="43"/>
  <c r="G233" i="43"/>
  <c r="AB232" i="43"/>
  <c r="AA232" i="43"/>
  <c r="G232" i="43"/>
  <c r="AB231" i="43"/>
  <c r="AA231" i="43"/>
  <c r="K231" i="43"/>
  <c r="G231" i="43"/>
  <c r="AB230" i="43"/>
  <c r="AA230" i="43"/>
  <c r="K230" i="43"/>
  <c r="G230" i="43"/>
  <c r="AB229" i="43"/>
  <c r="AA229" i="43"/>
  <c r="K229" i="43"/>
  <c r="G229" i="43"/>
  <c r="AB228" i="43"/>
  <c r="AA228" i="43"/>
  <c r="G228" i="43"/>
  <c r="AB227" i="43"/>
  <c r="AA227" i="43"/>
  <c r="G227" i="43"/>
  <c r="AB226" i="43"/>
  <c r="AA226" i="43"/>
  <c r="G226" i="43"/>
  <c r="AB225" i="43"/>
  <c r="AA225" i="43"/>
  <c r="G225" i="43"/>
  <c r="Y224" i="43"/>
  <c r="AB224" i="43" s="1"/>
  <c r="X224" i="43"/>
  <c r="AA224" i="43" s="1"/>
  <c r="G224" i="43"/>
  <c r="AB223" i="43"/>
  <c r="AA223" i="43"/>
  <c r="G223" i="43"/>
  <c r="AB222" i="43"/>
  <c r="AA222" i="43"/>
  <c r="G222" i="43"/>
  <c r="AB221" i="43"/>
  <c r="AA221" i="43"/>
  <c r="K221" i="43"/>
  <c r="G221" i="43"/>
  <c r="AB220" i="43"/>
  <c r="AA220" i="43"/>
  <c r="G220" i="43"/>
  <c r="AB219" i="43"/>
  <c r="AA219" i="43"/>
  <c r="G219" i="43"/>
  <c r="AB218" i="43"/>
  <c r="AA218" i="43"/>
  <c r="G218" i="43"/>
  <c r="AB217" i="43"/>
  <c r="AA217" i="43"/>
  <c r="G217" i="43"/>
  <c r="AB216" i="43"/>
  <c r="AA216" i="43"/>
  <c r="K216" i="43"/>
  <c r="G216" i="43"/>
  <c r="AB215" i="43"/>
  <c r="AA215" i="43"/>
  <c r="K215" i="43"/>
  <c r="G215" i="43"/>
  <c r="AB214" i="43"/>
  <c r="AA214" i="43"/>
  <c r="K214" i="43"/>
  <c r="G214" i="43"/>
  <c r="AB213" i="43"/>
  <c r="AA213" i="43"/>
  <c r="K213" i="43"/>
  <c r="G213" i="43"/>
  <c r="AB212" i="43"/>
  <c r="AA212" i="43"/>
  <c r="K212" i="43"/>
  <c r="G212" i="43"/>
  <c r="AB211" i="43"/>
  <c r="AA211" i="43"/>
  <c r="G211" i="43"/>
  <c r="AB210" i="43"/>
  <c r="AA210" i="43"/>
  <c r="K210" i="43"/>
  <c r="G210" i="43"/>
  <c r="AB209" i="43"/>
  <c r="AA209" i="43"/>
  <c r="Y209" i="43"/>
  <c r="X209" i="43"/>
  <c r="M209" i="43"/>
  <c r="K209" i="43"/>
  <c r="G209" i="43"/>
  <c r="AB208" i="43"/>
  <c r="AA208" i="43"/>
  <c r="G208" i="43"/>
  <c r="AB207" i="43"/>
  <c r="AA207" i="43"/>
  <c r="K207" i="43"/>
  <c r="G207" i="43"/>
  <c r="AB206" i="43"/>
  <c r="AA206" i="43"/>
  <c r="K206" i="43"/>
  <c r="G206" i="43"/>
  <c r="AA205" i="43"/>
  <c r="M205" i="43"/>
  <c r="AB205" i="43" s="1"/>
  <c r="K205" i="43"/>
  <c r="G205" i="43"/>
  <c r="AB204" i="43"/>
  <c r="AA204" i="43"/>
  <c r="K204" i="43"/>
  <c r="G204" i="43"/>
  <c r="AB203" i="43"/>
  <c r="AA203" i="43"/>
  <c r="K203" i="43"/>
  <c r="G203" i="43"/>
  <c r="AB202" i="43"/>
  <c r="AA202" i="43"/>
  <c r="G202" i="43"/>
  <c r="AB201" i="43"/>
  <c r="AA201" i="43"/>
  <c r="K201" i="43"/>
  <c r="G201" i="43"/>
  <c r="AB200" i="43"/>
  <c r="AA200" i="43"/>
  <c r="K200" i="43"/>
  <c r="G200" i="43"/>
  <c r="AB199" i="43"/>
  <c r="AA199" i="43"/>
  <c r="G199" i="43"/>
  <c r="AB198" i="43"/>
  <c r="AA198" i="43"/>
  <c r="G198" i="43"/>
  <c r="AB197" i="43"/>
  <c r="AA197" i="43"/>
  <c r="K197" i="43"/>
  <c r="G197" i="43"/>
  <c r="AB196" i="43"/>
  <c r="Y196" i="43"/>
  <c r="X196" i="43"/>
  <c r="AA196" i="43" s="1"/>
  <c r="K196" i="43"/>
  <c r="G196" i="43"/>
  <c r="AB195" i="43"/>
  <c r="AA195" i="43"/>
  <c r="N195" i="43"/>
  <c r="G195" i="43"/>
  <c r="AB194" i="43"/>
  <c r="AA194" i="43"/>
  <c r="G194" i="43"/>
  <c r="AB193" i="43"/>
  <c r="AA193" i="43"/>
  <c r="K193" i="43"/>
  <c r="G193" i="43"/>
  <c r="AB192" i="43"/>
  <c r="AA192" i="43"/>
  <c r="K192" i="43"/>
  <c r="G192" i="43"/>
  <c r="AB191" i="43"/>
  <c r="AA191" i="43"/>
  <c r="G191" i="43"/>
  <c r="AB190" i="43"/>
  <c r="AA190" i="43"/>
  <c r="K190" i="43"/>
  <c r="G190" i="43"/>
  <c r="AB189" i="43"/>
  <c r="AA189" i="43"/>
  <c r="G189" i="43"/>
  <c r="AB188" i="43"/>
  <c r="AA188" i="43"/>
  <c r="K188" i="43"/>
  <c r="G188" i="43"/>
  <c r="AB187" i="43"/>
  <c r="AA187" i="43"/>
  <c r="G187" i="43"/>
  <c r="AB186" i="43"/>
  <c r="AA186" i="43"/>
  <c r="G186" i="43"/>
  <c r="AB185" i="43"/>
  <c r="AA185" i="43"/>
  <c r="G185" i="43"/>
  <c r="AB184" i="43"/>
  <c r="AA184" i="43"/>
  <c r="G184" i="43"/>
  <c r="AB183" i="43"/>
  <c r="AA183" i="43"/>
  <c r="G183" i="43"/>
  <c r="AB182" i="43"/>
  <c r="J182" i="43"/>
  <c r="AA182" i="43" s="1"/>
  <c r="G182" i="43"/>
  <c r="AB181" i="43"/>
  <c r="AA181" i="43"/>
  <c r="G181" i="43"/>
  <c r="AB180" i="43"/>
  <c r="AA180" i="43"/>
  <c r="K180" i="43"/>
  <c r="G180" i="43"/>
  <c r="AB179" i="43"/>
  <c r="AA179" i="43"/>
  <c r="G179" i="43"/>
  <c r="AB178" i="43"/>
  <c r="AA178" i="43"/>
  <c r="G178" i="43"/>
  <c r="AA177" i="43"/>
  <c r="M177" i="43"/>
  <c r="AB177" i="43" s="1"/>
  <c r="G177" i="43"/>
  <c r="AB176" i="43"/>
  <c r="AA176" i="43"/>
  <c r="G176" i="43"/>
  <c r="AB175" i="43"/>
  <c r="J175" i="43"/>
  <c r="AA175" i="43" s="1"/>
  <c r="G175" i="43"/>
  <c r="X174" i="43"/>
  <c r="AA174" i="43" s="1"/>
  <c r="N174" i="43"/>
  <c r="M174" i="43"/>
  <c r="AB174" i="43" s="1"/>
  <c r="G174" i="43"/>
  <c r="AB173" i="43"/>
  <c r="AA173" i="43"/>
  <c r="G173" i="43"/>
  <c r="AB172" i="43"/>
  <c r="J172" i="43"/>
  <c r="AA172" i="43" s="1"/>
  <c r="G172" i="43"/>
  <c r="AB171" i="43"/>
  <c r="AA171" i="43"/>
  <c r="G171" i="43"/>
  <c r="AB170" i="43"/>
  <c r="AA170" i="43"/>
  <c r="K170" i="43"/>
  <c r="G170" i="43"/>
  <c r="AB169" i="43"/>
  <c r="AA169" i="43"/>
  <c r="G169" i="43"/>
  <c r="AB168" i="43"/>
  <c r="AA168" i="43"/>
  <c r="G168" i="43"/>
  <c r="AB167" i="43"/>
  <c r="AA167" i="43"/>
  <c r="G167" i="43"/>
  <c r="AB166" i="43"/>
  <c r="AA166" i="43"/>
  <c r="G166" i="43"/>
  <c r="AB165" i="43"/>
  <c r="AA165" i="43"/>
  <c r="G165" i="43"/>
  <c r="AB164" i="43"/>
  <c r="AA164" i="43"/>
  <c r="G164" i="43"/>
  <c r="AA163" i="43"/>
  <c r="N163" i="43"/>
  <c r="M163" i="43"/>
  <c r="AB163" i="43" s="1"/>
  <c r="G163" i="43"/>
  <c r="AB162" i="43"/>
  <c r="AA162" i="43"/>
  <c r="G162" i="43"/>
  <c r="AB161" i="43"/>
  <c r="AA161" i="43"/>
  <c r="G161" i="43"/>
  <c r="AB160" i="43"/>
  <c r="AA160" i="43"/>
  <c r="G160" i="43"/>
  <c r="AB159" i="43"/>
  <c r="AA159" i="43"/>
  <c r="M159" i="43"/>
  <c r="G159" i="43"/>
  <c r="AB158" i="43"/>
  <c r="AA158" i="43"/>
  <c r="AB157" i="43"/>
  <c r="AA157" i="43"/>
  <c r="G157" i="43"/>
  <c r="AB156" i="43"/>
  <c r="AA156" i="43"/>
  <c r="G156" i="43"/>
  <c r="AB155" i="43"/>
  <c r="AA155" i="43"/>
  <c r="K155" i="43"/>
  <c r="G155" i="43"/>
  <c r="AB154" i="43"/>
  <c r="AA154" i="43"/>
  <c r="G154" i="43"/>
  <c r="AB153" i="43"/>
  <c r="AA153" i="43"/>
  <c r="K153" i="43"/>
  <c r="G153" i="43"/>
  <c r="AB152" i="43"/>
  <c r="AA152" i="43"/>
  <c r="G152" i="43"/>
  <c r="AB151" i="43"/>
  <c r="AA151" i="43"/>
  <c r="G151" i="43"/>
  <c r="AB150" i="43"/>
  <c r="AA150" i="43"/>
  <c r="G150" i="43"/>
  <c r="AB149" i="43"/>
  <c r="AA149" i="43"/>
  <c r="G149" i="43"/>
  <c r="AB148" i="43"/>
  <c r="AA148" i="43"/>
  <c r="G148" i="43"/>
  <c r="AB147" i="43"/>
  <c r="Y147" i="43"/>
  <c r="X147" i="43"/>
  <c r="AA147" i="43" s="1"/>
  <c r="G147" i="43"/>
  <c r="AB146" i="43"/>
  <c r="AA146" i="43"/>
  <c r="K146" i="43"/>
  <c r="G146" i="43"/>
  <c r="AB145" i="43"/>
  <c r="AA145" i="43"/>
  <c r="G145" i="43"/>
  <c r="AB144" i="43"/>
  <c r="AA144" i="43"/>
  <c r="K144" i="43"/>
  <c r="G144" i="43"/>
  <c r="AB143" i="43"/>
  <c r="AA143" i="43"/>
  <c r="K143" i="43"/>
  <c r="G143" i="43"/>
  <c r="AB142" i="43"/>
  <c r="AA142" i="43"/>
  <c r="K142" i="43"/>
  <c r="G142" i="43"/>
  <c r="AB141" i="43"/>
  <c r="AA141" i="43"/>
  <c r="Y141" i="43"/>
  <c r="X141" i="43"/>
  <c r="K141" i="43"/>
  <c r="G141" i="43"/>
  <c r="AB140" i="43"/>
  <c r="AA140" i="43"/>
  <c r="K140" i="43"/>
  <c r="G140" i="43"/>
  <c r="AB139" i="43"/>
  <c r="AA139" i="43"/>
  <c r="Y139" i="43"/>
  <c r="X139" i="43"/>
  <c r="K139" i="43"/>
  <c r="G139" i="43"/>
  <c r="AA138" i="43"/>
  <c r="Y138" i="43"/>
  <c r="AB138" i="43" s="1"/>
  <c r="X138" i="43"/>
  <c r="K138" i="43"/>
  <c r="G138" i="43"/>
  <c r="AB137" i="43"/>
  <c r="AA137" i="43"/>
  <c r="Y137" i="43"/>
  <c r="X137" i="43"/>
  <c r="K137" i="43"/>
  <c r="G137" i="43"/>
  <c r="AB136" i="43"/>
  <c r="AA136" i="43"/>
  <c r="K136" i="43"/>
  <c r="G136" i="43"/>
  <c r="AA135" i="43"/>
  <c r="Y135" i="43"/>
  <c r="AB135" i="43" s="1"/>
  <c r="X135" i="43"/>
  <c r="K135" i="43"/>
  <c r="G135" i="43"/>
  <c r="AB134" i="43"/>
  <c r="AA134" i="43"/>
  <c r="K134" i="43"/>
  <c r="G134" i="43"/>
  <c r="AB133" i="43"/>
  <c r="AA133" i="43"/>
  <c r="K133" i="43"/>
  <c r="G133" i="43"/>
  <c r="AB132" i="43"/>
  <c r="AA132" i="43"/>
  <c r="K132" i="43"/>
  <c r="G132" i="43"/>
  <c r="AB131" i="43"/>
  <c r="AA131" i="43"/>
  <c r="G131" i="43"/>
  <c r="AB130" i="43"/>
  <c r="AA130" i="43"/>
  <c r="M130" i="43"/>
  <c r="G130" i="43"/>
  <c r="AB129" i="43"/>
  <c r="AA129" i="43"/>
  <c r="G129" i="43"/>
  <c r="AB128" i="43"/>
  <c r="AA128" i="43"/>
  <c r="K128" i="43"/>
  <c r="G128" i="43"/>
  <c r="AB127" i="43"/>
  <c r="AA127" i="43"/>
  <c r="K127" i="43"/>
  <c r="G127" i="43"/>
  <c r="AB126" i="43"/>
  <c r="AA126" i="43"/>
  <c r="G126" i="43"/>
  <c r="AB125" i="43"/>
  <c r="AA125" i="43"/>
  <c r="K125" i="43"/>
  <c r="G125" i="43"/>
  <c r="AB124" i="43"/>
  <c r="AA124" i="43"/>
  <c r="G124" i="43"/>
  <c r="AB123" i="43"/>
  <c r="AA123" i="43"/>
  <c r="G123" i="43"/>
  <c r="AB122" i="43"/>
  <c r="AA122" i="43"/>
  <c r="J122" i="43"/>
  <c r="G122" i="43"/>
  <c r="AB121" i="43"/>
  <c r="AA121" i="43"/>
  <c r="G121" i="43"/>
  <c r="Y120" i="43"/>
  <c r="AB120" i="43" s="1"/>
  <c r="X120" i="43"/>
  <c r="K120" i="43"/>
  <c r="J120" i="43"/>
  <c r="AA120" i="43" s="1"/>
  <c r="G120" i="43"/>
  <c r="AB119" i="43"/>
  <c r="AA119" i="43"/>
  <c r="K119" i="43"/>
  <c r="G119" i="43"/>
  <c r="AB118" i="43"/>
  <c r="AA118" i="43"/>
  <c r="K118" i="43"/>
  <c r="G118" i="43"/>
  <c r="AB117" i="43"/>
  <c r="AA117" i="43"/>
  <c r="K117" i="43"/>
  <c r="G117" i="43"/>
  <c r="AB116" i="43"/>
  <c r="AA116" i="43"/>
  <c r="K116" i="43"/>
  <c r="G116" i="43"/>
  <c r="AB115" i="43"/>
  <c r="AA115" i="43"/>
  <c r="K115" i="43"/>
  <c r="G115" i="43"/>
  <c r="AB114" i="43"/>
  <c r="AA114" i="43"/>
  <c r="K114" i="43"/>
  <c r="G114" i="43"/>
  <c r="AB113" i="43"/>
  <c r="AA113" i="43"/>
  <c r="K113" i="43"/>
  <c r="G113" i="43"/>
  <c r="Y112" i="43"/>
  <c r="AB112" i="43" s="1"/>
  <c r="X112" i="43"/>
  <c r="AA112" i="43" s="1"/>
  <c r="K112" i="43"/>
  <c r="G112" i="43"/>
  <c r="AB111" i="43"/>
  <c r="AA111" i="43"/>
  <c r="K111" i="43"/>
  <c r="J111" i="43"/>
  <c r="G111" i="43"/>
  <c r="AB110" i="43"/>
  <c r="AA110" i="43"/>
  <c r="K110" i="43"/>
  <c r="G110" i="43"/>
  <c r="AB109" i="43"/>
  <c r="AA109" i="43"/>
  <c r="G109" i="43"/>
  <c r="AB108" i="43"/>
  <c r="AA108" i="43"/>
  <c r="K108" i="43"/>
  <c r="J108" i="43"/>
  <c r="G108" i="43"/>
  <c r="Y107" i="43"/>
  <c r="AB107" i="43" s="1"/>
  <c r="X107" i="43"/>
  <c r="AA107" i="43" s="1"/>
  <c r="K107" i="43"/>
  <c r="J107" i="43"/>
  <c r="G107" i="43"/>
  <c r="AB106" i="43"/>
  <c r="AA106" i="43"/>
  <c r="K106" i="43"/>
  <c r="G106" i="43"/>
  <c r="AB105" i="43"/>
  <c r="AA105" i="43"/>
  <c r="K105" i="43"/>
  <c r="G105" i="43"/>
  <c r="AB104" i="43"/>
  <c r="AA104" i="43"/>
  <c r="K104" i="43"/>
  <c r="G104" i="43"/>
  <c r="AB103" i="43"/>
  <c r="AA103" i="43"/>
  <c r="K103" i="43"/>
  <c r="G103" i="43"/>
  <c r="AB102" i="43"/>
  <c r="AA102" i="43"/>
  <c r="G102" i="43"/>
  <c r="AB101" i="43"/>
  <c r="AA101" i="43"/>
  <c r="G101" i="43"/>
  <c r="Y100" i="43"/>
  <c r="AB100" i="43" s="1"/>
  <c r="X100" i="43"/>
  <c r="AA100" i="43" s="1"/>
  <c r="G100" i="43"/>
  <c r="AB99" i="43"/>
  <c r="Y99" i="43"/>
  <c r="X99" i="43"/>
  <c r="AA99" i="43" s="1"/>
  <c r="G99" i="43"/>
  <c r="AB98" i="43"/>
  <c r="AA98" i="43"/>
  <c r="G98" i="43"/>
  <c r="AB97" i="43"/>
  <c r="AA97" i="43"/>
  <c r="G97" i="43"/>
  <c r="AB96" i="43"/>
  <c r="AA96" i="43"/>
  <c r="G96" i="43"/>
  <c r="AB95" i="43"/>
  <c r="AA95" i="43"/>
  <c r="G95" i="43"/>
  <c r="AB94" i="43"/>
  <c r="AA94" i="43"/>
  <c r="G94" i="43"/>
  <c r="AB93" i="43"/>
  <c r="AA93" i="43"/>
  <c r="G93" i="43"/>
  <c r="AB92" i="43"/>
  <c r="AA92" i="43"/>
  <c r="Y92" i="43"/>
  <c r="X92" i="43"/>
  <c r="G92" i="43"/>
  <c r="AA91" i="43"/>
  <c r="Y91" i="43"/>
  <c r="AB91" i="43" s="1"/>
  <c r="X91" i="43"/>
  <c r="G91" i="43"/>
  <c r="AB90" i="43"/>
  <c r="AA90" i="43"/>
  <c r="G90" i="43"/>
  <c r="AB89" i="43"/>
  <c r="AA89" i="43"/>
  <c r="K89" i="43"/>
  <c r="G89" i="43"/>
  <c r="AB88" i="43"/>
  <c r="AA88" i="43"/>
  <c r="G88" i="43"/>
  <c r="AB87" i="43"/>
  <c r="AA87" i="43"/>
  <c r="G87" i="43"/>
  <c r="AB86" i="43"/>
  <c r="AA86" i="43"/>
  <c r="K86" i="43"/>
  <c r="G86" i="43"/>
  <c r="AB85" i="43"/>
  <c r="AA85" i="43"/>
  <c r="K85" i="43"/>
  <c r="G85" i="43"/>
  <c r="AB84" i="43"/>
  <c r="AA84" i="43"/>
  <c r="K84" i="43"/>
  <c r="G84" i="43"/>
  <c r="AB83" i="43"/>
  <c r="AA83" i="43"/>
  <c r="K83" i="43"/>
  <c r="G83" i="43"/>
  <c r="AB82" i="43"/>
  <c r="AA82" i="43"/>
  <c r="G82" i="43"/>
  <c r="AB81" i="43"/>
  <c r="AA81" i="43"/>
  <c r="G81" i="43"/>
  <c r="AA80" i="43"/>
  <c r="Y80" i="43"/>
  <c r="AB80" i="43" s="1"/>
  <c r="X80" i="43"/>
  <c r="K80" i="43"/>
  <c r="G80" i="43"/>
  <c r="AB79" i="43"/>
  <c r="AA79" i="43"/>
  <c r="K79" i="43"/>
  <c r="G79" i="43"/>
  <c r="AB78" i="43"/>
  <c r="AA78" i="43"/>
  <c r="N78" i="43"/>
  <c r="G78" i="43"/>
  <c r="AB77" i="43"/>
  <c r="AA77" i="43"/>
  <c r="N77" i="43"/>
  <c r="G77" i="43"/>
  <c r="AB76" i="43"/>
  <c r="AA76" i="43"/>
  <c r="N76" i="43"/>
  <c r="G76" i="43"/>
  <c r="AB75" i="43"/>
  <c r="AA75" i="43"/>
  <c r="N75" i="43"/>
  <c r="G75" i="43"/>
  <c r="AB74" i="43"/>
  <c r="AA74" i="43"/>
  <c r="G74" i="43"/>
  <c r="AB73" i="43"/>
  <c r="AA73" i="43"/>
  <c r="N73" i="43"/>
  <c r="G73" i="43"/>
  <c r="AB72" i="43"/>
  <c r="Y72" i="43"/>
  <c r="X72" i="43"/>
  <c r="AA72" i="43" s="1"/>
  <c r="N72" i="43"/>
  <c r="M72" i="43"/>
  <c r="G72" i="43"/>
  <c r="AB71" i="43"/>
  <c r="AA71" i="43"/>
  <c r="K71" i="43"/>
  <c r="G71" i="43"/>
  <c r="AA70" i="43"/>
  <c r="Y70" i="43"/>
  <c r="X70" i="43"/>
  <c r="N70" i="43"/>
  <c r="M70" i="43"/>
  <c r="AB70" i="43" s="1"/>
  <c r="K70" i="43"/>
  <c r="G70" i="43"/>
  <c r="AB69" i="43"/>
  <c r="AA69" i="43"/>
  <c r="G69" i="43"/>
  <c r="AB68" i="43"/>
  <c r="AA68" i="43"/>
  <c r="N68" i="43"/>
  <c r="G68" i="43"/>
  <c r="AA67" i="43"/>
  <c r="M67" i="43"/>
  <c r="AB67" i="43" s="1"/>
  <c r="G67" i="43"/>
  <c r="AB66" i="43"/>
  <c r="AA66" i="43"/>
  <c r="Y66" i="43"/>
  <c r="X66" i="43"/>
  <c r="K66" i="43"/>
  <c r="G66" i="43"/>
  <c r="AB65" i="43"/>
  <c r="Y65" i="43"/>
  <c r="X65" i="43"/>
  <c r="AA65" i="43" s="1"/>
  <c r="N65" i="43"/>
  <c r="K65" i="43"/>
  <c r="G65" i="43"/>
  <c r="AA64" i="43"/>
  <c r="N64" i="43"/>
  <c r="M64" i="43"/>
  <c r="AB64" i="43" s="1"/>
  <c r="G64" i="43"/>
  <c r="AB63" i="43"/>
  <c r="AA63" i="43"/>
  <c r="N63" i="43"/>
  <c r="G63" i="43"/>
  <c r="AB62" i="43"/>
  <c r="AA62" i="43"/>
  <c r="Y62" i="43"/>
  <c r="X62" i="43"/>
  <c r="N62" i="43"/>
  <c r="M62" i="43"/>
  <c r="G62" i="43"/>
  <c r="AA61" i="43"/>
  <c r="Y61" i="43"/>
  <c r="AB61" i="43" s="1"/>
  <c r="X61" i="43"/>
  <c r="N61" i="43"/>
  <c r="G61" i="43"/>
  <c r="AB60" i="43"/>
  <c r="AA60" i="43"/>
  <c r="Y60" i="43"/>
  <c r="X60" i="43"/>
  <c r="N60" i="43"/>
  <c r="G60" i="43"/>
  <c r="AB59" i="43"/>
  <c r="AA59" i="43"/>
  <c r="N59" i="43"/>
  <c r="G59" i="43"/>
  <c r="AB58" i="43"/>
  <c r="AA58" i="43"/>
  <c r="N58" i="43"/>
  <c r="K58" i="43"/>
  <c r="G58" i="43"/>
  <c r="Y57" i="43"/>
  <c r="N57" i="43"/>
  <c r="M57" i="43"/>
  <c r="AB57" i="43" s="1"/>
  <c r="K57" i="43"/>
  <c r="J57" i="43"/>
  <c r="AA57" i="43" s="1"/>
  <c r="G57" i="43"/>
  <c r="AB56" i="43"/>
  <c r="AA56" i="43"/>
  <c r="N56" i="43"/>
  <c r="K56" i="43"/>
  <c r="G56" i="43"/>
  <c r="AB55" i="43"/>
  <c r="AA55" i="43"/>
  <c r="N55" i="43"/>
  <c r="G55" i="43"/>
  <c r="AB54" i="43"/>
  <c r="AA54" i="43"/>
  <c r="N54" i="43"/>
  <c r="K54" i="43"/>
  <c r="G54" i="43"/>
  <c r="AB53" i="43"/>
  <c r="AA53" i="43"/>
  <c r="G53" i="43"/>
  <c r="AB52" i="43"/>
  <c r="AA52" i="43"/>
  <c r="G52" i="43"/>
  <c r="AB51" i="43"/>
  <c r="AA51" i="43"/>
  <c r="G51" i="43"/>
  <c r="AB50" i="43"/>
  <c r="AA50" i="43"/>
  <c r="G50" i="43"/>
  <c r="AB49" i="43"/>
  <c r="AA49" i="43"/>
  <c r="G49" i="43"/>
  <c r="AB48" i="43"/>
  <c r="AA48" i="43"/>
  <c r="G48" i="43"/>
  <c r="AB47" i="43"/>
  <c r="AA47" i="43"/>
  <c r="G47" i="43"/>
  <c r="AA46" i="43"/>
  <c r="Y46" i="43"/>
  <c r="AB46" i="43" s="1"/>
  <c r="X46" i="43"/>
  <c r="G46" i="43"/>
  <c r="Y45" i="43"/>
  <c r="AB45" i="43" s="1"/>
  <c r="X45" i="43"/>
  <c r="AA45" i="43" s="1"/>
  <c r="G45" i="43"/>
  <c r="AB44" i="43"/>
  <c r="AA44" i="43"/>
  <c r="G44" i="43"/>
  <c r="AB43" i="43"/>
  <c r="AA43" i="43"/>
  <c r="G43" i="43"/>
  <c r="AB42" i="43"/>
  <c r="AA42" i="43"/>
  <c r="G42" i="43"/>
  <c r="AB41" i="43"/>
  <c r="AA41" i="43"/>
  <c r="G41" i="43"/>
  <c r="AB40" i="43"/>
  <c r="AA40" i="43"/>
  <c r="G40" i="43"/>
  <c r="AB39" i="43"/>
  <c r="AA39" i="43"/>
  <c r="K39" i="43"/>
  <c r="G39" i="43"/>
  <c r="AB38" i="43"/>
  <c r="AA38" i="43"/>
  <c r="K38" i="43"/>
  <c r="G38" i="43"/>
  <c r="AB37" i="43"/>
  <c r="AA37" i="43"/>
  <c r="K37" i="43"/>
  <c r="G37" i="43"/>
  <c r="AB36" i="43"/>
  <c r="AA36" i="43"/>
  <c r="K36" i="43"/>
  <c r="G36" i="43"/>
  <c r="AB35" i="43"/>
  <c r="AA35" i="43"/>
  <c r="K35" i="43"/>
  <c r="G35" i="43"/>
  <c r="AB34" i="43"/>
  <c r="AA34" i="43"/>
  <c r="K34" i="43"/>
  <c r="G34" i="43"/>
  <c r="AB33" i="43"/>
  <c r="AA33" i="43"/>
  <c r="K33" i="43"/>
  <c r="G33" i="43"/>
  <c r="AB32" i="43"/>
  <c r="AA32" i="43"/>
  <c r="K32" i="43"/>
  <c r="G32" i="43"/>
  <c r="AB31" i="43"/>
  <c r="AA31" i="43"/>
  <c r="K31" i="43"/>
  <c r="G31" i="43"/>
  <c r="AB30" i="43"/>
  <c r="AA30" i="43"/>
  <c r="K30" i="43"/>
  <c r="G30" i="43"/>
  <c r="AB29" i="43"/>
  <c r="AA29" i="43"/>
  <c r="K29" i="43"/>
  <c r="G29" i="43"/>
  <c r="AB28" i="43"/>
  <c r="AA28" i="43"/>
  <c r="K28" i="43"/>
  <c r="G28" i="43"/>
  <c r="AB27" i="43"/>
  <c r="AA27" i="43"/>
  <c r="K27" i="43"/>
  <c r="G27" i="43"/>
  <c r="AB26" i="43"/>
  <c r="AA26" i="43"/>
  <c r="K26" i="43"/>
  <c r="G26" i="43"/>
  <c r="AB25" i="43"/>
  <c r="AA25" i="43"/>
  <c r="K25" i="43"/>
  <c r="G25" i="43"/>
  <c r="AB24" i="43"/>
  <c r="AA24" i="43"/>
  <c r="K24" i="43"/>
  <c r="G24" i="43"/>
  <c r="AB23" i="43"/>
  <c r="AA23" i="43"/>
  <c r="K23" i="43"/>
  <c r="G23" i="43"/>
  <c r="AB22" i="43"/>
  <c r="AA22" i="43"/>
  <c r="K22" i="43"/>
  <c r="G22" i="43"/>
  <c r="AB21" i="43"/>
  <c r="AA21" i="43"/>
  <c r="K21" i="43"/>
  <c r="G21" i="43"/>
  <c r="AB20" i="43"/>
  <c r="AA20" i="43"/>
  <c r="K20" i="43"/>
  <c r="G20" i="43"/>
  <c r="AB19" i="43"/>
  <c r="AA19" i="43"/>
  <c r="K19" i="43"/>
  <c r="G19" i="43"/>
  <c r="AB18" i="43"/>
  <c r="AA18" i="43"/>
  <c r="K18" i="43"/>
  <c r="G18" i="43"/>
  <c r="AB17" i="43"/>
  <c r="AA17" i="43"/>
  <c r="K17" i="43"/>
  <c r="G17" i="43"/>
  <c r="AB16" i="43"/>
  <c r="AA16" i="43"/>
  <c r="K16" i="43"/>
  <c r="G16" i="43"/>
  <c r="AB15" i="43"/>
  <c r="AA15" i="43"/>
  <c r="K15" i="43"/>
  <c r="G15" i="43"/>
  <c r="AB14" i="43"/>
  <c r="AA14" i="43"/>
  <c r="K14" i="43"/>
  <c r="G14" i="43"/>
  <c r="AB13" i="43"/>
  <c r="Y13" i="43"/>
  <c r="X13" i="43"/>
  <c r="AA13" i="43" s="1"/>
  <c r="K13" i="43"/>
  <c r="G13" i="43"/>
  <c r="AB12" i="43"/>
  <c r="AA12" i="43"/>
  <c r="Y12" i="43"/>
  <c r="X12" i="43"/>
  <c r="K12" i="43"/>
  <c r="G12" i="43"/>
  <c r="AB366" i="42"/>
  <c r="AA366" i="42"/>
  <c r="AB334" i="42"/>
  <c r="AA334" i="42"/>
  <c r="AB333" i="42"/>
  <c r="AA333" i="42"/>
  <c r="AB332" i="42"/>
  <c r="AA332" i="42"/>
  <c r="AB331" i="42"/>
  <c r="AA331" i="42"/>
  <c r="AB330" i="42"/>
  <c r="AA330" i="42"/>
  <c r="AB329" i="42"/>
  <c r="AA329" i="42"/>
  <c r="AB328" i="42"/>
  <c r="AA328" i="42"/>
  <c r="AB327" i="42"/>
  <c r="AA327" i="42"/>
  <c r="AB326" i="42"/>
  <c r="AA326" i="42"/>
  <c r="AB325" i="42"/>
  <c r="AA325" i="42"/>
  <c r="AB324" i="42"/>
  <c r="AA324" i="42"/>
  <c r="AB323" i="42"/>
  <c r="AA323" i="42"/>
  <c r="AB322" i="42"/>
  <c r="AA322" i="42"/>
  <c r="AB321" i="42"/>
  <c r="AA321" i="42"/>
  <c r="AB320" i="42"/>
  <c r="AA320" i="42"/>
  <c r="AB319" i="42"/>
  <c r="AA319" i="42"/>
  <c r="AB318" i="42"/>
  <c r="AA318" i="42"/>
  <c r="AB317" i="42"/>
  <c r="AA317" i="42"/>
  <c r="AB316" i="42"/>
  <c r="AA316" i="42"/>
  <c r="AB315" i="42"/>
  <c r="AA315" i="42"/>
  <c r="AB314" i="42"/>
  <c r="AA314" i="42"/>
  <c r="AB313" i="42"/>
  <c r="AA313" i="42"/>
  <c r="AB312" i="42"/>
  <c r="AA312" i="42"/>
  <c r="AB311" i="42"/>
  <c r="AA311" i="42"/>
  <c r="AB310" i="42"/>
  <c r="AA310" i="42"/>
  <c r="AB309" i="42"/>
  <c r="AA309" i="42"/>
  <c r="AB308" i="42"/>
  <c r="AA308" i="42"/>
  <c r="AB307" i="42"/>
  <c r="AA307" i="42"/>
  <c r="AB306" i="42"/>
  <c r="AA306" i="42"/>
  <c r="AB305" i="42"/>
  <c r="AA305" i="42"/>
  <c r="AB304" i="42"/>
  <c r="AA304" i="42"/>
  <c r="AB303" i="42"/>
  <c r="AA303" i="42"/>
  <c r="AB302" i="42"/>
  <c r="AA302" i="42"/>
  <c r="AB301" i="42"/>
  <c r="AA301" i="42"/>
  <c r="AB300" i="42"/>
  <c r="AA300" i="42"/>
  <c r="AB299" i="42"/>
  <c r="AA299" i="42"/>
  <c r="AB298" i="42"/>
  <c r="AA298" i="42"/>
  <c r="AB297" i="42"/>
  <c r="AA297" i="42"/>
  <c r="G297" i="42"/>
  <c r="AB296" i="42"/>
  <c r="AA296" i="42"/>
  <c r="K296" i="42"/>
  <c r="G296" i="42"/>
  <c r="AB295" i="42"/>
  <c r="AA295" i="42"/>
  <c r="S295" i="42"/>
  <c r="J295" i="42"/>
  <c r="G295" i="42"/>
  <c r="AB294" i="42"/>
  <c r="AA294" i="42"/>
  <c r="G294" i="42"/>
  <c r="AB293" i="42"/>
  <c r="AA293" i="42"/>
  <c r="G293" i="42"/>
  <c r="AB292" i="42"/>
  <c r="AA292" i="42"/>
  <c r="G292" i="42"/>
  <c r="AB291" i="42"/>
  <c r="AA291" i="42"/>
  <c r="G291" i="42"/>
  <c r="AB290" i="42"/>
  <c r="AA290" i="42"/>
  <c r="Y290" i="42"/>
  <c r="X290" i="42"/>
  <c r="G290" i="42"/>
  <c r="AB289" i="42"/>
  <c r="AA289" i="42"/>
  <c r="G289" i="42"/>
  <c r="AB288" i="42"/>
  <c r="AA288" i="42"/>
  <c r="G288" i="42"/>
  <c r="AB287" i="42"/>
  <c r="AA287" i="42"/>
  <c r="G287" i="42"/>
  <c r="AB286" i="42"/>
  <c r="AA286" i="42"/>
  <c r="G286" i="42"/>
  <c r="AB285" i="42"/>
  <c r="AA285" i="42"/>
  <c r="G285" i="42"/>
  <c r="AB284" i="42"/>
  <c r="AA284" i="42"/>
  <c r="G284" i="42"/>
  <c r="AB283" i="42"/>
  <c r="AA283" i="42"/>
  <c r="G283" i="42"/>
  <c r="AB282" i="42"/>
  <c r="AA282" i="42"/>
  <c r="G282" i="42"/>
  <c r="AB281" i="42"/>
  <c r="AA281" i="42"/>
  <c r="G281" i="42"/>
  <c r="AB280" i="42"/>
  <c r="AA280" i="42"/>
  <c r="G280" i="42"/>
  <c r="AB279" i="42"/>
  <c r="AA279" i="42"/>
  <c r="K279" i="42"/>
  <c r="G279" i="42"/>
  <c r="AB278" i="42"/>
  <c r="AA278" i="42"/>
  <c r="G278" i="42"/>
  <c r="AB277" i="42"/>
  <c r="AA277" i="42"/>
  <c r="K277" i="42"/>
  <c r="G277" i="42"/>
  <c r="AB276" i="42"/>
  <c r="AA276" i="42"/>
  <c r="K276" i="42"/>
  <c r="G276" i="42"/>
  <c r="AB275" i="42"/>
  <c r="AA275" i="42"/>
  <c r="G275" i="42"/>
  <c r="AB274" i="42"/>
  <c r="AA274" i="42"/>
  <c r="G274" i="42"/>
  <c r="AB273" i="42"/>
  <c r="AA273" i="42"/>
  <c r="K273" i="42"/>
  <c r="G273" i="42"/>
  <c r="AB272" i="42"/>
  <c r="AA272" i="42"/>
  <c r="G272" i="42"/>
  <c r="AB271" i="42"/>
  <c r="AA271" i="42"/>
  <c r="G271" i="42"/>
  <c r="AB270" i="42"/>
  <c r="AA270" i="42"/>
  <c r="G270" i="42"/>
  <c r="AB269" i="42"/>
  <c r="AA269" i="42"/>
  <c r="K269" i="42"/>
  <c r="G269" i="42"/>
  <c r="AB268" i="42"/>
  <c r="AA268" i="42"/>
  <c r="G268" i="42"/>
  <c r="AB267" i="42"/>
  <c r="AA267" i="42"/>
  <c r="G267" i="42"/>
  <c r="AB266" i="42"/>
  <c r="AA266" i="42"/>
  <c r="N266" i="42"/>
  <c r="K266" i="42"/>
  <c r="G266" i="42"/>
  <c r="AB265" i="42"/>
  <c r="AA265" i="42"/>
  <c r="K265" i="42"/>
  <c r="G265" i="42"/>
  <c r="AB264" i="42"/>
  <c r="AA264" i="42"/>
  <c r="K264" i="42"/>
  <c r="G264" i="42"/>
  <c r="AB263" i="42"/>
  <c r="AA263" i="42"/>
  <c r="G263" i="42"/>
  <c r="AA262" i="42"/>
  <c r="Y262" i="42"/>
  <c r="AB262" i="42" s="1"/>
  <c r="X262" i="42"/>
  <c r="G262" i="42"/>
  <c r="AB261" i="42"/>
  <c r="AA261" i="42"/>
  <c r="G261" i="42"/>
  <c r="AB260" i="42"/>
  <c r="AA260" i="42"/>
  <c r="G260" i="42"/>
  <c r="Y259" i="42"/>
  <c r="AB259" i="42" s="1"/>
  <c r="X259" i="42"/>
  <c r="AA259" i="42" s="1"/>
  <c r="G259" i="42"/>
  <c r="Y258" i="42"/>
  <c r="AB258" i="42" s="1"/>
  <c r="X258" i="42"/>
  <c r="AA258" i="42" s="1"/>
  <c r="G258" i="42"/>
  <c r="AB257" i="42"/>
  <c r="Y257" i="42"/>
  <c r="X257" i="42"/>
  <c r="J257" i="42"/>
  <c r="AA257" i="42" s="1"/>
  <c r="G257" i="42"/>
  <c r="AB256" i="42"/>
  <c r="AA256" i="42"/>
  <c r="G256" i="42"/>
  <c r="AB255" i="42"/>
  <c r="AA255" i="42"/>
  <c r="G255" i="42"/>
  <c r="AB254" i="42"/>
  <c r="AA254" i="42"/>
  <c r="G254" i="42"/>
  <c r="AB253" i="42"/>
  <c r="AA253" i="42"/>
  <c r="G253" i="42"/>
  <c r="AB252" i="42"/>
  <c r="AA252" i="42"/>
  <c r="AB251" i="42"/>
  <c r="AA251" i="42"/>
  <c r="AB250" i="42"/>
  <c r="AA250" i="42"/>
  <c r="K250" i="42"/>
  <c r="G250" i="42"/>
  <c r="AB249" i="42"/>
  <c r="AA249" i="42"/>
  <c r="K249" i="42"/>
  <c r="G249" i="42"/>
  <c r="AB248" i="42"/>
  <c r="AA248" i="42"/>
  <c r="G248" i="42"/>
  <c r="AB247" i="42"/>
  <c r="AA247" i="42"/>
  <c r="G247" i="42"/>
  <c r="AB246" i="42"/>
  <c r="AA246" i="42"/>
  <c r="G246" i="42"/>
  <c r="AB245" i="42"/>
  <c r="AA245" i="42"/>
  <c r="G245" i="42"/>
  <c r="AB244" i="42"/>
  <c r="AA244" i="42"/>
  <c r="Y244" i="42"/>
  <c r="X244" i="42"/>
  <c r="K244" i="42"/>
  <c r="G244" i="42"/>
  <c r="AB243" i="42"/>
  <c r="AA243" i="42"/>
  <c r="Y243" i="42"/>
  <c r="X243" i="42"/>
  <c r="K243" i="42"/>
  <c r="G243" i="42"/>
  <c r="AB242" i="42"/>
  <c r="AA242" i="42"/>
  <c r="Y242" i="42"/>
  <c r="X242" i="42"/>
  <c r="G242" i="42"/>
  <c r="AB241" i="42"/>
  <c r="AA241" i="42"/>
  <c r="K241" i="42"/>
  <c r="J241" i="42"/>
  <c r="G241" i="42"/>
  <c r="AB240" i="42"/>
  <c r="AA240" i="42"/>
  <c r="K240" i="42"/>
  <c r="G240" i="42"/>
  <c r="AB239" i="42"/>
  <c r="AA239" i="42"/>
  <c r="G239" i="42"/>
  <c r="AB238" i="42"/>
  <c r="AA238" i="42"/>
  <c r="G238" i="42"/>
  <c r="AB237" i="42"/>
  <c r="AA237" i="42"/>
  <c r="K237" i="42"/>
  <c r="G237" i="42"/>
  <c r="AB236" i="42"/>
  <c r="AA236" i="42"/>
  <c r="G236" i="42"/>
  <c r="AB235" i="42"/>
  <c r="AA235" i="42"/>
  <c r="G235" i="42"/>
  <c r="AB234" i="42"/>
  <c r="AA234" i="42"/>
  <c r="K234" i="42"/>
  <c r="G234" i="42"/>
  <c r="AB233" i="42"/>
  <c r="AA233" i="42"/>
  <c r="K233" i="42"/>
  <c r="G233" i="42"/>
  <c r="AB232" i="42"/>
  <c r="AA232" i="42"/>
  <c r="G232" i="42"/>
  <c r="AB231" i="42"/>
  <c r="AA231" i="42"/>
  <c r="K231" i="42"/>
  <c r="G231" i="42"/>
  <c r="AB230" i="42"/>
  <c r="AA230" i="42"/>
  <c r="K230" i="42"/>
  <c r="G230" i="42"/>
  <c r="AB229" i="42"/>
  <c r="AA229" i="42"/>
  <c r="G229" i="42"/>
  <c r="AB228" i="42"/>
  <c r="AA228" i="42"/>
  <c r="K228" i="42"/>
  <c r="G228" i="42"/>
  <c r="AB227" i="42"/>
  <c r="J227" i="42"/>
  <c r="AA227" i="42" s="1"/>
  <c r="G227" i="42"/>
  <c r="AB226" i="42"/>
  <c r="AA226" i="42"/>
  <c r="K226" i="42"/>
  <c r="G226" i="42"/>
  <c r="AB225" i="42"/>
  <c r="AA225" i="42"/>
  <c r="G225" i="42"/>
  <c r="AB224" i="42"/>
  <c r="AA224" i="42"/>
  <c r="K224" i="42"/>
  <c r="G224" i="42"/>
  <c r="AB223" i="42"/>
  <c r="AA223" i="42"/>
  <c r="G223" i="42"/>
  <c r="AB222" i="42"/>
  <c r="AA222" i="42"/>
  <c r="G222" i="42"/>
  <c r="AB221" i="42"/>
  <c r="AA221" i="42"/>
  <c r="G221" i="42"/>
  <c r="AB220" i="42"/>
  <c r="AA220" i="42"/>
  <c r="K220" i="42"/>
  <c r="G220" i="42"/>
  <c r="AB219" i="42"/>
  <c r="AA219" i="42"/>
  <c r="J219" i="42"/>
  <c r="G219" i="42"/>
  <c r="AB218" i="42"/>
  <c r="AA218" i="42"/>
  <c r="G218" i="42"/>
  <c r="AB217" i="42"/>
  <c r="AA217" i="42"/>
  <c r="G217" i="42"/>
  <c r="AB216" i="42"/>
  <c r="AA216" i="42"/>
  <c r="K216" i="42"/>
  <c r="J216" i="42"/>
  <c r="G216" i="42"/>
  <c r="Y215" i="42"/>
  <c r="X215" i="42"/>
  <c r="AA215" i="42" s="1"/>
  <c r="M215" i="42"/>
  <c r="AB215" i="42" s="1"/>
  <c r="G215" i="42"/>
  <c r="AB214" i="42"/>
  <c r="AA214" i="42"/>
  <c r="G214" i="42"/>
  <c r="AB213" i="42"/>
  <c r="AA213" i="42"/>
  <c r="G213" i="42"/>
  <c r="AB212" i="42"/>
  <c r="AA212" i="42"/>
  <c r="K212" i="42"/>
  <c r="G212" i="42"/>
  <c r="AB211" i="42"/>
  <c r="AA211" i="42"/>
  <c r="G211" i="42"/>
  <c r="AB210" i="42"/>
  <c r="AA210" i="42"/>
  <c r="G210" i="42"/>
  <c r="AB209" i="42"/>
  <c r="AA209" i="42"/>
  <c r="G209" i="42"/>
  <c r="AB208" i="42"/>
  <c r="AA208" i="42"/>
  <c r="K208" i="42"/>
  <c r="G208" i="42"/>
  <c r="AB207" i="42"/>
  <c r="AA207" i="42"/>
  <c r="G207" i="42"/>
  <c r="AB206" i="42"/>
  <c r="AA206" i="42"/>
  <c r="K206" i="42"/>
  <c r="G206" i="42"/>
  <c r="AB205" i="42"/>
  <c r="AA205" i="42"/>
  <c r="G205" i="42"/>
  <c r="AB204" i="42"/>
  <c r="AA204" i="42"/>
  <c r="G204" i="42"/>
  <c r="AB203" i="42"/>
  <c r="AA203" i="42"/>
  <c r="G203" i="42"/>
  <c r="AB202" i="42"/>
  <c r="AA202" i="42"/>
  <c r="G202" i="42"/>
  <c r="AB201" i="42"/>
  <c r="AA201" i="42"/>
  <c r="G201" i="42"/>
  <c r="AB200" i="42"/>
  <c r="AA200" i="42"/>
  <c r="G200" i="42"/>
  <c r="AB199" i="42"/>
  <c r="AA199" i="42"/>
  <c r="G199" i="42"/>
  <c r="AB198" i="42"/>
  <c r="AA198" i="42"/>
  <c r="G198" i="42"/>
  <c r="AB197" i="42"/>
  <c r="AA197" i="42"/>
  <c r="G197" i="42"/>
  <c r="AB196" i="42"/>
  <c r="AA196" i="42"/>
  <c r="G196" i="42"/>
  <c r="AB195" i="42"/>
  <c r="AA195" i="42"/>
  <c r="G195" i="42"/>
  <c r="AB194" i="42"/>
  <c r="AA194" i="42"/>
  <c r="G194" i="42"/>
  <c r="AB193" i="42"/>
  <c r="AA193" i="42"/>
  <c r="G193" i="42"/>
  <c r="AB192" i="42"/>
  <c r="AA192" i="42"/>
  <c r="G192" i="42"/>
  <c r="AB191" i="42"/>
  <c r="AA191" i="42"/>
  <c r="G191" i="42"/>
  <c r="AB190" i="42"/>
  <c r="AA190" i="42"/>
  <c r="G190" i="42"/>
  <c r="AB189" i="42"/>
  <c r="AA189" i="42"/>
  <c r="G189" i="42"/>
  <c r="AB188" i="42"/>
  <c r="AA188" i="42"/>
  <c r="G188" i="42"/>
  <c r="AB187" i="42"/>
  <c r="AA187" i="42"/>
  <c r="G187" i="42"/>
  <c r="AB186" i="42"/>
  <c r="AA186" i="42"/>
  <c r="G186" i="42"/>
  <c r="AB185" i="42"/>
  <c r="AA185" i="42"/>
  <c r="G185" i="42"/>
  <c r="AB184" i="42"/>
  <c r="AA184" i="42"/>
  <c r="G184" i="42"/>
  <c r="AB183" i="42"/>
  <c r="AA183" i="42"/>
  <c r="K183" i="42"/>
  <c r="G183" i="42"/>
  <c r="AB182" i="42"/>
  <c r="AA182" i="42"/>
  <c r="G182" i="42"/>
  <c r="AB181" i="42"/>
  <c r="AA181" i="42"/>
  <c r="G181" i="42"/>
  <c r="AB180" i="42"/>
  <c r="AA180" i="42"/>
  <c r="K180" i="42"/>
  <c r="AB179" i="42"/>
  <c r="AA179" i="42"/>
  <c r="K179" i="42"/>
  <c r="G179" i="42"/>
  <c r="AB178" i="42"/>
  <c r="AA178" i="42"/>
  <c r="G178" i="42"/>
  <c r="AB177" i="42"/>
  <c r="AA177" i="42"/>
  <c r="G177" i="42"/>
  <c r="AB176" i="42"/>
  <c r="AA176" i="42"/>
  <c r="G176" i="42"/>
  <c r="AB175" i="42"/>
  <c r="AA175" i="42"/>
  <c r="G175" i="42"/>
  <c r="AB174" i="42"/>
  <c r="AA174" i="42"/>
  <c r="G174" i="42"/>
  <c r="AB173" i="42"/>
  <c r="AA173" i="42"/>
  <c r="G173" i="42"/>
  <c r="Y172" i="42"/>
  <c r="AB172" i="42" s="1"/>
  <c r="X172" i="42"/>
  <c r="AA172" i="42" s="1"/>
  <c r="G172" i="42"/>
  <c r="AA171" i="42"/>
  <c r="Y171" i="42"/>
  <c r="AB171" i="42" s="1"/>
  <c r="X171" i="42"/>
  <c r="G171" i="42"/>
  <c r="AB170" i="42"/>
  <c r="AA170" i="42"/>
  <c r="G170" i="42"/>
  <c r="AA169" i="42"/>
  <c r="Y169" i="42"/>
  <c r="AB169" i="42" s="1"/>
  <c r="X169" i="42"/>
  <c r="M169" i="42"/>
  <c r="K169" i="42"/>
  <c r="J169" i="42"/>
  <c r="G169" i="42"/>
  <c r="F169" i="42"/>
  <c r="AB168" i="42"/>
  <c r="AA168" i="42"/>
  <c r="G168" i="42"/>
  <c r="AB167" i="42"/>
  <c r="AA167" i="42"/>
  <c r="S167" i="42"/>
  <c r="J167" i="42"/>
  <c r="G167" i="42"/>
  <c r="AB166" i="42"/>
  <c r="AA166" i="42"/>
  <c r="K166" i="42"/>
  <c r="G166" i="42"/>
  <c r="AB165" i="42"/>
  <c r="AA165" i="42"/>
  <c r="G165" i="42"/>
  <c r="AB164" i="42"/>
  <c r="AA164" i="42"/>
  <c r="Y164" i="42"/>
  <c r="X164" i="42"/>
  <c r="K164" i="42"/>
  <c r="G164" i="42"/>
  <c r="AB163" i="42"/>
  <c r="AA163" i="42"/>
  <c r="G163" i="42"/>
  <c r="AB162" i="42"/>
  <c r="AA162" i="42"/>
  <c r="G162" i="42"/>
  <c r="AB161" i="42"/>
  <c r="AA161" i="42"/>
  <c r="G161" i="42"/>
  <c r="AB160" i="42"/>
  <c r="AA160" i="42"/>
  <c r="G160" i="42"/>
  <c r="AB159" i="42"/>
  <c r="AA159" i="42"/>
  <c r="AB158" i="42"/>
  <c r="AA158" i="42"/>
  <c r="AB157" i="42"/>
  <c r="AA157" i="42"/>
  <c r="AB156" i="42"/>
  <c r="AA156" i="42"/>
  <c r="AB155" i="42"/>
  <c r="AA155" i="42"/>
  <c r="AB154" i="42"/>
  <c r="AA154" i="42"/>
  <c r="AB153" i="42"/>
  <c r="AA153" i="42"/>
  <c r="AB152" i="42"/>
  <c r="AA152" i="42"/>
  <c r="AB151" i="42"/>
  <c r="Y151" i="42"/>
  <c r="X151" i="42"/>
  <c r="AA151" i="42" s="1"/>
  <c r="J151" i="42"/>
  <c r="G151" i="42"/>
  <c r="Y150" i="42"/>
  <c r="AB150" i="42" s="1"/>
  <c r="X150" i="42"/>
  <c r="S150" i="42"/>
  <c r="J150" i="42"/>
  <c r="AA150" i="42" s="1"/>
  <c r="G150" i="42"/>
  <c r="AB149" i="42"/>
  <c r="AA149" i="42"/>
  <c r="G149" i="42"/>
  <c r="AB148" i="42"/>
  <c r="AA148" i="42"/>
  <c r="G148" i="42"/>
  <c r="AB147" i="42"/>
  <c r="AA147" i="42"/>
  <c r="G147" i="42"/>
  <c r="AB146" i="42"/>
  <c r="AA146" i="42"/>
  <c r="G146" i="42"/>
  <c r="AB145" i="42"/>
  <c r="AA145" i="42"/>
  <c r="N145" i="42"/>
  <c r="M145" i="42"/>
  <c r="G145" i="42"/>
  <c r="AB144" i="42"/>
  <c r="AA144" i="42"/>
  <c r="N144" i="42"/>
  <c r="G144" i="42"/>
  <c r="AB143" i="42"/>
  <c r="AA143" i="42"/>
  <c r="N143" i="42"/>
  <c r="G143" i="42"/>
  <c r="AB142" i="42"/>
  <c r="AA142" i="42"/>
  <c r="G142" i="42"/>
  <c r="AA141" i="42"/>
  <c r="N141" i="42"/>
  <c r="M141" i="42"/>
  <c r="AB141" i="42" s="1"/>
  <c r="G141" i="42"/>
  <c r="AA140" i="42"/>
  <c r="M140" i="42"/>
  <c r="AB140" i="42" s="1"/>
  <c r="G140" i="42"/>
  <c r="AB139" i="42"/>
  <c r="AA139" i="42"/>
  <c r="N139" i="42"/>
  <c r="M139" i="42"/>
  <c r="G139" i="42"/>
  <c r="AB138" i="42"/>
  <c r="AA138" i="42"/>
  <c r="S138" i="42"/>
  <c r="J138" i="42"/>
  <c r="G138" i="42"/>
  <c r="AB137" i="42"/>
  <c r="AA137" i="42"/>
  <c r="N137" i="42"/>
  <c r="G137" i="42"/>
  <c r="AB136" i="42"/>
  <c r="AA136" i="42"/>
  <c r="N136" i="42"/>
  <c r="G136" i="42"/>
  <c r="AB135" i="42"/>
  <c r="S135" i="42"/>
  <c r="N135" i="42"/>
  <c r="J135" i="42"/>
  <c r="AA135" i="42" s="1"/>
  <c r="G135" i="42"/>
  <c r="AB134" i="42"/>
  <c r="AA134" i="42"/>
  <c r="G134" i="42"/>
  <c r="AB133" i="42"/>
  <c r="AA133" i="42"/>
  <c r="G133" i="42"/>
  <c r="AB132" i="42"/>
  <c r="AA132" i="42"/>
  <c r="G132" i="42"/>
  <c r="AA131" i="42"/>
  <c r="Y131" i="42"/>
  <c r="AB131" i="42" s="1"/>
  <c r="X131" i="42"/>
  <c r="N131" i="42"/>
  <c r="G131" i="42"/>
  <c r="AB130" i="42"/>
  <c r="AA130" i="42"/>
  <c r="S130" i="42"/>
  <c r="N130" i="42"/>
  <c r="J130" i="42"/>
  <c r="G130" i="42"/>
  <c r="AB129" i="42"/>
  <c r="AA129" i="42"/>
  <c r="G129" i="42"/>
  <c r="AB128" i="42"/>
  <c r="AA128" i="42"/>
  <c r="S128" i="42"/>
  <c r="N128" i="42"/>
  <c r="J128" i="42"/>
  <c r="G128" i="42"/>
  <c r="AB127" i="42"/>
  <c r="AA127" i="42"/>
  <c r="M127" i="42"/>
  <c r="G127" i="42"/>
  <c r="AB126" i="42"/>
  <c r="AA126" i="42"/>
  <c r="N126" i="42"/>
  <c r="G126" i="42"/>
  <c r="AB125" i="42"/>
  <c r="S125" i="42"/>
  <c r="N125" i="42"/>
  <c r="J125" i="42"/>
  <c r="AA125" i="42" s="1"/>
  <c r="G125" i="42"/>
  <c r="AA124" i="42"/>
  <c r="N124" i="42"/>
  <c r="M124" i="42"/>
  <c r="AB124" i="42" s="1"/>
  <c r="K124" i="42"/>
  <c r="G124" i="42"/>
  <c r="AB123" i="42"/>
  <c r="AA123" i="42"/>
  <c r="N123" i="42"/>
  <c r="G123" i="42"/>
  <c r="AB122" i="42"/>
  <c r="AA122" i="42"/>
  <c r="N122" i="42"/>
  <c r="G122" i="42"/>
  <c r="AB121" i="42"/>
  <c r="AA121" i="42"/>
  <c r="K121" i="42"/>
  <c r="G121" i="42"/>
  <c r="AB120" i="42"/>
  <c r="AA120" i="42"/>
  <c r="K120" i="42"/>
  <c r="G120" i="42"/>
  <c r="AB119" i="42"/>
  <c r="AA119" i="42"/>
  <c r="K119" i="42"/>
  <c r="G119" i="42"/>
  <c r="AB118" i="42"/>
  <c r="AA118" i="42"/>
  <c r="K118" i="42"/>
  <c r="G118" i="42"/>
  <c r="AB117" i="42"/>
  <c r="AA117" i="42"/>
  <c r="K117" i="42"/>
  <c r="G117" i="42"/>
  <c r="AB116" i="42"/>
  <c r="AA116" i="42"/>
  <c r="K116" i="42"/>
  <c r="G116" i="42"/>
  <c r="AB115" i="42"/>
  <c r="AA115" i="42"/>
  <c r="K115" i="42"/>
  <c r="G115" i="42"/>
  <c r="AB114" i="42"/>
  <c r="AA114" i="42"/>
  <c r="K114" i="42"/>
  <c r="G114" i="42"/>
  <c r="AB113" i="42"/>
  <c r="AA113" i="42"/>
  <c r="K113" i="42"/>
  <c r="G113" i="42"/>
  <c r="AB112" i="42"/>
  <c r="AA112" i="42"/>
  <c r="K112" i="42"/>
  <c r="G112" i="42"/>
  <c r="AB111" i="42"/>
  <c r="AA111" i="42"/>
  <c r="K111" i="42"/>
  <c r="G111" i="42"/>
  <c r="AB110" i="42"/>
  <c r="AA110" i="42"/>
  <c r="K110" i="42"/>
  <c r="G110" i="42"/>
  <c r="AB109" i="42"/>
  <c r="AA109" i="42"/>
  <c r="K109" i="42"/>
  <c r="G109" i="42"/>
  <c r="AB108" i="42"/>
  <c r="Y108" i="42"/>
  <c r="X108" i="42"/>
  <c r="AA108" i="42" s="1"/>
  <c r="K108" i="42"/>
  <c r="G108" i="42"/>
  <c r="AB107" i="42"/>
  <c r="AA107" i="42"/>
  <c r="K107" i="42"/>
  <c r="G107" i="42"/>
  <c r="AB106" i="42"/>
  <c r="AA106" i="42"/>
  <c r="K106" i="42"/>
  <c r="G106" i="42"/>
  <c r="AB105" i="42"/>
  <c r="AA105" i="42"/>
  <c r="K105" i="42"/>
  <c r="G105" i="42"/>
  <c r="AB104" i="42"/>
  <c r="AA104" i="42"/>
  <c r="K104" i="42"/>
  <c r="G104" i="42"/>
  <c r="AB103" i="42"/>
  <c r="AA103" i="42"/>
  <c r="K103" i="42"/>
  <c r="G103" i="42"/>
  <c r="AB102" i="42"/>
  <c r="AA102" i="42"/>
  <c r="K102" i="42"/>
  <c r="G102" i="42"/>
  <c r="AB101" i="42"/>
  <c r="AA101" i="42"/>
  <c r="K101" i="42"/>
  <c r="G101" i="42"/>
  <c r="AB100" i="42"/>
  <c r="AA100" i="42"/>
  <c r="K100" i="42"/>
  <c r="G100" i="42"/>
  <c r="AB99" i="42"/>
  <c r="AA99" i="42"/>
  <c r="K99" i="42"/>
  <c r="G99" i="42"/>
  <c r="AB98" i="42"/>
  <c r="AA98" i="42"/>
  <c r="K98" i="42"/>
  <c r="G98" i="42"/>
  <c r="AB97" i="42"/>
  <c r="AA97" i="42"/>
  <c r="K97" i="42"/>
  <c r="G97" i="42"/>
  <c r="AB96" i="42"/>
  <c r="AA96" i="42"/>
  <c r="K96" i="42"/>
  <c r="G96" i="42"/>
  <c r="AB95" i="42"/>
  <c r="AA95" i="42"/>
  <c r="K95" i="42"/>
  <c r="G95" i="42"/>
  <c r="AB94" i="42"/>
  <c r="AA94" i="42"/>
  <c r="K94" i="42"/>
  <c r="G94" i="42"/>
  <c r="AB93" i="42"/>
  <c r="AA93" i="42"/>
  <c r="K93" i="42"/>
  <c r="G93" i="42"/>
  <c r="AB92" i="42"/>
  <c r="AA92" i="42"/>
  <c r="K92" i="42"/>
  <c r="G92" i="42"/>
  <c r="AB91" i="42"/>
  <c r="AA91" i="42"/>
  <c r="AB90" i="42"/>
  <c r="AA90" i="42"/>
  <c r="AB89" i="42"/>
  <c r="AA89" i="42"/>
  <c r="AB88" i="42"/>
  <c r="S88" i="42"/>
  <c r="J88" i="42"/>
  <c r="AA88" i="42" s="1"/>
  <c r="G88" i="42"/>
  <c r="AB87" i="42"/>
  <c r="AA87" i="42"/>
  <c r="G87" i="42"/>
  <c r="AB86" i="42"/>
  <c r="S86" i="42"/>
  <c r="K86" i="42"/>
  <c r="J86" i="42"/>
  <c r="AA86" i="42" s="1"/>
  <c r="G86" i="42"/>
  <c r="AB85" i="42"/>
  <c r="AA85" i="42"/>
  <c r="K85" i="42"/>
  <c r="G85" i="42"/>
  <c r="AB84" i="42"/>
  <c r="AA84" i="42"/>
  <c r="G84" i="42"/>
  <c r="AB83" i="42"/>
  <c r="AA83" i="42"/>
  <c r="K83" i="42"/>
  <c r="G83" i="42"/>
  <c r="AB82" i="42"/>
  <c r="AA82" i="42"/>
  <c r="AB81" i="42"/>
  <c r="AA81" i="42"/>
  <c r="AB80" i="42"/>
  <c r="AA80" i="42"/>
  <c r="AB79" i="42"/>
  <c r="AA79" i="42"/>
  <c r="AB78" i="42"/>
  <c r="AA78" i="42"/>
  <c r="K78" i="42"/>
  <c r="G78" i="42"/>
  <c r="AB77" i="42"/>
  <c r="AA77" i="42"/>
  <c r="K77" i="42"/>
  <c r="G77" i="42"/>
  <c r="AB76" i="42"/>
  <c r="AA76" i="42"/>
  <c r="K76" i="42"/>
  <c r="G76" i="42"/>
  <c r="AB75" i="42"/>
  <c r="AA75" i="42"/>
  <c r="K75" i="42"/>
  <c r="G75" i="42"/>
  <c r="Y74" i="42"/>
  <c r="AB74" i="42" s="1"/>
  <c r="X74" i="42"/>
  <c r="S74" i="42"/>
  <c r="K74" i="42"/>
  <c r="J74" i="42"/>
  <c r="AA74" i="42" s="1"/>
  <c r="G74" i="42"/>
  <c r="Y73" i="42"/>
  <c r="AB73" i="42" s="1"/>
  <c r="X73" i="42"/>
  <c r="AA73" i="42" s="1"/>
  <c r="K73" i="42"/>
  <c r="G73" i="42"/>
  <c r="AB72" i="42"/>
  <c r="Y72" i="42"/>
  <c r="X72" i="42"/>
  <c r="AA72" i="42" s="1"/>
  <c r="K72" i="42"/>
  <c r="G72" i="42"/>
  <c r="AB71" i="42"/>
  <c r="AA71" i="42"/>
  <c r="K71" i="42"/>
  <c r="G71" i="42"/>
  <c r="Y70" i="42"/>
  <c r="AB70" i="42" s="1"/>
  <c r="X70" i="42"/>
  <c r="AA70" i="42" s="1"/>
  <c r="K70" i="42"/>
  <c r="G70" i="42"/>
  <c r="AB69" i="42"/>
  <c r="AA69" i="42"/>
  <c r="K69" i="42"/>
  <c r="G69" i="42"/>
  <c r="AA68" i="42"/>
  <c r="Y68" i="42"/>
  <c r="AB68" i="42" s="1"/>
  <c r="X68" i="42"/>
  <c r="K68" i="42"/>
  <c r="G68" i="42"/>
  <c r="AB67" i="42"/>
  <c r="AA67" i="42"/>
  <c r="G67" i="42"/>
  <c r="AB66" i="42"/>
  <c r="AA66" i="42"/>
  <c r="K66" i="42"/>
  <c r="G66" i="42"/>
  <c r="AB65" i="42"/>
  <c r="AA65" i="42"/>
  <c r="K65" i="42"/>
  <c r="G65" i="42"/>
  <c r="AB64" i="42"/>
  <c r="AA64" i="42"/>
  <c r="K64" i="42"/>
  <c r="G64" i="42"/>
  <c r="AB63" i="42"/>
  <c r="AA63" i="42"/>
  <c r="G63" i="42"/>
  <c r="AB62" i="42"/>
  <c r="AA62" i="42"/>
  <c r="K62" i="42"/>
  <c r="G62" i="42"/>
  <c r="AB61" i="42"/>
  <c r="AA61" i="42"/>
  <c r="G61" i="42"/>
  <c r="AB60" i="42"/>
  <c r="AA60" i="42"/>
  <c r="G60" i="42"/>
  <c r="AB59" i="42"/>
  <c r="AA59" i="42"/>
  <c r="G59" i="42"/>
  <c r="AB58" i="42"/>
  <c r="AA58" i="42"/>
  <c r="G58" i="42"/>
  <c r="AB57" i="42"/>
  <c r="AA57" i="42"/>
  <c r="G57" i="42"/>
  <c r="AB56" i="42"/>
  <c r="AA56" i="42"/>
  <c r="K56" i="42"/>
  <c r="G56" i="42"/>
  <c r="AB55" i="42"/>
  <c r="AA55" i="42"/>
  <c r="G55" i="42"/>
  <c r="AB54" i="42"/>
  <c r="AA54" i="42"/>
  <c r="G54" i="42"/>
  <c r="AB53" i="42"/>
  <c r="AA53" i="42"/>
  <c r="G53" i="42"/>
  <c r="AB52" i="42"/>
  <c r="AA52" i="42"/>
  <c r="K52" i="42"/>
  <c r="G52" i="42"/>
  <c r="AB51" i="42"/>
  <c r="AA51" i="42"/>
  <c r="K51" i="42"/>
  <c r="G51" i="42"/>
  <c r="AB50" i="42"/>
  <c r="AA50" i="42"/>
  <c r="G50" i="42"/>
  <c r="AB49" i="42"/>
  <c r="AA49" i="42"/>
  <c r="K49" i="42"/>
  <c r="G49" i="42"/>
  <c r="AA48" i="42"/>
  <c r="Y48" i="42"/>
  <c r="AB48" i="42" s="1"/>
  <c r="X48" i="42"/>
  <c r="K48" i="42"/>
  <c r="G48" i="42"/>
  <c r="AB47" i="42"/>
  <c r="AA47" i="42"/>
  <c r="K47" i="42"/>
  <c r="G47" i="42"/>
  <c r="AB46" i="42"/>
  <c r="AA46" i="42"/>
  <c r="G46" i="42"/>
  <c r="AB45" i="42"/>
  <c r="AA45" i="42"/>
  <c r="K45" i="42"/>
  <c r="G45" i="42"/>
  <c r="AB44" i="42"/>
  <c r="AA44" i="42"/>
  <c r="G44" i="42"/>
  <c r="AB43" i="42"/>
  <c r="AA43" i="42"/>
  <c r="K43" i="42"/>
  <c r="G43" i="42"/>
  <c r="AA42" i="42"/>
  <c r="Y42" i="42"/>
  <c r="AB42" i="42" s="1"/>
  <c r="X42" i="42"/>
  <c r="K42" i="42"/>
  <c r="G42" i="42"/>
  <c r="AB41" i="42"/>
  <c r="AA41" i="42"/>
  <c r="G41" i="42"/>
  <c r="AB40" i="42"/>
  <c r="AA40" i="42"/>
  <c r="K40" i="42"/>
  <c r="G40" i="42"/>
  <c r="AB39" i="42"/>
  <c r="AA39" i="42"/>
  <c r="K39" i="42"/>
  <c r="G39" i="42"/>
  <c r="AB38" i="42"/>
  <c r="AA38" i="42"/>
  <c r="G38" i="42"/>
  <c r="AB37" i="42"/>
  <c r="AA37" i="42"/>
  <c r="K37" i="42"/>
  <c r="G37" i="42"/>
  <c r="AB36" i="42"/>
  <c r="AA36" i="42"/>
  <c r="K36" i="42"/>
  <c r="G36" i="42"/>
  <c r="AB35" i="42"/>
  <c r="AA35" i="42"/>
  <c r="K35" i="42"/>
  <c r="G35" i="42"/>
  <c r="AB34" i="42"/>
  <c r="AA34" i="42"/>
  <c r="Y34" i="42"/>
  <c r="X34" i="42"/>
  <c r="K34" i="42"/>
  <c r="G34" i="42"/>
  <c r="AB33" i="42"/>
  <c r="AA33" i="42"/>
  <c r="K33" i="42"/>
  <c r="G33" i="42"/>
  <c r="AB32" i="42"/>
  <c r="AA32" i="42"/>
  <c r="G32" i="42"/>
  <c r="AB31" i="42"/>
  <c r="AA31" i="42"/>
  <c r="G31" i="42"/>
  <c r="AB30" i="42"/>
  <c r="AA30" i="42"/>
  <c r="Y30" i="42"/>
  <c r="X30" i="42"/>
  <c r="G30" i="42"/>
  <c r="Y29" i="42"/>
  <c r="AB29" i="42" s="1"/>
  <c r="X29" i="42"/>
  <c r="AA29" i="42" s="1"/>
  <c r="G29" i="42"/>
  <c r="AB28" i="42"/>
  <c r="AA28" i="42"/>
  <c r="G28" i="42"/>
  <c r="AB27" i="42"/>
  <c r="AA27" i="42"/>
  <c r="Y27" i="42"/>
  <c r="X27" i="42"/>
  <c r="G27" i="42"/>
  <c r="AB26" i="42"/>
  <c r="AA26" i="42"/>
  <c r="G26" i="42"/>
  <c r="AB25" i="42"/>
  <c r="AA25" i="42"/>
  <c r="G25" i="42"/>
  <c r="AB24" i="42"/>
  <c r="AA24" i="42"/>
  <c r="G24" i="42"/>
  <c r="Y23" i="42"/>
  <c r="AB23" i="42" s="1"/>
  <c r="X23" i="42"/>
  <c r="AA23" i="42" s="1"/>
  <c r="G23" i="42"/>
  <c r="AB22" i="42"/>
  <c r="AA22" i="42"/>
  <c r="G22" i="42"/>
  <c r="AB21" i="42"/>
  <c r="AA21" i="42"/>
  <c r="G21" i="42"/>
  <c r="AB20" i="42"/>
  <c r="AA20" i="42"/>
  <c r="G20" i="42"/>
  <c r="AB19" i="42"/>
  <c r="AA19" i="42"/>
  <c r="G19" i="42"/>
  <c r="AB18" i="42"/>
  <c r="AA18" i="42"/>
  <c r="G18" i="42"/>
  <c r="AB17" i="42"/>
  <c r="AA17" i="42"/>
  <c r="G17" i="42"/>
  <c r="AB16" i="42"/>
  <c r="AA16" i="42"/>
  <c r="G16" i="42"/>
  <c r="AB15" i="42"/>
  <c r="AA15" i="42"/>
  <c r="G15" i="42"/>
  <c r="AB14" i="42"/>
  <c r="AA14" i="42"/>
  <c r="K14" i="42"/>
  <c r="G14" i="42"/>
  <c r="AB13" i="42"/>
  <c r="AA13" i="42"/>
  <c r="K13" i="42"/>
  <c r="G13" i="42"/>
  <c r="AB12" i="42"/>
  <c r="AA12" i="42"/>
  <c r="G12" i="42"/>
  <c r="G54" i="41"/>
  <c r="G51" i="41"/>
  <c r="G45" i="41"/>
  <c r="G41" i="41"/>
  <c r="G34" i="41"/>
  <c r="G27" i="41"/>
  <c r="G21" i="41"/>
  <c r="AB363" i="40"/>
  <c r="AA363" i="40"/>
  <c r="AB362" i="40"/>
  <c r="AA362" i="40"/>
  <c r="AB361" i="40"/>
  <c r="AA361" i="40"/>
  <c r="AB360" i="40"/>
  <c r="AA360" i="40"/>
  <c r="AB359" i="40"/>
  <c r="AA359" i="40"/>
  <c r="AB358" i="40"/>
  <c r="AA358" i="40"/>
  <c r="AB357" i="40"/>
  <c r="AA357" i="40"/>
  <c r="AB356" i="40"/>
  <c r="AA356" i="40"/>
  <c r="G356" i="40"/>
  <c r="AA355" i="40"/>
  <c r="Y355" i="40"/>
  <c r="AB355" i="40" s="1"/>
  <c r="X355" i="40"/>
  <c r="K355" i="40"/>
  <c r="G355" i="40"/>
  <c r="AB354" i="40"/>
  <c r="AA354" i="40"/>
  <c r="G354" i="40"/>
  <c r="AB353" i="40"/>
  <c r="AA353" i="40"/>
  <c r="G353" i="40"/>
  <c r="AA352" i="40"/>
  <c r="Y352" i="40"/>
  <c r="AB352" i="40" s="1"/>
  <c r="X352" i="40"/>
  <c r="G352" i="40"/>
  <c r="AB351" i="40"/>
  <c r="AA351" i="40"/>
  <c r="G351" i="40"/>
  <c r="Y350" i="40"/>
  <c r="X350" i="40"/>
  <c r="M350" i="40"/>
  <c r="AB350" i="40" s="1"/>
  <c r="J350" i="40"/>
  <c r="AA350" i="40" s="1"/>
  <c r="G350" i="40"/>
  <c r="AB349" i="40"/>
  <c r="AA349" i="40"/>
  <c r="G349" i="40"/>
  <c r="AB348" i="40"/>
  <c r="Y348" i="40"/>
  <c r="X348" i="40"/>
  <c r="M348" i="40"/>
  <c r="J348" i="40"/>
  <c r="AA348" i="40" s="1"/>
  <c r="G348" i="40"/>
  <c r="AB347" i="40"/>
  <c r="AA347" i="40"/>
  <c r="G347" i="40"/>
  <c r="AB346" i="40"/>
  <c r="AA346" i="40"/>
  <c r="G346" i="40"/>
  <c r="AB345" i="40"/>
  <c r="AA345" i="40"/>
  <c r="G345" i="40"/>
  <c r="AB344" i="40"/>
  <c r="AA344" i="40"/>
  <c r="AB343" i="40"/>
  <c r="AA343" i="40"/>
  <c r="AB342" i="40"/>
  <c r="AA342" i="40"/>
  <c r="AA341" i="40"/>
  <c r="Y341" i="40"/>
  <c r="AB341" i="40" s="1"/>
  <c r="X341" i="40"/>
  <c r="S341" i="40"/>
  <c r="M341" i="40"/>
  <c r="J341" i="40"/>
  <c r="Y340" i="40"/>
  <c r="AB340" i="40" s="1"/>
  <c r="X340" i="40"/>
  <c r="AA340" i="40" s="1"/>
  <c r="AB339" i="40"/>
  <c r="AA339" i="40"/>
  <c r="AB338" i="40"/>
  <c r="AA338" i="40"/>
  <c r="AB337" i="40"/>
  <c r="AA337" i="40"/>
  <c r="AB336" i="40"/>
  <c r="AA336" i="40"/>
  <c r="AB335" i="40"/>
  <c r="AA335" i="40"/>
  <c r="AB334" i="40"/>
  <c r="AA334" i="40"/>
  <c r="AB333" i="40"/>
  <c r="AA333" i="40"/>
  <c r="AB332" i="40"/>
  <c r="AA332" i="40"/>
  <c r="AB331" i="40"/>
  <c r="AA331" i="40"/>
  <c r="AB330" i="40"/>
  <c r="AA330" i="40"/>
  <c r="AB329" i="40"/>
  <c r="AA329" i="40"/>
  <c r="AB328" i="40"/>
  <c r="AA328" i="40"/>
  <c r="AB327" i="40"/>
  <c r="AA327" i="40"/>
  <c r="AB326" i="40"/>
  <c r="AA326" i="40"/>
  <c r="AB325" i="40"/>
  <c r="AA325" i="40"/>
  <c r="AB324" i="40"/>
  <c r="AA324" i="40"/>
  <c r="AB323" i="40"/>
  <c r="AA323" i="40"/>
  <c r="AB322" i="40"/>
  <c r="AA322" i="40"/>
  <c r="AB321" i="40"/>
  <c r="AA321" i="40"/>
  <c r="AB320" i="40"/>
  <c r="AA320" i="40"/>
  <c r="AB319" i="40"/>
  <c r="AA319" i="40"/>
  <c r="AB318" i="40"/>
  <c r="AA318" i="40"/>
  <c r="AB317" i="40"/>
  <c r="AA317" i="40"/>
  <c r="AB316" i="40"/>
  <c r="AA316" i="40"/>
  <c r="AB315" i="40"/>
  <c r="AA315" i="40"/>
  <c r="AB314" i="40"/>
  <c r="AA314" i="40"/>
  <c r="AB313" i="40"/>
  <c r="AA313" i="40"/>
  <c r="AB312" i="40"/>
  <c r="AA312" i="40"/>
  <c r="AB311" i="40"/>
  <c r="AA311" i="40"/>
  <c r="AB310" i="40"/>
  <c r="AA310" i="40"/>
  <c r="AB309" i="40"/>
  <c r="AA309" i="40"/>
  <c r="G309" i="40"/>
  <c r="AB308" i="40"/>
  <c r="AA308" i="40"/>
  <c r="G308" i="40"/>
  <c r="AB307" i="40"/>
  <c r="AA307" i="40"/>
  <c r="G307" i="40"/>
  <c r="AB306" i="40"/>
  <c r="AA306" i="40"/>
  <c r="G306" i="40"/>
  <c r="AB305" i="40"/>
  <c r="AA305" i="40"/>
  <c r="J305" i="40"/>
  <c r="G305" i="40"/>
  <c r="AB304" i="40"/>
  <c r="AA304" i="40"/>
  <c r="G304" i="40"/>
  <c r="AB303" i="40"/>
  <c r="AA303" i="40"/>
  <c r="K303" i="40"/>
  <c r="G303" i="40"/>
  <c r="AB302" i="40"/>
  <c r="AA302" i="40"/>
  <c r="K302" i="40"/>
  <c r="G302" i="40"/>
  <c r="AB301" i="40"/>
  <c r="AA301" i="40"/>
  <c r="K301" i="40"/>
  <c r="G301" i="40"/>
  <c r="AB300" i="40"/>
  <c r="AA300" i="40"/>
  <c r="G300" i="40"/>
  <c r="AB299" i="40"/>
  <c r="AA299" i="40"/>
  <c r="G299" i="40"/>
  <c r="AB298" i="40"/>
  <c r="AA298" i="40"/>
  <c r="G298" i="40"/>
  <c r="AB297" i="40"/>
  <c r="AA297" i="40"/>
  <c r="G297" i="40"/>
  <c r="AB296" i="40"/>
  <c r="AA296" i="40"/>
  <c r="G296" i="40"/>
  <c r="AB295" i="40"/>
  <c r="AA295" i="40"/>
  <c r="Y295" i="40"/>
  <c r="X295" i="40"/>
  <c r="G295" i="40"/>
  <c r="AB294" i="40"/>
  <c r="Y294" i="40"/>
  <c r="X294" i="40"/>
  <c r="S294" i="40"/>
  <c r="K294" i="40"/>
  <c r="J294" i="40"/>
  <c r="AA294" i="40" s="1"/>
  <c r="G294" i="40"/>
  <c r="AB293" i="40"/>
  <c r="AA293" i="40"/>
  <c r="G293" i="40"/>
  <c r="AB292" i="40"/>
  <c r="AA292" i="40"/>
  <c r="M292" i="40"/>
  <c r="G292" i="40"/>
  <c r="AA291" i="40"/>
  <c r="M291" i="40"/>
  <c r="AB291" i="40" s="1"/>
  <c r="G291" i="40"/>
  <c r="AB290" i="40"/>
  <c r="AA290" i="40"/>
  <c r="G290" i="40"/>
  <c r="AB289" i="40"/>
  <c r="AA289" i="40"/>
  <c r="G289" i="40"/>
  <c r="AB288" i="40"/>
  <c r="AA288" i="40"/>
  <c r="G288" i="40"/>
  <c r="AB287" i="40"/>
  <c r="AA287" i="40"/>
  <c r="G287" i="40"/>
  <c r="AB286" i="40"/>
  <c r="AA286" i="40"/>
  <c r="K286" i="40"/>
  <c r="G286" i="40"/>
  <c r="AB285" i="40"/>
  <c r="AA285" i="40"/>
  <c r="K285" i="40"/>
  <c r="G285" i="40"/>
  <c r="AB284" i="40"/>
  <c r="AA284" i="40"/>
  <c r="N284" i="40"/>
  <c r="G284" i="40"/>
  <c r="AB283" i="40"/>
  <c r="AA283" i="40"/>
  <c r="G283" i="40"/>
  <c r="AB282" i="40"/>
  <c r="AA282" i="40"/>
  <c r="S282" i="40"/>
  <c r="K282" i="40"/>
  <c r="J282" i="40"/>
  <c r="G282" i="40"/>
  <c r="AB281" i="40"/>
  <c r="AA281" i="40"/>
  <c r="K281" i="40"/>
  <c r="G281" i="40"/>
  <c r="AB280" i="40"/>
  <c r="AA280" i="40"/>
  <c r="G280" i="40"/>
  <c r="AB279" i="40"/>
  <c r="AA279" i="40"/>
  <c r="Y279" i="40"/>
  <c r="X279" i="40"/>
  <c r="S279" i="40"/>
  <c r="K279" i="40"/>
  <c r="J279" i="40"/>
  <c r="G279" i="40"/>
  <c r="AB278" i="40"/>
  <c r="AA278" i="40"/>
  <c r="Y278" i="40"/>
  <c r="X278" i="40"/>
  <c r="G278" i="40"/>
  <c r="AB277" i="40"/>
  <c r="AA277" i="40"/>
  <c r="Y277" i="40"/>
  <c r="X277" i="40"/>
  <c r="G277" i="40"/>
  <c r="Y276" i="40"/>
  <c r="AB276" i="40" s="1"/>
  <c r="X276" i="40"/>
  <c r="S276" i="40"/>
  <c r="K276" i="40"/>
  <c r="J276" i="40"/>
  <c r="AA276" i="40" s="1"/>
  <c r="G276" i="40"/>
  <c r="AB275" i="40"/>
  <c r="Y275" i="40"/>
  <c r="X275" i="40"/>
  <c r="AA275" i="40" s="1"/>
  <c r="G275" i="40"/>
  <c r="AA274" i="40"/>
  <c r="Y274" i="40"/>
  <c r="AB274" i="40" s="1"/>
  <c r="X274" i="40"/>
  <c r="G274" i="40"/>
  <c r="AB273" i="40"/>
  <c r="AA273" i="40"/>
  <c r="Y273" i="40"/>
  <c r="X273" i="40"/>
  <c r="G273" i="40"/>
  <c r="AB272" i="40"/>
  <c r="AA272" i="40"/>
  <c r="G272" i="40"/>
  <c r="AB271" i="40"/>
  <c r="AA271" i="40"/>
  <c r="G271" i="40"/>
  <c r="AB270" i="40"/>
  <c r="AA270" i="40"/>
  <c r="G270" i="40"/>
  <c r="AB269" i="40"/>
  <c r="AA269" i="40"/>
  <c r="G269" i="40"/>
  <c r="AB268" i="40"/>
  <c r="AA268" i="40"/>
  <c r="G268" i="40"/>
  <c r="AB267" i="40"/>
  <c r="AA267" i="40"/>
  <c r="G267" i="40"/>
  <c r="AB266" i="40"/>
  <c r="AA266" i="40"/>
  <c r="K266" i="40"/>
  <c r="G266" i="40"/>
  <c r="AB265" i="40"/>
  <c r="AA265" i="40"/>
  <c r="G265" i="40"/>
  <c r="AB264" i="40"/>
  <c r="AA264" i="40"/>
  <c r="G264" i="40"/>
  <c r="AB263" i="40"/>
  <c r="AA263" i="40"/>
  <c r="K263" i="40"/>
  <c r="G263" i="40"/>
  <c r="AB262" i="40"/>
  <c r="AA262" i="40"/>
  <c r="K262" i="40"/>
  <c r="G262" i="40"/>
  <c r="AB261" i="40"/>
  <c r="AA261" i="40"/>
  <c r="G261" i="40"/>
  <c r="AB260" i="40"/>
  <c r="AA260" i="40"/>
  <c r="G260" i="40"/>
  <c r="AB259" i="40"/>
  <c r="AA259" i="40"/>
  <c r="K259" i="40"/>
  <c r="G259" i="40"/>
  <c r="AB258" i="40"/>
  <c r="AA258" i="40"/>
  <c r="G258" i="40"/>
  <c r="AB257" i="40"/>
  <c r="AA257" i="40"/>
  <c r="K257" i="40"/>
  <c r="G257" i="40"/>
  <c r="AB256" i="40"/>
  <c r="AA256" i="40"/>
  <c r="G256" i="40"/>
  <c r="AB255" i="40"/>
  <c r="AA255" i="40"/>
  <c r="G255" i="40"/>
  <c r="AB254" i="40"/>
  <c r="AA254" i="40"/>
  <c r="G254" i="40"/>
  <c r="AB253" i="40"/>
  <c r="AA253" i="40"/>
  <c r="K253" i="40"/>
  <c r="G253" i="40"/>
  <c r="AB252" i="40"/>
  <c r="AA252" i="40"/>
  <c r="G252" i="40"/>
  <c r="AB251" i="40"/>
  <c r="AA251" i="40"/>
  <c r="K251" i="40"/>
  <c r="G251" i="40"/>
  <c r="AB250" i="40"/>
  <c r="AA250" i="40"/>
  <c r="G250" i="40"/>
  <c r="AB249" i="40"/>
  <c r="AA249" i="40"/>
  <c r="G249" i="40"/>
  <c r="AB248" i="40"/>
  <c r="AA248" i="40"/>
  <c r="K248" i="40"/>
  <c r="G248" i="40"/>
  <c r="AB247" i="40"/>
  <c r="AA247" i="40"/>
  <c r="K247" i="40"/>
  <c r="G247" i="40"/>
  <c r="AB246" i="40"/>
  <c r="AA246" i="40"/>
  <c r="K246" i="40"/>
  <c r="G246" i="40"/>
  <c r="AB245" i="40"/>
  <c r="AA245" i="40"/>
  <c r="K245" i="40"/>
  <c r="J245" i="40"/>
  <c r="G245" i="40"/>
  <c r="AB244" i="40"/>
  <c r="AA244" i="40"/>
  <c r="N244" i="40"/>
  <c r="K244" i="40"/>
  <c r="G244" i="40"/>
  <c r="AB243" i="40"/>
  <c r="AA243" i="40"/>
  <c r="K243" i="40"/>
  <c r="G243" i="40"/>
  <c r="AB242" i="40"/>
  <c r="AA242" i="40"/>
  <c r="AB241" i="40"/>
  <c r="AA241" i="40"/>
  <c r="G241" i="40"/>
  <c r="AB240" i="40"/>
  <c r="AA240" i="40"/>
  <c r="G240" i="40"/>
  <c r="AB239" i="40"/>
  <c r="AA239" i="40"/>
  <c r="K239" i="40"/>
  <c r="G239" i="40"/>
  <c r="AB238" i="40"/>
  <c r="AA238" i="40"/>
  <c r="G238" i="40"/>
  <c r="AB237" i="40"/>
  <c r="AA237" i="40"/>
  <c r="G237" i="40"/>
  <c r="AB236" i="40"/>
  <c r="AA236" i="40"/>
  <c r="AB235" i="40"/>
  <c r="AA235" i="40"/>
  <c r="AB234" i="40"/>
  <c r="AA234" i="40"/>
  <c r="G234" i="40"/>
  <c r="AB233" i="40"/>
  <c r="AA233" i="40"/>
  <c r="G233" i="40"/>
  <c r="AB232" i="40"/>
  <c r="AA232" i="40"/>
  <c r="G232" i="40"/>
  <c r="AB231" i="40"/>
  <c r="AA231" i="40"/>
  <c r="G231" i="40"/>
  <c r="AB230" i="40"/>
  <c r="AA230" i="40"/>
  <c r="G230" i="40"/>
  <c r="AB229" i="40"/>
  <c r="AA229" i="40"/>
  <c r="G229" i="40"/>
  <c r="AB228" i="40"/>
  <c r="AA228" i="40"/>
  <c r="G228" i="40"/>
  <c r="AB227" i="40"/>
  <c r="AA227" i="40"/>
  <c r="G227" i="40"/>
  <c r="AB226" i="40"/>
  <c r="AA226" i="40"/>
  <c r="G226" i="40"/>
  <c r="AB225" i="40"/>
  <c r="AA225" i="40"/>
  <c r="G225" i="40"/>
  <c r="AB224" i="40"/>
  <c r="AA224" i="40"/>
  <c r="G224" i="40"/>
  <c r="AB223" i="40"/>
  <c r="AA223" i="40"/>
  <c r="G223" i="40"/>
  <c r="AB222" i="40"/>
  <c r="AA222" i="40"/>
  <c r="G222" i="40"/>
  <c r="AB221" i="40"/>
  <c r="AA221" i="40"/>
  <c r="G221" i="40"/>
  <c r="AB220" i="40"/>
  <c r="AA220" i="40"/>
  <c r="G220" i="40"/>
  <c r="AB219" i="40"/>
  <c r="AA219" i="40"/>
  <c r="G219" i="40"/>
  <c r="AB218" i="40"/>
  <c r="AA218" i="40"/>
  <c r="G218" i="40"/>
  <c r="AB217" i="40"/>
  <c r="AA217" i="40"/>
  <c r="G217" i="40"/>
  <c r="AB216" i="40"/>
  <c r="AA216" i="40"/>
  <c r="G216" i="40"/>
  <c r="AB215" i="40"/>
  <c r="AA215" i="40"/>
  <c r="K215" i="40"/>
  <c r="G215" i="40"/>
  <c r="AB214" i="40"/>
  <c r="AA214" i="40"/>
  <c r="K214" i="40"/>
  <c r="G214" i="40"/>
  <c r="AB213" i="40"/>
  <c r="AA213" i="40"/>
  <c r="K213" i="40"/>
  <c r="G213" i="40"/>
  <c r="AB212" i="40"/>
  <c r="AA212" i="40"/>
  <c r="G212" i="40"/>
  <c r="AB211" i="40"/>
  <c r="AA211" i="40"/>
  <c r="K211" i="40"/>
  <c r="G211" i="40"/>
  <c r="AB210" i="40"/>
  <c r="AA210" i="40"/>
  <c r="G210" i="40"/>
  <c r="AB209" i="40"/>
  <c r="AA209" i="40"/>
  <c r="K209" i="40"/>
  <c r="G209" i="40"/>
  <c r="AA208" i="40"/>
  <c r="Y208" i="40"/>
  <c r="AB208" i="40" s="1"/>
  <c r="X208" i="40"/>
  <c r="K208" i="40"/>
  <c r="G208" i="40"/>
  <c r="Y207" i="40"/>
  <c r="AB207" i="40" s="1"/>
  <c r="X207" i="40"/>
  <c r="AA207" i="40" s="1"/>
  <c r="K207" i="40"/>
  <c r="G207" i="40"/>
  <c r="AA206" i="40"/>
  <c r="Y206" i="40"/>
  <c r="AB206" i="40" s="1"/>
  <c r="X206" i="40"/>
  <c r="G206" i="40"/>
  <c r="AB205" i="40"/>
  <c r="AA205" i="40"/>
  <c r="K205" i="40"/>
  <c r="G205" i="40"/>
  <c r="AB204" i="40"/>
  <c r="AA204" i="40"/>
  <c r="G204" i="40"/>
  <c r="AA203" i="40"/>
  <c r="Y203" i="40"/>
  <c r="AB203" i="40" s="1"/>
  <c r="X203" i="40"/>
  <c r="K203" i="40"/>
  <c r="G203" i="40"/>
  <c r="AB202" i="40"/>
  <c r="AA202" i="40"/>
  <c r="K202" i="40"/>
  <c r="G202" i="40"/>
  <c r="AB201" i="40"/>
  <c r="AA201" i="40"/>
  <c r="K201" i="40"/>
  <c r="G201" i="40"/>
  <c r="AB200" i="40"/>
  <c r="AA200" i="40"/>
  <c r="G200" i="40"/>
  <c r="AB199" i="40"/>
  <c r="AA199" i="40"/>
  <c r="K199" i="40"/>
  <c r="G199" i="40"/>
  <c r="AB198" i="40"/>
  <c r="AA198" i="40"/>
  <c r="K198" i="40"/>
  <c r="G198" i="40"/>
  <c r="AB197" i="40"/>
  <c r="AA197" i="40"/>
  <c r="G197" i="40"/>
  <c r="AB196" i="40"/>
  <c r="AA196" i="40"/>
  <c r="G196" i="40"/>
  <c r="AB195" i="40"/>
  <c r="AA195" i="40"/>
  <c r="G195" i="40"/>
  <c r="AB194" i="40"/>
  <c r="AA194" i="40"/>
  <c r="G194" i="40"/>
  <c r="AB193" i="40"/>
  <c r="AA193" i="40"/>
  <c r="G193" i="40"/>
  <c r="AB192" i="40"/>
  <c r="AA192" i="40"/>
  <c r="G192" i="40"/>
  <c r="AB191" i="40"/>
  <c r="AA191" i="40"/>
  <c r="G191" i="40"/>
  <c r="AB190" i="40"/>
  <c r="AA190" i="40"/>
  <c r="G190" i="40"/>
  <c r="AB189" i="40"/>
  <c r="AA189" i="40"/>
  <c r="G189" i="40"/>
  <c r="AB188" i="40"/>
  <c r="AA188" i="40"/>
  <c r="G188" i="40"/>
  <c r="AB187" i="40"/>
  <c r="AA187" i="40"/>
  <c r="G187" i="40"/>
  <c r="AB186" i="40"/>
  <c r="AA186" i="40"/>
  <c r="K186" i="40"/>
  <c r="G186" i="40"/>
  <c r="AB185" i="40"/>
  <c r="AA185" i="40"/>
  <c r="G185" i="40"/>
  <c r="AB184" i="40"/>
  <c r="AA184" i="40"/>
  <c r="G184" i="40"/>
  <c r="AB183" i="40"/>
  <c r="AA183" i="40"/>
  <c r="G183" i="40"/>
  <c r="AB182" i="40"/>
  <c r="AA182" i="40"/>
  <c r="G182" i="40"/>
  <c r="AB181" i="40"/>
  <c r="AA181" i="40"/>
  <c r="G181" i="40"/>
  <c r="AB180" i="40"/>
  <c r="AA180" i="40"/>
  <c r="G180" i="40"/>
  <c r="AB179" i="40"/>
  <c r="AA179" i="40"/>
  <c r="G179" i="40"/>
  <c r="AB178" i="40"/>
  <c r="AA178" i="40"/>
  <c r="K178" i="40"/>
  <c r="G178" i="40"/>
  <c r="AB177" i="40"/>
  <c r="AA177" i="40"/>
  <c r="G177" i="40"/>
  <c r="AB176" i="40"/>
  <c r="AA176" i="40"/>
  <c r="G176" i="40"/>
  <c r="AB175" i="40"/>
  <c r="AA175" i="40"/>
  <c r="K175" i="40"/>
  <c r="G175" i="40"/>
  <c r="AB174" i="40"/>
  <c r="AA174" i="40"/>
  <c r="G174" i="40"/>
  <c r="AB173" i="40"/>
  <c r="AA173" i="40"/>
  <c r="G173" i="40"/>
  <c r="AB172" i="40"/>
  <c r="AA172" i="40"/>
  <c r="G172" i="40"/>
  <c r="AB171" i="40"/>
  <c r="AA171" i="40"/>
  <c r="G171" i="40"/>
  <c r="AB170" i="40"/>
  <c r="AA170" i="40"/>
  <c r="G170" i="40"/>
  <c r="AB169" i="40"/>
  <c r="AA169" i="40"/>
  <c r="G169" i="40"/>
  <c r="Y168" i="40"/>
  <c r="AB168" i="40" s="1"/>
  <c r="X168" i="40"/>
  <c r="AA168" i="40" s="1"/>
  <c r="G168" i="40"/>
  <c r="AB167" i="40"/>
  <c r="AA167" i="40"/>
  <c r="G167" i="40"/>
  <c r="AB166" i="40"/>
  <c r="AA166" i="40"/>
  <c r="K166" i="40"/>
  <c r="G166" i="40"/>
  <c r="AA165" i="40"/>
  <c r="M165" i="40"/>
  <c r="AB165" i="40" s="1"/>
  <c r="K165" i="40"/>
  <c r="G165" i="40"/>
  <c r="AB164" i="40"/>
  <c r="AA164" i="40"/>
  <c r="G164" i="40"/>
  <c r="AB163" i="40"/>
  <c r="AA163" i="40"/>
  <c r="K163" i="40"/>
  <c r="G163" i="40"/>
  <c r="AB162" i="40"/>
  <c r="AA162" i="40"/>
  <c r="K162" i="40"/>
  <c r="G162" i="40"/>
  <c r="AB161" i="40"/>
  <c r="AA161" i="40"/>
  <c r="K161" i="40"/>
  <c r="G161" i="40"/>
  <c r="AB160" i="40"/>
  <c r="AA160" i="40"/>
  <c r="G160" i="40"/>
  <c r="AB159" i="40"/>
  <c r="AA159" i="40"/>
  <c r="G159" i="40"/>
  <c r="AB158" i="40"/>
  <c r="AA158" i="40"/>
  <c r="G158" i="40"/>
  <c r="AB157" i="40"/>
  <c r="AA157" i="40"/>
  <c r="G157" i="40"/>
  <c r="AB156" i="40"/>
  <c r="Y156" i="40"/>
  <c r="X156" i="40"/>
  <c r="AA156" i="40" s="1"/>
  <c r="G156" i="40"/>
  <c r="AB155" i="40"/>
  <c r="AA155" i="40"/>
  <c r="G155" i="40"/>
  <c r="AB154" i="40"/>
  <c r="AA154" i="40"/>
  <c r="G154" i="40"/>
  <c r="AB153" i="40"/>
  <c r="AA153" i="40"/>
  <c r="G153" i="40"/>
  <c r="AB152" i="40"/>
  <c r="AA152" i="40"/>
  <c r="G152" i="40"/>
  <c r="AB151" i="40"/>
  <c r="AA151" i="40"/>
  <c r="G151" i="40"/>
  <c r="AB150" i="40"/>
  <c r="AA150" i="40"/>
  <c r="G150" i="40"/>
  <c r="AB149" i="40"/>
  <c r="AA149" i="40"/>
  <c r="G149" i="40"/>
  <c r="AB148" i="40"/>
  <c r="AA148" i="40"/>
  <c r="G148" i="40"/>
  <c r="AA147" i="40"/>
  <c r="Y147" i="40"/>
  <c r="AB147" i="40" s="1"/>
  <c r="X147" i="40"/>
  <c r="G147" i="40"/>
  <c r="AB146" i="40"/>
  <c r="AA146" i="40"/>
  <c r="Y146" i="40"/>
  <c r="X146" i="40"/>
  <c r="G146" i="40"/>
  <c r="Y145" i="40"/>
  <c r="X145" i="40"/>
  <c r="AA145" i="40" s="1"/>
  <c r="M145" i="40"/>
  <c r="AB145" i="40" s="1"/>
  <c r="G145" i="40"/>
  <c r="AB144" i="40"/>
  <c r="AA144" i="40"/>
  <c r="G144" i="40"/>
  <c r="AB143" i="40"/>
  <c r="AA143" i="40"/>
  <c r="G143" i="40"/>
  <c r="AB142" i="40"/>
  <c r="AA142" i="40"/>
  <c r="G142" i="40"/>
  <c r="AB141" i="40"/>
  <c r="AA141" i="40"/>
  <c r="Y141" i="40"/>
  <c r="X141" i="40"/>
  <c r="AB140" i="40"/>
  <c r="AA140" i="40"/>
  <c r="AB139" i="40"/>
  <c r="AA139" i="40"/>
  <c r="AB138" i="40"/>
  <c r="AA138" i="40"/>
  <c r="AB137" i="40"/>
  <c r="AA137" i="40"/>
  <c r="G137" i="40"/>
  <c r="AB136" i="40"/>
  <c r="X136" i="40"/>
  <c r="AA136" i="40" s="1"/>
  <c r="G136" i="40"/>
  <c r="AB135" i="40"/>
  <c r="AA135" i="40"/>
  <c r="Y135" i="40"/>
  <c r="X135" i="40"/>
  <c r="G135" i="40"/>
  <c r="AB134" i="40"/>
  <c r="AA134" i="40"/>
  <c r="AB133" i="40"/>
  <c r="AA133" i="40"/>
  <c r="G133" i="40"/>
  <c r="AB132" i="40"/>
  <c r="AA132" i="40"/>
  <c r="G132" i="40"/>
  <c r="AB131" i="40"/>
  <c r="AA131" i="40"/>
  <c r="G131" i="40"/>
  <c r="AB130" i="40"/>
  <c r="AA130" i="40"/>
  <c r="G130" i="40"/>
  <c r="AB129" i="40"/>
  <c r="AA129" i="40"/>
  <c r="Y129" i="40"/>
  <c r="X129" i="40"/>
  <c r="N129" i="40"/>
  <c r="M129" i="40"/>
  <c r="G129" i="40"/>
  <c r="AB128" i="40"/>
  <c r="AA128" i="40"/>
  <c r="N128" i="40"/>
  <c r="K128" i="40"/>
  <c r="G128" i="40"/>
  <c r="AB127" i="40"/>
  <c r="AA127" i="40"/>
  <c r="N127" i="40"/>
  <c r="M127" i="40"/>
  <c r="G127" i="40"/>
  <c r="AB126" i="40"/>
  <c r="AA126" i="40"/>
  <c r="N126" i="40"/>
  <c r="M126" i="40"/>
  <c r="K126" i="40"/>
  <c r="G126" i="40"/>
  <c r="AB125" i="40"/>
  <c r="AA125" i="40"/>
  <c r="S125" i="40"/>
  <c r="J125" i="40"/>
  <c r="G125" i="40"/>
  <c r="AB124" i="40"/>
  <c r="AA124" i="40"/>
  <c r="G124" i="40"/>
  <c r="AA123" i="40"/>
  <c r="N123" i="40"/>
  <c r="M123" i="40"/>
  <c r="AB123" i="40" s="1"/>
  <c r="G123" i="40"/>
  <c r="AB122" i="40"/>
  <c r="AA122" i="40"/>
  <c r="N122" i="40"/>
  <c r="G122" i="40"/>
  <c r="AB121" i="40"/>
  <c r="AA121" i="40"/>
  <c r="N121" i="40"/>
  <c r="G121" i="40"/>
  <c r="S120" i="40"/>
  <c r="M120" i="40"/>
  <c r="AB120" i="40" s="1"/>
  <c r="J120" i="40"/>
  <c r="AA120" i="40" s="1"/>
  <c r="G120" i="40"/>
  <c r="Y119" i="40"/>
  <c r="AB119" i="40" s="1"/>
  <c r="X119" i="40"/>
  <c r="AA119" i="40" s="1"/>
  <c r="N119" i="40"/>
  <c r="M119" i="40"/>
  <c r="G119" i="40"/>
  <c r="AA118" i="40"/>
  <c r="Y118" i="40"/>
  <c r="N118" i="40"/>
  <c r="M118" i="40"/>
  <c r="AB118" i="40" s="1"/>
  <c r="G118" i="40"/>
  <c r="AA117" i="40"/>
  <c r="Y117" i="40"/>
  <c r="AB117" i="40" s="1"/>
  <c r="N117" i="40"/>
  <c r="M117" i="40"/>
  <c r="G117" i="40"/>
  <c r="Y116" i="40"/>
  <c r="X116" i="40"/>
  <c r="AA116" i="40" s="1"/>
  <c r="N116" i="40"/>
  <c r="M116" i="40"/>
  <c r="AB116" i="40" s="1"/>
  <c r="G116" i="40"/>
  <c r="AB115" i="40"/>
  <c r="AA115" i="40"/>
  <c r="AB114" i="40"/>
  <c r="AA114" i="40"/>
  <c r="N114" i="40"/>
  <c r="K114" i="40"/>
  <c r="G114" i="40"/>
  <c r="AB113" i="40"/>
  <c r="AA113" i="40"/>
  <c r="N113" i="40"/>
  <c r="G113" i="40"/>
  <c r="AB112" i="40"/>
  <c r="AA112" i="40"/>
  <c r="G112" i="40"/>
  <c r="AA111" i="40"/>
  <c r="N111" i="40"/>
  <c r="M111" i="40"/>
  <c r="AB111" i="40" s="1"/>
  <c r="G111" i="40"/>
  <c r="AA110" i="40"/>
  <c r="Y110" i="40"/>
  <c r="X110" i="40"/>
  <c r="S110" i="40"/>
  <c r="N110" i="40"/>
  <c r="M110" i="40"/>
  <c r="AB110" i="40" s="1"/>
  <c r="J110" i="40"/>
  <c r="G110" i="40"/>
  <c r="S109" i="40"/>
  <c r="N109" i="40"/>
  <c r="M109" i="40"/>
  <c r="AB109" i="40" s="1"/>
  <c r="J109" i="40"/>
  <c r="AA109" i="40" s="1"/>
  <c r="G109" i="40"/>
  <c r="AB108" i="40"/>
  <c r="AA108" i="40"/>
  <c r="N108" i="40"/>
  <c r="M108" i="40"/>
  <c r="G108" i="40"/>
  <c r="AB107" i="40"/>
  <c r="AA107" i="40"/>
  <c r="K107" i="40"/>
  <c r="G107" i="40"/>
  <c r="AB106" i="40"/>
  <c r="AA106" i="40"/>
  <c r="K106" i="40"/>
  <c r="G106" i="40"/>
  <c r="AB105" i="40"/>
  <c r="AA105" i="40"/>
  <c r="K105" i="40"/>
  <c r="G105" i="40"/>
  <c r="AB104" i="40"/>
  <c r="AA104" i="40"/>
  <c r="K104" i="40"/>
  <c r="G104" i="40"/>
  <c r="AB103" i="40"/>
  <c r="AA103" i="40"/>
  <c r="K103" i="40"/>
  <c r="G103" i="40"/>
  <c r="AB102" i="40"/>
  <c r="AA102" i="40"/>
  <c r="K102" i="40"/>
  <c r="G102" i="40"/>
  <c r="AB101" i="40"/>
  <c r="AA101" i="40"/>
  <c r="K101" i="40"/>
  <c r="G101" i="40"/>
  <c r="AB100" i="40"/>
  <c r="AA100" i="40"/>
  <c r="S100" i="40"/>
  <c r="K100" i="40"/>
  <c r="J100" i="40"/>
  <c r="G100" i="40"/>
  <c r="AB99" i="40"/>
  <c r="AA99" i="40"/>
  <c r="K99" i="40"/>
  <c r="G99" i="40"/>
  <c r="AB98" i="40"/>
  <c r="AA98" i="40"/>
  <c r="K98" i="40"/>
  <c r="G98" i="40"/>
  <c r="AA97" i="40"/>
  <c r="Y97" i="40"/>
  <c r="AB97" i="40" s="1"/>
  <c r="X97" i="40"/>
  <c r="K97" i="40"/>
  <c r="G97" i="40"/>
  <c r="AB96" i="40"/>
  <c r="AA96" i="40"/>
  <c r="K96" i="40"/>
  <c r="G96" i="40"/>
  <c r="AB95" i="40"/>
  <c r="AA95" i="40"/>
  <c r="K95" i="40"/>
  <c r="G95" i="40"/>
  <c r="AB94" i="40"/>
  <c r="AA94" i="40"/>
  <c r="K94" i="40"/>
  <c r="G94" i="40"/>
  <c r="AB93" i="40"/>
  <c r="AA93" i="40"/>
  <c r="K93" i="40"/>
  <c r="G93" i="40"/>
  <c r="AB92" i="40"/>
  <c r="AA92" i="40"/>
  <c r="K92" i="40"/>
  <c r="G92" i="40"/>
  <c r="AB91" i="40"/>
  <c r="AA91" i="40"/>
  <c r="K91" i="40"/>
  <c r="G91" i="40"/>
  <c r="AB90" i="40"/>
  <c r="AA90" i="40"/>
  <c r="K90" i="40"/>
  <c r="G90" i="40"/>
  <c r="AB89" i="40"/>
  <c r="AA89" i="40"/>
  <c r="K89" i="40"/>
  <c r="G89" i="40"/>
  <c r="AB88" i="40"/>
  <c r="AA88" i="40"/>
  <c r="K88" i="40"/>
  <c r="G88" i="40"/>
  <c r="AB87" i="40"/>
  <c r="AA87" i="40"/>
  <c r="K87" i="40"/>
  <c r="G87" i="40"/>
  <c r="AB86" i="40"/>
  <c r="AA86" i="40"/>
  <c r="K86" i="40"/>
  <c r="G86" i="40"/>
  <c r="AB85" i="40"/>
  <c r="AA85" i="40"/>
  <c r="K85" i="40"/>
  <c r="G85" i="40"/>
  <c r="AB84" i="40"/>
  <c r="AA84" i="40"/>
  <c r="K84" i="40"/>
  <c r="G84" i="40"/>
  <c r="AB83" i="40"/>
  <c r="AA83" i="40"/>
  <c r="K83" i="40"/>
  <c r="G83" i="40"/>
  <c r="AB82" i="40"/>
  <c r="AA82" i="40"/>
  <c r="K82" i="40"/>
  <c r="G82" i="40"/>
  <c r="AB81" i="40"/>
  <c r="AA81" i="40"/>
  <c r="K81" i="40"/>
  <c r="G81" i="40"/>
  <c r="AB80" i="40"/>
  <c r="AA80" i="40"/>
  <c r="K80" i="40"/>
  <c r="G80" i="40"/>
  <c r="AB79" i="40"/>
  <c r="AA79" i="40"/>
  <c r="K79" i="40"/>
  <c r="G79" i="40"/>
  <c r="AB78" i="40"/>
  <c r="AA78" i="40"/>
  <c r="K78" i="40"/>
  <c r="G78" i="40"/>
  <c r="AB77" i="40"/>
  <c r="AA77" i="40"/>
  <c r="K77" i="40"/>
  <c r="G77" i="40"/>
  <c r="AB76" i="40"/>
  <c r="AA76" i="40"/>
  <c r="K76" i="40"/>
  <c r="G76" i="40"/>
  <c r="AB75" i="40"/>
  <c r="AA75" i="40"/>
  <c r="K75" i="40"/>
  <c r="G75" i="40"/>
  <c r="AB74" i="40"/>
  <c r="AA74" i="40"/>
  <c r="K74" i="40"/>
  <c r="G74" i="40"/>
  <c r="AB73" i="40"/>
  <c r="AA73" i="40"/>
  <c r="K73" i="40"/>
  <c r="G73" i="40"/>
  <c r="AB72" i="40"/>
  <c r="AA72" i="40"/>
  <c r="K72" i="40"/>
  <c r="G72" i="40"/>
  <c r="AB71" i="40"/>
  <c r="AA71" i="40"/>
  <c r="K71" i="40"/>
  <c r="G71" i="40"/>
  <c r="AB70" i="40"/>
  <c r="AA70" i="40"/>
  <c r="K70" i="40"/>
  <c r="G70" i="40"/>
  <c r="AB69" i="40"/>
  <c r="AA69" i="40"/>
  <c r="K69" i="40"/>
  <c r="G69" i="40"/>
  <c r="AB68" i="40"/>
  <c r="AA68" i="40"/>
  <c r="K68" i="40"/>
  <c r="G68" i="40"/>
  <c r="AB67" i="40"/>
  <c r="AA67" i="40"/>
  <c r="K67" i="40"/>
  <c r="G67" i="40"/>
  <c r="AB66" i="40"/>
  <c r="AA66" i="40"/>
  <c r="K66" i="40"/>
  <c r="G66" i="40"/>
  <c r="AB65" i="40"/>
  <c r="AA65" i="40"/>
  <c r="K65" i="40"/>
  <c r="G65" i="40"/>
  <c r="AB64" i="40"/>
  <c r="AA64" i="40"/>
  <c r="K64" i="40"/>
  <c r="G64" i="40"/>
  <c r="AB63" i="40"/>
  <c r="AA63" i="40"/>
  <c r="K63" i="40"/>
  <c r="G63" i="40"/>
  <c r="AB62" i="40"/>
  <c r="AA62" i="40"/>
  <c r="K62" i="40"/>
  <c r="G62" i="40"/>
  <c r="AB61" i="40"/>
  <c r="AA61" i="40"/>
  <c r="K61" i="40"/>
  <c r="G61" i="40"/>
  <c r="AB60" i="40"/>
  <c r="AA60" i="40"/>
  <c r="K60" i="40"/>
  <c r="G60" i="40"/>
  <c r="AB59" i="40"/>
  <c r="AA59" i="40"/>
  <c r="K59" i="40"/>
  <c r="G59" i="40"/>
  <c r="AB58" i="40"/>
  <c r="AA58" i="40"/>
  <c r="K58" i="40"/>
  <c r="G58" i="40"/>
  <c r="AB57" i="40"/>
  <c r="AA57" i="40"/>
  <c r="K57" i="40"/>
  <c r="G57" i="40"/>
  <c r="AB56" i="40"/>
  <c r="AA56" i="40"/>
  <c r="K56" i="40"/>
  <c r="G56" i="40"/>
  <c r="AB55" i="40"/>
  <c r="AA55" i="40"/>
  <c r="K55" i="40"/>
  <c r="G55" i="40"/>
  <c r="AB54" i="40"/>
  <c r="AA54" i="40"/>
  <c r="AA53" i="40"/>
  <c r="Y53" i="40"/>
  <c r="M53" i="40"/>
  <c r="AB53" i="40" s="1"/>
  <c r="AB52" i="40"/>
  <c r="AA52" i="40"/>
  <c r="G52" i="40"/>
  <c r="AB51" i="40"/>
  <c r="Y51" i="40"/>
  <c r="X51" i="40"/>
  <c r="S51" i="40"/>
  <c r="M51" i="40"/>
  <c r="J51" i="40"/>
  <c r="AA51" i="40" s="1"/>
  <c r="G51" i="40"/>
  <c r="AB50" i="40"/>
  <c r="AA50" i="40"/>
  <c r="G50" i="40"/>
  <c r="AB49" i="40"/>
  <c r="AA49" i="40"/>
  <c r="K49" i="40"/>
  <c r="G49" i="40"/>
  <c r="AB48" i="40"/>
  <c r="AA48" i="40"/>
  <c r="G48" i="40"/>
  <c r="AB47" i="40"/>
  <c r="AA47" i="40"/>
  <c r="G47" i="40"/>
  <c r="AB46" i="40"/>
  <c r="AA46" i="40"/>
  <c r="G46" i="40"/>
  <c r="AB45" i="40"/>
  <c r="AA45" i="40"/>
  <c r="G45" i="40"/>
  <c r="AB44" i="40"/>
  <c r="AA44" i="40"/>
  <c r="G44" i="40"/>
  <c r="AB43" i="40"/>
  <c r="AA43" i="40"/>
  <c r="G43" i="40"/>
  <c r="AB42" i="40"/>
  <c r="AA42" i="40"/>
  <c r="S42" i="40"/>
  <c r="K42" i="40"/>
  <c r="J42" i="40"/>
  <c r="G42" i="40"/>
  <c r="AB41" i="40"/>
  <c r="AA41" i="40"/>
  <c r="G41" i="40"/>
  <c r="AB40" i="40"/>
  <c r="AA40" i="40"/>
  <c r="G40" i="40"/>
  <c r="AB39" i="40"/>
  <c r="AA39" i="40"/>
  <c r="G39" i="40"/>
  <c r="AB38" i="40"/>
  <c r="AA38" i="40"/>
  <c r="AB37" i="40"/>
  <c r="AA37" i="40"/>
  <c r="AB36" i="40"/>
  <c r="AA36" i="40"/>
  <c r="AB35" i="40"/>
  <c r="AA35" i="40"/>
  <c r="S35" i="40"/>
  <c r="J35" i="40"/>
  <c r="G35" i="40"/>
  <c r="AB34" i="40"/>
  <c r="AA34" i="40"/>
  <c r="K34" i="40"/>
  <c r="G34" i="40"/>
  <c r="AB33" i="40"/>
  <c r="AA33" i="40"/>
  <c r="G33" i="40"/>
  <c r="AB32" i="40"/>
  <c r="AA32" i="40"/>
  <c r="AB31" i="40"/>
  <c r="AA31" i="40"/>
  <c r="AB30" i="40"/>
  <c r="AA30" i="40"/>
  <c r="AB29" i="40"/>
  <c r="Y29" i="40"/>
  <c r="X29" i="40"/>
  <c r="AA29" i="40" s="1"/>
  <c r="K29" i="40"/>
  <c r="G29" i="40"/>
  <c r="AB28" i="40"/>
  <c r="AA28" i="40"/>
  <c r="K28" i="40"/>
  <c r="G28" i="40"/>
  <c r="AB27" i="40"/>
  <c r="AA27" i="40"/>
  <c r="Y27" i="40"/>
  <c r="X27" i="40"/>
  <c r="K27" i="40"/>
  <c r="G27" i="40"/>
  <c r="AB26" i="40"/>
  <c r="AA26" i="40"/>
  <c r="AB25" i="40"/>
  <c r="AA25" i="40"/>
  <c r="AB24" i="40"/>
  <c r="AA24" i="40"/>
  <c r="AB23" i="40"/>
  <c r="AA23" i="40"/>
  <c r="X23" i="40"/>
  <c r="G23" i="40"/>
  <c r="AA22" i="40"/>
  <c r="M22" i="40"/>
  <c r="AB22" i="40" s="1"/>
  <c r="K22" i="40"/>
  <c r="G22" i="40"/>
  <c r="AB21" i="40"/>
  <c r="AA21" i="40"/>
  <c r="M21" i="40"/>
  <c r="K21" i="40"/>
  <c r="G21" i="40"/>
  <c r="AB20" i="40"/>
  <c r="AA20" i="40"/>
  <c r="AB19" i="40"/>
  <c r="AA19" i="40"/>
  <c r="AB18" i="40"/>
  <c r="AA18" i="40"/>
  <c r="AB17" i="40"/>
  <c r="AA17" i="40"/>
  <c r="G17" i="40"/>
  <c r="AA16" i="40"/>
  <c r="S16" i="40"/>
  <c r="M16" i="40"/>
  <c r="AB16" i="40" s="1"/>
  <c r="J16" i="40"/>
  <c r="G16" i="40"/>
  <c r="AB15" i="40"/>
  <c r="AA15" i="40"/>
  <c r="K15" i="40"/>
  <c r="G15" i="40"/>
  <c r="AB14" i="40"/>
  <c r="AA14" i="40"/>
  <c r="S14" i="40"/>
  <c r="K14" i="40"/>
  <c r="J14" i="40"/>
  <c r="G14" i="40"/>
  <c r="AB13" i="40"/>
  <c r="AA13" i="40"/>
  <c r="K13" i="40"/>
  <c r="G13" i="40"/>
  <c r="AB12" i="40"/>
  <c r="AA12" i="40"/>
  <c r="K12" i="40"/>
  <c r="G12" i="40"/>
  <c r="AB394" i="37"/>
  <c r="AA394" i="37"/>
  <c r="AB393" i="37"/>
  <c r="AA393" i="37"/>
  <c r="AB392" i="37"/>
  <c r="AA392" i="37"/>
  <c r="AB391" i="37"/>
  <c r="AA391" i="37"/>
  <c r="AB390" i="37"/>
  <c r="AA390" i="37"/>
  <c r="AB389" i="37"/>
  <c r="AA389" i="37"/>
  <c r="AB388" i="37"/>
  <c r="AA388" i="37"/>
  <c r="AB387" i="37"/>
  <c r="AA387" i="37"/>
  <c r="AB386" i="37"/>
  <c r="AA386" i="37"/>
  <c r="AB385" i="37"/>
  <c r="AA385" i="37"/>
  <c r="G385" i="37"/>
  <c r="AB384" i="37"/>
  <c r="AA384" i="37"/>
  <c r="G384" i="37"/>
  <c r="AB383" i="37"/>
  <c r="AA383" i="37"/>
  <c r="K383" i="37"/>
  <c r="G383" i="37"/>
  <c r="Y382" i="37"/>
  <c r="AB382" i="37" s="1"/>
  <c r="X382" i="37"/>
  <c r="AA382" i="37" s="1"/>
  <c r="K382" i="37"/>
  <c r="G382" i="37"/>
  <c r="AB381" i="37"/>
  <c r="AA381" i="37"/>
  <c r="K381" i="37"/>
  <c r="G381" i="37"/>
  <c r="AB380" i="37"/>
  <c r="AA380" i="37"/>
  <c r="G380" i="37"/>
  <c r="AB379" i="37"/>
  <c r="AA379" i="37"/>
  <c r="G379" i="37"/>
  <c r="AB378" i="37"/>
  <c r="AA378" i="37"/>
  <c r="G378" i="37"/>
  <c r="AB377" i="37"/>
  <c r="AA377" i="37"/>
  <c r="G377" i="37"/>
  <c r="AB376" i="37"/>
  <c r="AA376" i="37"/>
  <c r="K376" i="37"/>
  <c r="J376" i="37"/>
  <c r="G376" i="37"/>
  <c r="AB375" i="37"/>
  <c r="AA375" i="37"/>
  <c r="K375" i="37"/>
  <c r="G375" i="37"/>
  <c r="AB374" i="37"/>
  <c r="AA374" i="37"/>
  <c r="K374" i="37"/>
  <c r="G374" i="37"/>
  <c r="AB373" i="37"/>
  <c r="AA373" i="37"/>
  <c r="G373" i="37"/>
  <c r="AB372" i="37"/>
  <c r="AA372" i="37"/>
  <c r="G372" i="37"/>
  <c r="AB371" i="37"/>
  <c r="AA371" i="37"/>
  <c r="G371" i="37"/>
  <c r="AB370" i="37"/>
  <c r="AA370" i="37"/>
  <c r="G370" i="37"/>
  <c r="AB369" i="37"/>
  <c r="AA369" i="37"/>
  <c r="K369" i="37"/>
  <c r="G369" i="37"/>
  <c r="AB368" i="37"/>
  <c r="AA368" i="37"/>
  <c r="K368" i="37"/>
  <c r="G368" i="37"/>
  <c r="AB367" i="37"/>
  <c r="AA367" i="37"/>
  <c r="K367" i="37"/>
  <c r="G367" i="37"/>
  <c r="AB366" i="37"/>
  <c r="AA366" i="37"/>
  <c r="G366" i="37"/>
  <c r="AB365" i="37"/>
  <c r="AA365" i="37"/>
  <c r="G365" i="37"/>
  <c r="AB364" i="37"/>
  <c r="AA364" i="37"/>
  <c r="K364" i="37"/>
  <c r="G364" i="37"/>
  <c r="AB363" i="37"/>
  <c r="AA363" i="37"/>
  <c r="Y363" i="37"/>
  <c r="X363" i="37"/>
  <c r="G363" i="37"/>
  <c r="AB362" i="37"/>
  <c r="AA362" i="37"/>
  <c r="G362" i="37"/>
  <c r="AA361" i="37"/>
  <c r="Y361" i="37"/>
  <c r="AB361" i="37" s="1"/>
  <c r="X361" i="37"/>
  <c r="G361" i="37"/>
  <c r="AB360" i="37"/>
  <c r="AA360" i="37"/>
  <c r="G360" i="37"/>
  <c r="AA359" i="37"/>
  <c r="M359" i="37"/>
  <c r="AB359" i="37" s="1"/>
  <c r="G359" i="37"/>
  <c r="AB358" i="37"/>
  <c r="J358" i="37"/>
  <c r="AA358" i="37" s="1"/>
  <c r="G358" i="37"/>
  <c r="AB357" i="37"/>
  <c r="AA357" i="37"/>
  <c r="G357" i="37"/>
  <c r="AB356" i="37"/>
  <c r="AA356" i="37"/>
  <c r="G356" i="37"/>
  <c r="AB355" i="37"/>
  <c r="AA355" i="37"/>
  <c r="G355" i="37"/>
  <c r="AB354" i="37"/>
  <c r="AA354" i="37"/>
  <c r="Y354" i="37"/>
  <c r="X354" i="37"/>
  <c r="J354" i="37"/>
  <c r="G354" i="37"/>
  <c r="AB353" i="37"/>
  <c r="AA353" i="37"/>
  <c r="G353" i="37"/>
  <c r="AB352" i="37"/>
  <c r="AA352" i="37"/>
  <c r="G352" i="37"/>
  <c r="AB351" i="37"/>
  <c r="AA351" i="37"/>
  <c r="G351" i="37"/>
  <c r="AB350" i="37"/>
  <c r="AA350" i="37"/>
  <c r="G350" i="37"/>
  <c r="AB349" i="37"/>
  <c r="AA349" i="37"/>
  <c r="G349" i="37"/>
  <c r="AB348" i="37"/>
  <c r="AA348" i="37"/>
  <c r="G348" i="37"/>
  <c r="AB347" i="37"/>
  <c r="AA347" i="37"/>
  <c r="G347" i="37"/>
  <c r="AB346" i="37"/>
  <c r="AA346" i="37"/>
  <c r="G346" i="37"/>
  <c r="AB345" i="37"/>
  <c r="AA345" i="37"/>
  <c r="G345" i="37"/>
  <c r="AB344" i="37"/>
  <c r="AA344" i="37"/>
  <c r="G344" i="37"/>
  <c r="AB343" i="37"/>
  <c r="AA343" i="37"/>
  <c r="G343" i="37"/>
  <c r="AB342" i="37"/>
  <c r="AA342" i="37"/>
  <c r="G342" i="37"/>
  <c r="AB341" i="37"/>
  <c r="AA341" i="37"/>
  <c r="G341" i="37"/>
  <c r="AB340" i="37"/>
  <c r="AA340" i="37"/>
  <c r="G340" i="37"/>
  <c r="AB339" i="37"/>
  <c r="AA339" i="37"/>
  <c r="Y339" i="37"/>
  <c r="X339" i="37"/>
  <c r="G339" i="37"/>
  <c r="AB338" i="37"/>
  <c r="AA338" i="37"/>
  <c r="G338" i="37"/>
  <c r="AB337" i="37"/>
  <c r="AA337" i="37"/>
  <c r="G337" i="37"/>
  <c r="AB336" i="37"/>
  <c r="AA336" i="37"/>
  <c r="G336" i="37"/>
  <c r="AB335" i="37"/>
  <c r="AA335" i="37"/>
  <c r="G335" i="37"/>
  <c r="AB334" i="37"/>
  <c r="Y334" i="37"/>
  <c r="X334" i="37"/>
  <c r="AA334" i="37" s="1"/>
  <c r="K334" i="37"/>
  <c r="G334" i="37"/>
  <c r="AB333" i="37"/>
  <c r="AA333" i="37"/>
  <c r="G333" i="37"/>
  <c r="AA332" i="37"/>
  <c r="Y332" i="37"/>
  <c r="AB332" i="37" s="1"/>
  <c r="X332" i="37"/>
  <c r="K332" i="37"/>
  <c r="G332" i="37"/>
  <c r="AB331" i="37"/>
  <c r="AA331" i="37"/>
  <c r="G331" i="37"/>
  <c r="AA330" i="37"/>
  <c r="Y330" i="37"/>
  <c r="X330" i="37"/>
  <c r="M330" i="37"/>
  <c r="AB330" i="37" s="1"/>
  <c r="K330" i="37"/>
  <c r="J330" i="37"/>
  <c r="G330" i="37"/>
  <c r="AA329" i="37"/>
  <c r="Y329" i="37"/>
  <c r="AB329" i="37" s="1"/>
  <c r="X329" i="37"/>
  <c r="K329" i="37"/>
  <c r="G329" i="37"/>
  <c r="AB328" i="37"/>
  <c r="M328" i="37"/>
  <c r="K328" i="37"/>
  <c r="J328" i="37"/>
  <c r="AA328" i="37" s="1"/>
  <c r="G328" i="37"/>
  <c r="AB327" i="37"/>
  <c r="AA327" i="37"/>
  <c r="K327" i="37"/>
  <c r="G327" i="37"/>
  <c r="AB326" i="37"/>
  <c r="J326" i="37"/>
  <c r="AA326" i="37" s="1"/>
  <c r="G326" i="37"/>
  <c r="AB325" i="37"/>
  <c r="AA325" i="37"/>
  <c r="Y325" i="37"/>
  <c r="X325" i="37"/>
  <c r="K325" i="37"/>
  <c r="G325" i="37"/>
  <c r="AB324" i="37"/>
  <c r="AA324" i="37"/>
  <c r="K324" i="37"/>
  <c r="G324" i="37"/>
  <c r="AB323" i="37"/>
  <c r="AA323" i="37"/>
  <c r="G323" i="37"/>
  <c r="AB322" i="37"/>
  <c r="AA322" i="37"/>
  <c r="Y322" i="37"/>
  <c r="X322" i="37"/>
  <c r="M322" i="37"/>
  <c r="K322" i="37"/>
  <c r="G322" i="37"/>
  <c r="AB321" i="37"/>
  <c r="AA321" i="37"/>
  <c r="G321" i="37"/>
  <c r="AB320" i="37"/>
  <c r="AA320" i="37"/>
  <c r="G320" i="37"/>
  <c r="AB319" i="37"/>
  <c r="AA319" i="37"/>
  <c r="G319" i="37"/>
  <c r="AB318" i="37"/>
  <c r="AA318" i="37"/>
  <c r="G318" i="37"/>
  <c r="AB317" i="37"/>
  <c r="AA317" i="37"/>
  <c r="G317" i="37"/>
  <c r="AB316" i="37"/>
  <c r="AA316" i="37"/>
  <c r="G316" i="37"/>
  <c r="AB315" i="37"/>
  <c r="AA315" i="37"/>
  <c r="G315" i="37"/>
  <c r="AB314" i="37"/>
  <c r="Y314" i="37"/>
  <c r="X314" i="37"/>
  <c r="AA314" i="37" s="1"/>
  <c r="G314" i="37"/>
  <c r="AB313" i="37"/>
  <c r="AA313" i="37"/>
  <c r="K313" i="37"/>
  <c r="G313" i="37"/>
  <c r="AB312" i="37"/>
  <c r="Y312" i="37"/>
  <c r="X312" i="37"/>
  <c r="AA312" i="37" s="1"/>
  <c r="G312" i="37"/>
  <c r="AB311" i="37"/>
  <c r="AA311" i="37"/>
  <c r="G311" i="37"/>
  <c r="AB310" i="37"/>
  <c r="AA310" i="37"/>
  <c r="G310" i="37"/>
  <c r="AB309" i="37"/>
  <c r="AA309" i="37"/>
  <c r="G309" i="37"/>
  <c r="AB308" i="37"/>
  <c r="AA308" i="37"/>
  <c r="G308" i="37"/>
  <c r="AB307" i="37"/>
  <c r="AA307" i="37"/>
  <c r="G307" i="37"/>
  <c r="AB306" i="37"/>
  <c r="AA306" i="37"/>
  <c r="G306" i="37"/>
  <c r="AB305" i="37"/>
  <c r="AA305" i="37"/>
  <c r="G305" i="37"/>
  <c r="AB304" i="37"/>
  <c r="AA304" i="37"/>
  <c r="G304" i="37"/>
  <c r="AB303" i="37"/>
  <c r="AA303" i="37"/>
  <c r="G303" i="37"/>
  <c r="AB302" i="37"/>
  <c r="AA302" i="37"/>
  <c r="G302" i="37"/>
  <c r="AB301" i="37"/>
  <c r="AA301" i="37"/>
  <c r="G301" i="37"/>
  <c r="AB300" i="37"/>
  <c r="AA300" i="37"/>
  <c r="G300" i="37"/>
  <c r="AB299" i="37"/>
  <c r="AA299" i="37"/>
  <c r="G299" i="37"/>
  <c r="AB298" i="37"/>
  <c r="AA298" i="37"/>
  <c r="G298" i="37"/>
  <c r="AB297" i="37"/>
  <c r="AA297" i="37"/>
  <c r="G297" i="37"/>
  <c r="AA296" i="37"/>
  <c r="Y296" i="37"/>
  <c r="AB296" i="37" s="1"/>
  <c r="X296" i="37"/>
  <c r="G296" i="37"/>
  <c r="AB295" i="37"/>
  <c r="AA295" i="37"/>
  <c r="G295" i="37"/>
  <c r="AB294" i="37"/>
  <c r="AA294" i="37"/>
  <c r="X294" i="37"/>
  <c r="K294" i="37"/>
  <c r="J294" i="37"/>
  <c r="AB293" i="37"/>
  <c r="AA293" i="37"/>
  <c r="X293" i="37"/>
  <c r="G293" i="37"/>
  <c r="AB292" i="37"/>
  <c r="AA292" i="37"/>
  <c r="G292" i="37"/>
  <c r="AB291" i="37"/>
  <c r="AA291" i="37"/>
  <c r="G291" i="37"/>
  <c r="AB290" i="37"/>
  <c r="AA290" i="37"/>
  <c r="G290" i="37"/>
  <c r="AB289" i="37"/>
  <c r="AA289" i="37"/>
  <c r="G289" i="37"/>
  <c r="AB288" i="37"/>
  <c r="AA288" i="37"/>
  <c r="G288" i="37"/>
  <c r="AB287" i="37"/>
  <c r="AA287" i="37"/>
  <c r="G287" i="37"/>
  <c r="AB286" i="37"/>
  <c r="AA286" i="37"/>
  <c r="G286" i="37"/>
  <c r="AA285" i="37"/>
  <c r="M285" i="37"/>
  <c r="AB285" i="37" s="1"/>
  <c r="G285" i="37"/>
  <c r="AB284" i="37"/>
  <c r="AA284" i="37"/>
  <c r="G284" i="37"/>
  <c r="AB283" i="37"/>
  <c r="AA283" i="37"/>
  <c r="G283" i="37"/>
  <c r="AB282" i="37"/>
  <c r="AA282" i="37"/>
  <c r="Y282" i="37"/>
  <c r="X282" i="37"/>
  <c r="G282" i="37"/>
  <c r="AB281" i="37"/>
  <c r="AA281" i="37"/>
  <c r="G281" i="37"/>
  <c r="AB280" i="37"/>
  <c r="AA280" i="37"/>
  <c r="G280" i="37"/>
  <c r="AB279" i="37"/>
  <c r="AA279" i="37"/>
  <c r="G279" i="37"/>
  <c r="AB278" i="37"/>
  <c r="AA278" i="37"/>
  <c r="G278" i="37"/>
  <c r="AB277" i="37"/>
  <c r="AA277" i="37"/>
  <c r="Y277" i="37"/>
  <c r="X277" i="37"/>
  <c r="K277" i="37"/>
  <c r="G277" i="37"/>
  <c r="AB276" i="37"/>
  <c r="AA276" i="37"/>
  <c r="K276" i="37"/>
  <c r="G276" i="37"/>
  <c r="Y275" i="37"/>
  <c r="AB275" i="37" s="1"/>
  <c r="X275" i="37"/>
  <c r="AA275" i="37" s="1"/>
  <c r="G275" i="37"/>
  <c r="AB274" i="37"/>
  <c r="AA274" i="37"/>
  <c r="Y274" i="37"/>
  <c r="X274" i="37"/>
  <c r="K274" i="37"/>
  <c r="AB273" i="37"/>
  <c r="Y273" i="37"/>
  <c r="X273" i="37"/>
  <c r="AA273" i="37" s="1"/>
  <c r="K273" i="37"/>
  <c r="AB272" i="37"/>
  <c r="Y272" i="37"/>
  <c r="X272" i="37"/>
  <c r="AA272" i="37" s="1"/>
  <c r="AB271" i="37"/>
  <c r="AA271" i="37"/>
  <c r="G271" i="37"/>
  <c r="Y270" i="37"/>
  <c r="X270" i="37"/>
  <c r="AA270" i="37" s="1"/>
  <c r="S270" i="37"/>
  <c r="M270" i="37"/>
  <c r="AB270" i="37" s="1"/>
  <c r="J270" i="37"/>
  <c r="G270" i="37"/>
  <c r="AB269" i="37"/>
  <c r="AA269" i="37"/>
  <c r="Y269" i="37"/>
  <c r="X269" i="37"/>
  <c r="S269" i="37"/>
  <c r="J269" i="37"/>
  <c r="G269" i="37"/>
  <c r="AA268" i="37"/>
  <c r="Y268" i="37"/>
  <c r="AB268" i="37" s="1"/>
  <c r="X268" i="37"/>
  <c r="G268" i="37"/>
  <c r="AB267" i="37"/>
  <c r="AA267" i="37"/>
  <c r="Y267" i="37"/>
  <c r="X267" i="37"/>
  <c r="G267" i="37"/>
  <c r="AB266" i="37"/>
  <c r="AA266" i="37"/>
  <c r="G266" i="37"/>
  <c r="AB265" i="37"/>
  <c r="AA265" i="37"/>
  <c r="G265" i="37"/>
  <c r="AB264" i="37"/>
  <c r="AA264" i="37"/>
  <c r="Y264" i="37"/>
  <c r="X264" i="37"/>
  <c r="G264" i="37"/>
  <c r="Y263" i="37"/>
  <c r="X263" i="37"/>
  <c r="AA263" i="37" s="1"/>
  <c r="M263" i="37"/>
  <c r="AB263" i="37" s="1"/>
  <c r="K263" i="37"/>
  <c r="G263" i="37"/>
  <c r="AB262" i="37"/>
  <c r="AA262" i="37"/>
  <c r="Y262" i="37"/>
  <c r="X262" i="37"/>
  <c r="G262" i="37"/>
  <c r="AB261" i="37"/>
  <c r="AA261" i="37"/>
  <c r="G261" i="37"/>
  <c r="AB260" i="37"/>
  <c r="AA260" i="37"/>
  <c r="G260" i="37"/>
  <c r="AA259" i="37"/>
  <c r="Y259" i="37"/>
  <c r="X259" i="37"/>
  <c r="M259" i="37"/>
  <c r="AB259" i="37" s="1"/>
  <c r="G259" i="37"/>
  <c r="AB258" i="37"/>
  <c r="AA258" i="37"/>
  <c r="G258" i="37"/>
  <c r="AB257" i="37"/>
  <c r="AA257" i="37"/>
  <c r="K257" i="37"/>
  <c r="G257" i="37"/>
  <c r="AB256" i="37"/>
  <c r="AA256" i="37"/>
  <c r="K256" i="37"/>
  <c r="G256" i="37"/>
  <c r="AB255" i="37"/>
  <c r="AA255" i="37"/>
  <c r="K255" i="37"/>
  <c r="G255" i="37"/>
  <c r="AB254" i="37"/>
  <c r="AA254" i="37"/>
  <c r="K254" i="37"/>
  <c r="G254" i="37"/>
  <c r="AB253" i="37"/>
  <c r="AA253" i="37"/>
  <c r="Y253" i="37"/>
  <c r="X253" i="37"/>
  <c r="K253" i="37"/>
  <c r="G253" i="37"/>
  <c r="Y252" i="37"/>
  <c r="AB252" i="37" s="1"/>
  <c r="X252" i="37"/>
  <c r="AA252" i="37" s="1"/>
  <c r="K252" i="37"/>
  <c r="G252" i="37"/>
  <c r="AB251" i="37"/>
  <c r="AA251" i="37"/>
  <c r="Y251" i="37"/>
  <c r="X251" i="37"/>
  <c r="K251" i="37"/>
  <c r="G251" i="37"/>
  <c r="Y250" i="37"/>
  <c r="AB250" i="37" s="1"/>
  <c r="X250" i="37"/>
  <c r="AA250" i="37" s="1"/>
  <c r="K250" i="37"/>
  <c r="G250" i="37"/>
  <c r="AB249" i="37"/>
  <c r="AA249" i="37"/>
  <c r="K249" i="37"/>
  <c r="G249" i="37"/>
  <c r="AB248" i="37"/>
  <c r="AA248" i="37"/>
  <c r="K248" i="37"/>
  <c r="G248" i="37"/>
  <c r="AB247" i="37"/>
  <c r="AA247" i="37"/>
  <c r="K247" i="37"/>
  <c r="G247" i="37"/>
  <c r="AB246" i="37"/>
  <c r="AA246" i="37"/>
  <c r="K246" i="37"/>
  <c r="G246" i="37"/>
  <c r="AB245" i="37"/>
  <c r="AA245" i="37"/>
  <c r="G245" i="37"/>
  <c r="AB244" i="37"/>
  <c r="AA244" i="37"/>
  <c r="G244" i="37"/>
  <c r="AB243" i="37"/>
  <c r="AA243" i="37"/>
  <c r="G243" i="37"/>
  <c r="AB242" i="37"/>
  <c r="AA242" i="37"/>
  <c r="G242" i="37"/>
  <c r="AB241" i="37"/>
  <c r="AA241" i="37"/>
  <c r="G241" i="37"/>
  <c r="AB240" i="37"/>
  <c r="AA240" i="37"/>
  <c r="G240" i="37"/>
  <c r="AB239" i="37"/>
  <c r="AA239" i="37"/>
  <c r="G239" i="37"/>
  <c r="AB238" i="37"/>
  <c r="AA238" i="37"/>
  <c r="G238" i="37"/>
  <c r="AB237" i="37"/>
  <c r="AA237" i="37"/>
  <c r="K237" i="37"/>
  <c r="G237" i="37"/>
  <c r="AB236" i="37"/>
  <c r="J236" i="37"/>
  <c r="AA236" i="37" s="1"/>
  <c r="G236" i="37"/>
  <c r="AB235" i="37"/>
  <c r="AA235" i="37"/>
  <c r="G235" i="37"/>
  <c r="AB234" i="37"/>
  <c r="AA234" i="37"/>
  <c r="G234" i="37"/>
  <c r="AB233" i="37"/>
  <c r="AA233" i="37"/>
  <c r="G233" i="37"/>
  <c r="AB232" i="37"/>
  <c r="AA232" i="37"/>
  <c r="G232" i="37"/>
  <c r="AB231" i="37"/>
  <c r="AA231" i="37"/>
  <c r="G231" i="37"/>
  <c r="AB230" i="37"/>
  <c r="AA230" i="37"/>
  <c r="G230" i="37"/>
  <c r="AB229" i="37"/>
  <c r="AA229" i="37"/>
  <c r="G229" i="37"/>
  <c r="AB228" i="37"/>
  <c r="AA228" i="37"/>
  <c r="G228" i="37"/>
  <c r="AB227" i="37"/>
  <c r="AA227" i="37"/>
  <c r="G227" i="37"/>
  <c r="AB226" i="37"/>
  <c r="AA226" i="37"/>
  <c r="G226" i="37"/>
  <c r="AB225" i="37"/>
  <c r="AA225" i="37"/>
  <c r="G225" i="37"/>
  <c r="AB224" i="37"/>
  <c r="AA224" i="37"/>
  <c r="G224" i="37"/>
  <c r="AB223" i="37"/>
  <c r="AA223" i="37"/>
  <c r="G223" i="37"/>
  <c r="AB222" i="37"/>
  <c r="AA222" i="37"/>
  <c r="M222" i="37"/>
  <c r="G222" i="37"/>
  <c r="AB221" i="37"/>
  <c r="AA221" i="37"/>
  <c r="G221" i="37"/>
  <c r="AB220" i="37"/>
  <c r="AA220" i="37"/>
  <c r="G220" i="37"/>
  <c r="AB219" i="37"/>
  <c r="AA219" i="37"/>
  <c r="G219" i="37"/>
  <c r="AB218" i="37"/>
  <c r="AA218" i="37"/>
  <c r="G218" i="37"/>
  <c r="AB217" i="37"/>
  <c r="AA217" i="37"/>
  <c r="G217" i="37"/>
  <c r="AB216" i="37"/>
  <c r="AA216" i="37"/>
  <c r="AB215" i="37"/>
  <c r="AA215" i="37"/>
  <c r="AB214" i="37"/>
  <c r="AA214" i="37"/>
  <c r="AB213" i="37"/>
  <c r="AA213" i="37"/>
  <c r="AB212" i="37"/>
  <c r="AA212" i="37"/>
  <c r="K212" i="37"/>
  <c r="G212" i="37"/>
  <c r="AB211" i="37"/>
  <c r="AA211" i="37"/>
  <c r="K211" i="37"/>
  <c r="G211" i="37"/>
  <c r="AB210" i="37"/>
  <c r="AA210" i="37"/>
  <c r="K210" i="37"/>
  <c r="G210" i="37"/>
  <c r="AB209" i="37"/>
  <c r="AA209" i="37"/>
  <c r="K209" i="37"/>
  <c r="G209" i="37"/>
  <c r="AB208" i="37"/>
  <c r="Y208" i="37"/>
  <c r="X208" i="37"/>
  <c r="K208" i="37"/>
  <c r="J208" i="37"/>
  <c r="AA208" i="37" s="1"/>
  <c r="G208" i="37"/>
  <c r="AB207" i="37"/>
  <c r="AA207" i="37"/>
  <c r="K207" i="37"/>
  <c r="G207" i="37"/>
  <c r="AB206" i="37"/>
  <c r="AA206" i="37"/>
  <c r="K206" i="37"/>
  <c r="G206" i="37"/>
  <c r="AB205" i="37"/>
  <c r="AA205" i="37"/>
  <c r="G205" i="37"/>
  <c r="AB204" i="37"/>
  <c r="AA204" i="37"/>
  <c r="K204" i="37"/>
  <c r="G204" i="37"/>
  <c r="AB203" i="37"/>
  <c r="AA203" i="37"/>
  <c r="K203" i="37"/>
  <c r="G203" i="37"/>
  <c r="AB202" i="37"/>
  <c r="AA202" i="37"/>
  <c r="G202" i="37"/>
  <c r="AB201" i="37"/>
  <c r="AA201" i="37"/>
  <c r="K201" i="37"/>
  <c r="G201" i="37"/>
  <c r="AB200" i="37"/>
  <c r="AA200" i="37"/>
  <c r="AB199" i="37"/>
  <c r="AA199" i="37"/>
  <c r="G199" i="37"/>
  <c r="AB198" i="37"/>
  <c r="AA198" i="37"/>
  <c r="K198" i="37"/>
  <c r="G198" i="37"/>
  <c r="AB197" i="37"/>
  <c r="AA197" i="37"/>
  <c r="G197" i="37"/>
  <c r="Y196" i="37"/>
  <c r="AB196" i="37" s="1"/>
  <c r="X196" i="37"/>
  <c r="AA196" i="37" s="1"/>
  <c r="G196" i="37"/>
  <c r="AB195" i="37"/>
  <c r="AA195" i="37"/>
  <c r="K195" i="37"/>
  <c r="G195" i="37"/>
  <c r="AB194" i="37"/>
  <c r="AA194" i="37"/>
  <c r="G194" i="37"/>
  <c r="AB193" i="37"/>
  <c r="AA193" i="37"/>
  <c r="G193" i="37"/>
  <c r="AB192" i="37"/>
  <c r="AA192" i="37"/>
  <c r="G192" i="37"/>
  <c r="AB191" i="37"/>
  <c r="AA191" i="37"/>
  <c r="G191" i="37"/>
  <c r="AB190" i="37"/>
  <c r="AA190" i="37"/>
  <c r="G190" i="37"/>
  <c r="AB189" i="37"/>
  <c r="AA189" i="37"/>
  <c r="G189" i="37"/>
  <c r="AB188" i="37"/>
  <c r="AA188" i="37"/>
  <c r="G188" i="37"/>
  <c r="AB187" i="37"/>
  <c r="AA187" i="37"/>
  <c r="G187" i="37"/>
  <c r="AB186" i="37"/>
  <c r="AA186" i="37"/>
  <c r="G186" i="37"/>
  <c r="AB185" i="37"/>
  <c r="AA185" i="37"/>
  <c r="G185" i="37"/>
  <c r="AB184" i="37"/>
  <c r="AA184" i="37"/>
  <c r="AB183" i="37"/>
  <c r="AA183" i="37"/>
  <c r="G183" i="37"/>
  <c r="AB182" i="37"/>
  <c r="AA182" i="37"/>
  <c r="J182" i="37"/>
  <c r="G182" i="37"/>
  <c r="AB181" i="37"/>
  <c r="AA181" i="37"/>
  <c r="G181" i="37"/>
  <c r="AB180" i="37"/>
  <c r="AA180" i="37"/>
  <c r="AB179" i="37"/>
  <c r="AA179" i="37"/>
  <c r="Y179" i="37"/>
  <c r="X179" i="37"/>
  <c r="G179" i="37"/>
  <c r="AB178" i="37"/>
  <c r="AA178" i="37"/>
  <c r="G178" i="37"/>
  <c r="AB177" i="37"/>
  <c r="AA177" i="37"/>
  <c r="K177" i="37"/>
  <c r="J177" i="37"/>
  <c r="G177" i="37"/>
  <c r="AB176" i="37"/>
  <c r="AA176" i="37"/>
  <c r="K176" i="37"/>
  <c r="G176" i="37"/>
  <c r="AB175" i="37"/>
  <c r="AA175" i="37"/>
  <c r="G175" i="37"/>
  <c r="AA174" i="37"/>
  <c r="Y174" i="37"/>
  <c r="AB174" i="37" s="1"/>
  <c r="X174" i="37"/>
  <c r="G174" i="37"/>
  <c r="AB173" i="37"/>
  <c r="AA173" i="37"/>
  <c r="G173" i="37"/>
  <c r="AB172" i="37"/>
  <c r="AA172" i="37"/>
  <c r="G172" i="37"/>
  <c r="Y171" i="37"/>
  <c r="AB171" i="37" s="1"/>
  <c r="X171" i="37"/>
  <c r="AA171" i="37" s="1"/>
  <c r="J171" i="37"/>
  <c r="G171" i="37"/>
  <c r="AB170" i="37"/>
  <c r="AA170" i="37"/>
  <c r="G170" i="37"/>
  <c r="Y169" i="37"/>
  <c r="AB169" i="37" s="1"/>
  <c r="X169" i="37"/>
  <c r="K169" i="37"/>
  <c r="J169" i="37"/>
  <c r="AA169" i="37" s="1"/>
  <c r="G169" i="37"/>
  <c r="AB168" i="37"/>
  <c r="AA168" i="37"/>
  <c r="K168" i="37"/>
  <c r="J168" i="37"/>
  <c r="G168" i="37"/>
  <c r="AB167" i="37"/>
  <c r="AA167" i="37"/>
  <c r="K167" i="37"/>
  <c r="G167" i="37"/>
  <c r="AA166" i="37"/>
  <c r="Y166" i="37"/>
  <c r="AB166" i="37" s="1"/>
  <c r="X166" i="37"/>
  <c r="K166" i="37"/>
  <c r="G166" i="37"/>
  <c r="AA165" i="37"/>
  <c r="Y165" i="37"/>
  <c r="AB165" i="37" s="1"/>
  <c r="X165" i="37"/>
  <c r="K165" i="37"/>
  <c r="G165" i="37"/>
  <c r="AA164" i="37"/>
  <c r="Y164" i="37"/>
  <c r="AB164" i="37" s="1"/>
  <c r="X164" i="37"/>
  <c r="K164" i="37"/>
  <c r="J164" i="37"/>
  <c r="G164" i="37"/>
  <c r="AB163" i="37"/>
  <c r="K163" i="37"/>
  <c r="J163" i="37"/>
  <c r="AA163" i="37" s="1"/>
  <c r="G163" i="37"/>
  <c r="AB162" i="37"/>
  <c r="AA162" i="37"/>
  <c r="G162" i="37"/>
  <c r="Y161" i="37"/>
  <c r="AB161" i="37" s="1"/>
  <c r="X161" i="37"/>
  <c r="AA161" i="37" s="1"/>
  <c r="G161" i="37"/>
  <c r="AB160" i="37"/>
  <c r="AA160" i="37"/>
  <c r="K160" i="37"/>
  <c r="G160" i="37"/>
  <c r="AB159" i="37"/>
  <c r="AA159" i="37"/>
  <c r="K159" i="37"/>
  <c r="G159" i="37"/>
  <c r="AB158" i="37"/>
  <c r="AA158" i="37"/>
  <c r="K158" i="37"/>
  <c r="AB157" i="37"/>
  <c r="AA157" i="37"/>
  <c r="AB156" i="37"/>
  <c r="AA156" i="37"/>
  <c r="AB155" i="37"/>
  <c r="AA155" i="37"/>
  <c r="AB154" i="37"/>
  <c r="AA154" i="37"/>
  <c r="AB153" i="37"/>
  <c r="AA153" i="37"/>
  <c r="AB152" i="37"/>
  <c r="AA152" i="37"/>
  <c r="K152" i="37"/>
  <c r="J152" i="37"/>
  <c r="AB151" i="37"/>
  <c r="AA151" i="37"/>
  <c r="AB150" i="37"/>
  <c r="AA150" i="37"/>
  <c r="AB149" i="37"/>
  <c r="AA149" i="37"/>
  <c r="K149" i="37"/>
  <c r="G149" i="37"/>
  <c r="AB148" i="37"/>
  <c r="AA148" i="37"/>
  <c r="K148" i="37"/>
  <c r="G148" i="37"/>
  <c r="AB147" i="37"/>
  <c r="AA147" i="37"/>
  <c r="K147" i="37"/>
  <c r="G147" i="37"/>
  <c r="AB146" i="37"/>
  <c r="AA146" i="37"/>
  <c r="K146" i="37"/>
  <c r="J146" i="37"/>
  <c r="G146" i="37"/>
  <c r="AB145" i="37"/>
  <c r="AA145" i="37"/>
  <c r="K145" i="37"/>
  <c r="G145" i="37"/>
  <c r="AB144" i="37"/>
  <c r="AA144" i="37"/>
  <c r="G144" i="37"/>
  <c r="AB143" i="37"/>
  <c r="AA143" i="37"/>
  <c r="G143" i="37"/>
  <c r="AB142" i="37"/>
  <c r="AA142" i="37"/>
  <c r="G142" i="37"/>
  <c r="AB141" i="37"/>
  <c r="Y141" i="37"/>
  <c r="X141" i="37"/>
  <c r="AA141" i="37" s="1"/>
  <c r="K141" i="37"/>
  <c r="G141" i="37"/>
  <c r="AB140" i="37"/>
  <c r="AA140" i="37"/>
  <c r="Y140" i="37"/>
  <c r="X140" i="37"/>
  <c r="K140" i="37"/>
  <c r="G140" i="37"/>
  <c r="AB139" i="37"/>
  <c r="AA139" i="37"/>
  <c r="G139" i="37"/>
  <c r="AB138" i="37"/>
  <c r="AA138" i="37"/>
  <c r="G138" i="37"/>
  <c r="AB137" i="37"/>
  <c r="AA137" i="37"/>
  <c r="G137" i="37"/>
  <c r="AB136" i="37"/>
  <c r="AA136" i="37"/>
  <c r="G136" i="37"/>
  <c r="AB135" i="37"/>
  <c r="AA135" i="37"/>
  <c r="G135" i="37"/>
  <c r="AB134" i="37"/>
  <c r="AA134" i="37"/>
  <c r="G134" i="37"/>
  <c r="AB133" i="37"/>
  <c r="AA133" i="37"/>
  <c r="K133" i="37"/>
  <c r="G133" i="37"/>
  <c r="AB132" i="37"/>
  <c r="AA132" i="37"/>
  <c r="K132" i="37"/>
  <c r="G132" i="37"/>
  <c r="AB131" i="37"/>
  <c r="AA131" i="37"/>
  <c r="K131" i="37"/>
  <c r="G131" i="37"/>
  <c r="AB130" i="37"/>
  <c r="AA130" i="37"/>
  <c r="Y130" i="37"/>
  <c r="X130" i="37"/>
  <c r="K130" i="37"/>
  <c r="G130" i="37"/>
  <c r="AB129" i="37"/>
  <c r="AA129" i="37"/>
  <c r="K129" i="37"/>
  <c r="G129" i="37"/>
  <c r="Y128" i="37"/>
  <c r="AB128" i="37" s="1"/>
  <c r="X128" i="37"/>
  <c r="AA128" i="37" s="1"/>
  <c r="K128" i="37"/>
  <c r="G128" i="37"/>
  <c r="AB127" i="37"/>
  <c r="AA127" i="37"/>
  <c r="K127" i="37"/>
  <c r="G127" i="37"/>
  <c r="AB126" i="37"/>
  <c r="AA126" i="37"/>
  <c r="K126" i="37"/>
  <c r="G126" i="37"/>
  <c r="AB125" i="37"/>
  <c r="AA125" i="37"/>
  <c r="K125" i="37"/>
  <c r="G125" i="37"/>
  <c r="AB124" i="37"/>
  <c r="AA124" i="37"/>
  <c r="K124" i="37"/>
  <c r="G124" i="37"/>
  <c r="AB123" i="37"/>
  <c r="AA123" i="37"/>
  <c r="K123" i="37"/>
  <c r="G123" i="37"/>
  <c r="AB122" i="37"/>
  <c r="AA122" i="37"/>
  <c r="K122" i="37"/>
  <c r="G122" i="37"/>
  <c r="AB121" i="37"/>
  <c r="AA121" i="37"/>
  <c r="G121" i="37"/>
  <c r="AB120" i="37"/>
  <c r="AA120" i="37"/>
  <c r="K120" i="37"/>
  <c r="G120" i="37"/>
  <c r="AB119" i="37"/>
  <c r="AA119" i="37"/>
  <c r="K119" i="37"/>
  <c r="G119" i="37"/>
  <c r="AB118" i="37"/>
  <c r="AA118" i="37"/>
  <c r="K118" i="37"/>
  <c r="J118" i="37"/>
  <c r="G118" i="37"/>
  <c r="AB117" i="37"/>
  <c r="AA117" i="37"/>
  <c r="K117" i="37"/>
  <c r="G117" i="37"/>
  <c r="AB116" i="37"/>
  <c r="AA116" i="37"/>
  <c r="K116" i="37"/>
  <c r="G116" i="37"/>
  <c r="AB115" i="37"/>
  <c r="AA115" i="37"/>
  <c r="K115" i="37"/>
  <c r="G115" i="37"/>
  <c r="AB114" i="37"/>
  <c r="AA114" i="37"/>
  <c r="K114" i="37"/>
  <c r="G114" i="37"/>
  <c r="AB113" i="37"/>
  <c r="AA113" i="37"/>
  <c r="K113" i="37"/>
  <c r="G113" i="37"/>
  <c r="AB112" i="37"/>
  <c r="AA112" i="37"/>
  <c r="S112" i="37"/>
  <c r="K112" i="37"/>
  <c r="J112" i="37"/>
  <c r="G112" i="37"/>
  <c r="AB111" i="37"/>
  <c r="AA111" i="37"/>
  <c r="K111" i="37"/>
  <c r="G111" i="37"/>
  <c r="Y110" i="37"/>
  <c r="AB110" i="37" s="1"/>
  <c r="X110" i="37"/>
  <c r="AA110" i="37" s="1"/>
  <c r="K110" i="37"/>
  <c r="G110" i="37"/>
  <c r="AB109" i="37"/>
  <c r="AA109" i="37"/>
  <c r="K109" i="37"/>
  <c r="G109" i="37"/>
  <c r="AB108" i="37"/>
  <c r="AA108" i="37"/>
  <c r="K108" i="37"/>
  <c r="G108" i="37"/>
  <c r="AB107" i="37"/>
  <c r="AA107" i="37"/>
  <c r="K107" i="37"/>
  <c r="G107" i="37"/>
  <c r="AB106" i="37"/>
  <c r="AA106" i="37"/>
  <c r="K106" i="37"/>
  <c r="G106" i="37"/>
  <c r="AB105" i="37"/>
  <c r="AA105" i="37"/>
  <c r="K105" i="37"/>
  <c r="G105" i="37"/>
  <c r="AB104" i="37"/>
  <c r="AA104" i="37"/>
  <c r="N104" i="37"/>
  <c r="K104" i="37"/>
  <c r="G104" i="37"/>
  <c r="AB103" i="37"/>
  <c r="AA103" i="37"/>
  <c r="K103" i="37"/>
  <c r="G103" i="37"/>
  <c r="AB102" i="37"/>
  <c r="AA102" i="37"/>
  <c r="K102" i="37"/>
  <c r="G102" i="37"/>
  <c r="AB101" i="37"/>
  <c r="AA101" i="37"/>
  <c r="K101" i="37"/>
  <c r="G101" i="37"/>
  <c r="AB100" i="37"/>
  <c r="AA100" i="37"/>
  <c r="K100" i="37"/>
  <c r="G100" i="37"/>
  <c r="AB99" i="37"/>
  <c r="AA99" i="37"/>
  <c r="K99" i="37"/>
  <c r="G99" i="37"/>
  <c r="AB98" i="37"/>
  <c r="AA98" i="37"/>
  <c r="K98" i="37"/>
  <c r="G98" i="37"/>
  <c r="AB97" i="37"/>
  <c r="AA97" i="37"/>
  <c r="K97" i="37"/>
  <c r="G97" i="37"/>
  <c r="AB96" i="37"/>
  <c r="AA96" i="37"/>
  <c r="K96" i="37"/>
  <c r="G96" i="37"/>
  <c r="AB95" i="37"/>
  <c r="AA95" i="37"/>
  <c r="K95" i="37"/>
  <c r="G95" i="37"/>
  <c r="AB94" i="37"/>
  <c r="AA94" i="37"/>
  <c r="G94" i="37"/>
  <c r="AB93" i="37"/>
  <c r="AA93" i="37"/>
  <c r="K93" i="37"/>
  <c r="G93" i="37"/>
  <c r="AB92" i="37"/>
  <c r="AA92" i="37"/>
  <c r="G92" i="37"/>
  <c r="AB91" i="37"/>
  <c r="J91" i="37"/>
  <c r="AA91" i="37" s="1"/>
  <c r="G91" i="37"/>
  <c r="AA90" i="37"/>
  <c r="Y90" i="37"/>
  <c r="AB90" i="37" s="1"/>
  <c r="X90" i="37"/>
  <c r="M90" i="37"/>
  <c r="K90" i="37"/>
  <c r="G90" i="37"/>
  <c r="AB89" i="37"/>
  <c r="AA89" i="37"/>
  <c r="K89" i="37"/>
  <c r="G89" i="37"/>
  <c r="AB88" i="37"/>
  <c r="AA88" i="37"/>
  <c r="G88" i="37"/>
  <c r="AB87" i="37"/>
  <c r="AA87" i="37"/>
  <c r="K87" i="37"/>
  <c r="G87" i="37"/>
  <c r="AB86" i="37"/>
  <c r="AA86" i="37"/>
  <c r="K86" i="37"/>
  <c r="G86" i="37"/>
  <c r="AB85" i="37"/>
  <c r="AA85" i="37"/>
  <c r="K85" i="37"/>
  <c r="G85" i="37"/>
  <c r="AB84" i="37"/>
  <c r="AA84" i="37"/>
  <c r="K84" i="37"/>
  <c r="G84" i="37"/>
  <c r="AB83" i="37"/>
  <c r="AA83" i="37"/>
  <c r="G83" i="37"/>
  <c r="AB82" i="37"/>
  <c r="AA82" i="37"/>
  <c r="K82" i="37"/>
  <c r="G82" i="37"/>
  <c r="AB81" i="37"/>
  <c r="AA81" i="37"/>
  <c r="G81" i="37"/>
  <c r="AB80" i="37"/>
  <c r="AA80" i="37"/>
  <c r="G80" i="37"/>
  <c r="AB79" i="37"/>
  <c r="AA79" i="37"/>
  <c r="G79" i="37"/>
  <c r="AB78" i="37"/>
  <c r="AA78" i="37"/>
  <c r="G78" i="37"/>
  <c r="AB77" i="37"/>
  <c r="AA77" i="37"/>
  <c r="G77" i="37"/>
  <c r="AB76" i="37"/>
  <c r="AA76" i="37"/>
  <c r="K76" i="37"/>
  <c r="G76" i="37"/>
  <c r="AB75" i="37"/>
  <c r="AA75" i="37"/>
  <c r="G75" i="37"/>
  <c r="AB74" i="37"/>
  <c r="AA74" i="37"/>
  <c r="G74" i="37"/>
  <c r="AB73" i="37"/>
  <c r="AA73" i="37"/>
  <c r="G73" i="37"/>
  <c r="AB72" i="37"/>
  <c r="AA72" i="37"/>
  <c r="G72" i="37"/>
  <c r="AB71" i="37"/>
  <c r="AA71" i="37"/>
  <c r="G71" i="37"/>
  <c r="AB70" i="37"/>
  <c r="AA70" i="37"/>
  <c r="G70" i="37"/>
  <c r="AB69" i="37"/>
  <c r="AA69" i="37"/>
  <c r="G69" i="37"/>
  <c r="AB68" i="37"/>
  <c r="AA68" i="37"/>
  <c r="G68" i="37"/>
  <c r="AB67" i="37"/>
  <c r="AA67" i="37"/>
  <c r="G67" i="37"/>
  <c r="AB66" i="37"/>
  <c r="AA66" i="37"/>
  <c r="G66" i="37"/>
  <c r="AB65" i="37"/>
  <c r="AA65" i="37"/>
  <c r="G65" i="37"/>
  <c r="AB64" i="37"/>
  <c r="AA64" i="37"/>
  <c r="G64" i="37"/>
  <c r="AB63" i="37"/>
  <c r="AA63" i="37"/>
  <c r="G63" i="37"/>
  <c r="AB62" i="37"/>
  <c r="AA62" i="37"/>
  <c r="K62" i="37"/>
  <c r="G62" i="37"/>
  <c r="AB61" i="37"/>
  <c r="AA61" i="37"/>
  <c r="K61" i="37"/>
  <c r="G61" i="37"/>
  <c r="Y60" i="37"/>
  <c r="X60" i="37"/>
  <c r="AA60" i="37" s="1"/>
  <c r="M60" i="37"/>
  <c r="AB60" i="37" s="1"/>
  <c r="K60" i="37"/>
  <c r="G60" i="37"/>
  <c r="AB59" i="37"/>
  <c r="AA59" i="37"/>
  <c r="N59" i="37"/>
  <c r="K59" i="37"/>
  <c r="G59" i="37"/>
  <c r="AB58" i="37"/>
  <c r="AA58" i="37"/>
  <c r="AB57" i="37"/>
  <c r="AA57" i="37"/>
  <c r="AB56" i="37"/>
  <c r="AA56" i="37"/>
  <c r="G56" i="37"/>
  <c r="AB55" i="37"/>
  <c r="AA55" i="37"/>
  <c r="G55" i="37"/>
  <c r="AB54" i="37"/>
  <c r="AA54" i="37"/>
  <c r="K54" i="37"/>
  <c r="G54" i="37"/>
  <c r="AB53" i="37"/>
  <c r="AA53" i="37"/>
  <c r="J53" i="37"/>
  <c r="G53" i="37"/>
  <c r="AB52" i="37"/>
  <c r="AA52" i="37"/>
  <c r="K52" i="37"/>
  <c r="G52" i="37"/>
  <c r="AB51" i="37"/>
  <c r="AA51" i="37"/>
  <c r="K51" i="37"/>
  <c r="G51" i="37"/>
  <c r="AB50" i="37"/>
  <c r="AA50" i="37"/>
  <c r="G50" i="37"/>
  <c r="AB49" i="37"/>
  <c r="AA49" i="37"/>
  <c r="G49" i="37"/>
  <c r="AB48" i="37"/>
  <c r="AA48" i="37"/>
  <c r="K48" i="37"/>
  <c r="G48" i="37"/>
  <c r="AB47" i="37"/>
  <c r="AA47" i="37"/>
  <c r="N47" i="37"/>
  <c r="K47" i="37"/>
  <c r="G47" i="37"/>
  <c r="AB46" i="37"/>
  <c r="AA46" i="37"/>
  <c r="N46" i="37"/>
  <c r="J46" i="37"/>
  <c r="G46" i="37"/>
  <c r="AB45" i="37"/>
  <c r="AA45" i="37"/>
  <c r="N45" i="37"/>
  <c r="M45" i="37"/>
  <c r="G45" i="37"/>
  <c r="AB44" i="37"/>
  <c r="AA44" i="37"/>
  <c r="N44" i="37"/>
  <c r="M44" i="37"/>
  <c r="G44" i="37"/>
  <c r="AB43" i="37"/>
  <c r="AA43" i="37"/>
  <c r="G43" i="37"/>
  <c r="AB42" i="37"/>
  <c r="AA42" i="37"/>
  <c r="Y42" i="37"/>
  <c r="X42" i="37"/>
  <c r="G42" i="37"/>
  <c r="AB41" i="37"/>
  <c r="AA41" i="37"/>
  <c r="G41" i="37"/>
  <c r="AB40" i="37"/>
  <c r="AA40" i="37"/>
  <c r="N40" i="37"/>
  <c r="M40" i="37"/>
  <c r="K40" i="37"/>
  <c r="G40" i="37"/>
  <c r="AA39" i="37"/>
  <c r="N39" i="37"/>
  <c r="M39" i="37"/>
  <c r="AB39" i="37" s="1"/>
  <c r="G39" i="37"/>
  <c r="AB38" i="37"/>
  <c r="AA38" i="37"/>
  <c r="Y38" i="37"/>
  <c r="X38" i="37"/>
  <c r="S38" i="37"/>
  <c r="N38" i="37"/>
  <c r="K38" i="37"/>
  <c r="J38" i="37"/>
  <c r="G38" i="37"/>
  <c r="AB37" i="37"/>
  <c r="Y37" i="37"/>
  <c r="X37" i="37"/>
  <c r="AA37" i="37" s="1"/>
  <c r="G37" i="37"/>
  <c r="AA36" i="37"/>
  <c r="N36" i="37"/>
  <c r="M36" i="37"/>
  <c r="AB36" i="37" s="1"/>
  <c r="G36" i="37"/>
  <c r="AA35" i="37"/>
  <c r="M35" i="37"/>
  <c r="AB35" i="37" s="1"/>
  <c r="G35" i="37"/>
  <c r="AB34" i="37"/>
  <c r="AA34" i="37"/>
  <c r="N34" i="37"/>
  <c r="M34" i="37"/>
  <c r="G34" i="37"/>
  <c r="AB33" i="37"/>
  <c r="AA33" i="37"/>
  <c r="N33" i="37"/>
  <c r="G33" i="37"/>
  <c r="AA32" i="37"/>
  <c r="N32" i="37"/>
  <c r="M32" i="37"/>
  <c r="AB32" i="37" s="1"/>
  <c r="G32" i="37"/>
  <c r="AB31" i="37"/>
  <c r="AA31" i="37"/>
  <c r="N31" i="37"/>
  <c r="M31" i="37"/>
  <c r="G31" i="37"/>
  <c r="AA30" i="37"/>
  <c r="N30" i="37"/>
  <c r="M30" i="37"/>
  <c r="AB30" i="37" s="1"/>
  <c r="G30" i="37"/>
  <c r="AB29" i="37"/>
  <c r="AA29" i="37"/>
  <c r="N29" i="37"/>
  <c r="G29" i="37"/>
  <c r="AA28" i="37"/>
  <c r="N28" i="37"/>
  <c r="M28" i="37"/>
  <c r="AB28" i="37" s="1"/>
  <c r="J28" i="37"/>
  <c r="G28" i="37"/>
  <c r="AB27" i="37"/>
  <c r="AA27" i="37"/>
  <c r="AA26" i="37"/>
  <c r="Y26" i="37"/>
  <c r="AB26" i="37" s="1"/>
  <c r="X26" i="37"/>
  <c r="K26" i="37"/>
  <c r="G26" i="37"/>
  <c r="AB25" i="37"/>
  <c r="AA25" i="37"/>
  <c r="Y25" i="37"/>
  <c r="X25" i="37"/>
  <c r="K25" i="37"/>
  <c r="G25" i="37"/>
  <c r="AB24" i="37"/>
  <c r="AA24" i="37"/>
  <c r="G24" i="37"/>
  <c r="AB23" i="37"/>
  <c r="AA23" i="37"/>
  <c r="K23" i="37"/>
  <c r="G23" i="37"/>
  <c r="AB22" i="37"/>
  <c r="S22" i="37"/>
  <c r="K22" i="37"/>
  <c r="J22" i="37"/>
  <c r="AA22" i="37" s="1"/>
  <c r="G22" i="37"/>
  <c r="AB21" i="37"/>
  <c r="AA21" i="37"/>
  <c r="S21" i="37"/>
  <c r="K21" i="37"/>
  <c r="J21" i="37"/>
  <c r="G21" i="37"/>
  <c r="AB20" i="37"/>
  <c r="AA20" i="37"/>
  <c r="K20" i="37"/>
  <c r="G20" i="37"/>
  <c r="AB19" i="37"/>
  <c r="AA19" i="37"/>
  <c r="K19" i="37"/>
  <c r="G19" i="37"/>
  <c r="AB18" i="37"/>
  <c r="AA18" i="37"/>
  <c r="G18" i="37"/>
  <c r="AB17" i="37"/>
  <c r="AA17" i="37"/>
  <c r="K17" i="37"/>
  <c r="G17" i="37"/>
  <c r="Y16" i="37"/>
  <c r="AB16" i="37" s="1"/>
  <c r="X16" i="37"/>
  <c r="AA16" i="37" s="1"/>
  <c r="S16" i="37"/>
  <c r="K16" i="37"/>
  <c r="J16" i="37"/>
  <c r="G16" i="37"/>
  <c r="AB15" i="37"/>
  <c r="AA15" i="37"/>
  <c r="K15" i="37"/>
  <c r="G15" i="37"/>
  <c r="AB14" i="37"/>
  <c r="AA14" i="37"/>
  <c r="G14" i="37"/>
  <c r="AB13" i="37"/>
  <c r="AA13" i="37"/>
  <c r="K13" i="37"/>
  <c r="J13" i="37"/>
  <c r="G13" i="37"/>
  <c r="AB12" i="37"/>
  <c r="AA12" i="37"/>
  <c r="G12" i="37"/>
  <c r="AB302" i="33"/>
  <c r="AA302" i="33"/>
  <c r="AB301" i="33"/>
  <c r="AA301" i="33"/>
  <c r="AB300" i="33"/>
  <c r="AA300" i="33"/>
  <c r="AB299" i="33"/>
  <c r="AA299" i="33"/>
  <c r="AB298" i="33"/>
  <c r="AA298" i="33"/>
  <c r="AB297" i="33"/>
  <c r="AA297" i="33"/>
  <c r="AB296" i="33"/>
  <c r="AA296" i="33"/>
  <c r="AB295" i="33"/>
  <c r="AA295" i="33"/>
  <c r="AB294" i="33"/>
  <c r="AA294" i="33"/>
  <c r="AB293" i="33"/>
  <c r="AA293" i="33"/>
  <c r="AB292" i="33"/>
  <c r="AA292" i="33"/>
  <c r="AB291" i="33"/>
  <c r="AA291" i="33"/>
  <c r="AB290" i="33"/>
  <c r="AA290" i="33"/>
  <c r="AB289" i="33"/>
  <c r="AA289" i="33"/>
  <c r="AB288" i="33"/>
  <c r="AA288" i="33"/>
  <c r="AB287" i="33"/>
  <c r="AA287" i="33"/>
  <c r="G287" i="33"/>
  <c r="AB286" i="33"/>
  <c r="AA286" i="33"/>
  <c r="G286" i="33"/>
  <c r="AB285" i="33"/>
  <c r="AA285" i="33"/>
  <c r="G285" i="33"/>
  <c r="AB284" i="33"/>
  <c r="AA284" i="33"/>
  <c r="G284" i="33"/>
  <c r="AB283" i="33"/>
  <c r="AA283" i="33"/>
  <c r="G283" i="33"/>
  <c r="AB282" i="33"/>
  <c r="AA282" i="33"/>
  <c r="G282" i="33"/>
  <c r="AB281" i="33"/>
  <c r="AA281" i="33"/>
  <c r="G281" i="33"/>
  <c r="AB280" i="33"/>
  <c r="AA280" i="33"/>
  <c r="G280" i="33"/>
  <c r="AB279" i="33"/>
  <c r="AA279" i="33"/>
  <c r="G279" i="33"/>
  <c r="AB278" i="33"/>
  <c r="AA278" i="33"/>
  <c r="K278" i="33"/>
  <c r="G278" i="33"/>
  <c r="AB277" i="33"/>
  <c r="AA277" i="33"/>
  <c r="K277" i="33"/>
  <c r="G277" i="33"/>
  <c r="AB276" i="33"/>
  <c r="Y276" i="33"/>
  <c r="X276" i="33"/>
  <c r="AA276" i="33" s="1"/>
  <c r="M276" i="33"/>
  <c r="K276" i="33"/>
  <c r="G276" i="33"/>
  <c r="AB275" i="33"/>
  <c r="AA275" i="33"/>
  <c r="G275" i="33"/>
  <c r="AB274" i="33"/>
  <c r="AA274" i="33"/>
  <c r="G274" i="33"/>
  <c r="AB273" i="33"/>
  <c r="AA273" i="33"/>
  <c r="G273" i="33"/>
  <c r="AB272" i="33"/>
  <c r="AA272" i="33"/>
  <c r="G272" i="33"/>
  <c r="AB271" i="33"/>
  <c r="AA271" i="33"/>
  <c r="G271" i="33"/>
  <c r="AB270" i="33"/>
  <c r="AA270" i="33"/>
  <c r="G270" i="33"/>
  <c r="AB269" i="33"/>
  <c r="AA269" i="33"/>
  <c r="G269" i="33"/>
  <c r="AB268" i="33"/>
  <c r="AA268" i="33"/>
  <c r="G268" i="33"/>
  <c r="AA267" i="33"/>
  <c r="M267" i="33"/>
  <c r="AB267" i="33" s="1"/>
  <c r="G267" i="33"/>
  <c r="AB266" i="33"/>
  <c r="AA266" i="33"/>
  <c r="G266" i="33"/>
  <c r="AB265" i="33"/>
  <c r="AA265" i="33"/>
  <c r="G265" i="33"/>
  <c r="AB264" i="33"/>
  <c r="AA264" i="33"/>
  <c r="M264" i="33"/>
  <c r="G264" i="33"/>
  <c r="AB263" i="33"/>
  <c r="AA263" i="33"/>
  <c r="G263" i="33"/>
  <c r="AB262" i="33"/>
  <c r="AA262" i="33"/>
  <c r="G262" i="33"/>
  <c r="AB261" i="33"/>
  <c r="AA261" i="33"/>
  <c r="G261" i="33"/>
  <c r="AB260" i="33"/>
  <c r="AA260" i="33"/>
  <c r="G260" i="33"/>
  <c r="AB259" i="33"/>
  <c r="AA259" i="33"/>
  <c r="G259" i="33"/>
  <c r="AB258" i="33"/>
  <c r="AA258" i="33"/>
  <c r="G258" i="33"/>
  <c r="AB257" i="33"/>
  <c r="AA257" i="33"/>
  <c r="M257" i="33"/>
  <c r="G257" i="33"/>
  <c r="Y256" i="33"/>
  <c r="AB256" i="33" s="1"/>
  <c r="X256" i="33"/>
  <c r="AA256" i="33" s="1"/>
  <c r="G256" i="33"/>
  <c r="AB255" i="33"/>
  <c r="AA255" i="33"/>
  <c r="N255" i="33"/>
  <c r="M255" i="33"/>
  <c r="G255" i="33"/>
  <c r="AB254" i="33"/>
  <c r="AA254" i="33"/>
  <c r="G254" i="33"/>
  <c r="Y253" i="33"/>
  <c r="X253" i="33"/>
  <c r="AA253" i="33" s="1"/>
  <c r="M253" i="33"/>
  <c r="AB253" i="33" s="1"/>
  <c r="J253" i="33"/>
  <c r="G253" i="33"/>
  <c r="AB252" i="33"/>
  <c r="AA252" i="33"/>
  <c r="Y252" i="33"/>
  <c r="X252" i="33"/>
  <c r="M252" i="33"/>
  <c r="G252" i="33"/>
  <c r="AA251" i="33"/>
  <c r="M251" i="33"/>
  <c r="AB251" i="33" s="1"/>
  <c r="G251" i="33"/>
  <c r="AB250" i="33"/>
  <c r="AA250" i="33"/>
  <c r="G250" i="33"/>
  <c r="AB249" i="33"/>
  <c r="AA249" i="33"/>
  <c r="Y249" i="33"/>
  <c r="X249" i="33"/>
  <c r="G249" i="33"/>
  <c r="AB248" i="33"/>
  <c r="S248" i="33"/>
  <c r="J248" i="33"/>
  <c r="AA248" i="33" s="1"/>
  <c r="G248" i="33"/>
  <c r="AB247" i="33"/>
  <c r="AA247" i="33"/>
  <c r="K247" i="33"/>
  <c r="G247" i="33"/>
  <c r="AB246" i="33"/>
  <c r="AA246" i="33"/>
  <c r="K246" i="33"/>
  <c r="G246" i="33"/>
  <c r="AA245" i="33"/>
  <c r="M245" i="33"/>
  <c r="AB245" i="33" s="1"/>
  <c r="K245" i="33"/>
  <c r="G245" i="33"/>
  <c r="AB244" i="33"/>
  <c r="AA244" i="33"/>
  <c r="K244" i="33"/>
  <c r="G244" i="33"/>
  <c r="AB243" i="33"/>
  <c r="AA243" i="33"/>
  <c r="G243" i="33"/>
  <c r="AB242" i="33"/>
  <c r="AA242" i="33"/>
  <c r="S242" i="33"/>
  <c r="K242" i="33"/>
  <c r="J242" i="33"/>
  <c r="G242" i="33"/>
  <c r="AB241" i="33"/>
  <c r="AA241" i="33"/>
  <c r="S241" i="33"/>
  <c r="J241" i="33"/>
  <c r="G241" i="33"/>
  <c r="AB240" i="33"/>
  <c r="AA240" i="33"/>
  <c r="K240" i="33"/>
  <c r="G240" i="33"/>
  <c r="AB239" i="33"/>
  <c r="AA239" i="33"/>
  <c r="K239" i="33"/>
  <c r="G239" i="33"/>
  <c r="AB238" i="33"/>
  <c r="AA238" i="33"/>
  <c r="K238" i="33"/>
  <c r="G238" i="33"/>
  <c r="AB237" i="33"/>
  <c r="AA237" i="33"/>
  <c r="K237" i="33"/>
  <c r="G237" i="33"/>
  <c r="AB236" i="33"/>
  <c r="AA236" i="33"/>
  <c r="G236" i="33"/>
  <c r="AB235" i="33"/>
  <c r="AA235" i="33"/>
  <c r="G235" i="33"/>
  <c r="AB234" i="33"/>
  <c r="AA234" i="33"/>
  <c r="K234" i="33"/>
  <c r="G234" i="33"/>
  <c r="AB233" i="33"/>
  <c r="AA233" i="33"/>
  <c r="M233" i="33"/>
  <c r="K233" i="33"/>
  <c r="G233" i="33"/>
  <c r="AA232" i="33"/>
  <c r="Y232" i="33"/>
  <c r="X232" i="33"/>
  <c r="M232" i="33"/>
  <c r="AB232" i="33" s="1"/>
  <c r="K232" i="33"/>
  <c r="G232" i="33"/>
  <c r="AB231" i="33"/>
  <c r="AA231" i="33"/>
  <c r="K231" i="33"/>
  <c r="G231" i="33"/>
  <c r="AB230" i="33"/>
  <c r="AA230" i="33"/>
  <c r="G230" i="33"/>
  <c r="AB229" i="33"/>
  <c r="AA229" i="33"/>
  <c r="G229" i="33"/>
  <c r="AB228" i="33"/>
  <c r="AA228" i="33"/>
  <c r="G228" i="33"/>
  <c r="AB227" i="33"/>
  <c r="AA227" i="33"/>
  <c r="G227" i="33"/>
  <c r="AB226" i="33"/>
  <c r="AA226" i="33"/>
  <c r="G226" i="33"/>
  <c r="AB225" i="33"/>
  <c r="AA225" i="33"/>
  <c r="G225" i="33"/>
  <c r="AB224" i="33"/>
  <c r="AA224" i="33"/>
  <c r="G224" i="33"/>
  <c r="AB223" i="33"/>
  <c r="AA223" i="33"/>
  <c r="G223" i="33"/>
  <c r="AB222" i="33"/>
  <c r="AA222" i="33"/>
  <c r="K222" i="33"/>
  <c r="G222" i="33"/>
  <c r="AB221" i="33"/>
  <c r="AA221" i="33"/>
  <c r="K221" i="33"/>
  <c r="G221" i="33"/>
  <c r="AB220" i="33"/>
  <c r="AA220" i="33"/>
  <c r="K220" i="33"/>
  <c r="G220" i="33"/>
  <c r="AB219" i="33"/>
  <c r="AA219" i="33"/>
  <c r="K219" i="33"/>
  <c r="G219" i="33"/>
  <c r="AB218" i="33"/>
  <c r="S218" i="33"/>
  <c r="K218" i="33"/>
  <c r="J218" i="33"/>
  <c r="AA218" i="33" s="1"/>
  <c r="G218" i="33"/>
  <c r="AB217" i="33"/>
  <c r="AA217" i="33"/>
  <c r="K217" i="33"/>
  <c r="G217" i="33"/>
  <c r="AB216" i="33"/>
  <c r="AA216" i="33"/>
  <c r="G216" i="33"/>
  <c r="AA215" i="33"/>
  <c r="M215" i="33"/>
  <c r="AB215" i="33" s="1"/>
  <c r="G215" i="33"/>
  <c r="AB214" i="33"/>
  <c r="Y214" i="33"/>
  <c r="X214" i="33"/>
  <c r="M214" i="33"/>
  <c r="J214" i="33"/>
  <c r="AA214" i="33" s="1"/>
  <c r="G214" i="33"/>
  <c r="AB213" i="33"/>
  <c r="AA213" i="33"/>
  <c r="G213" i="33"/>
  <c r="AB212" i="33"/>
  <c r="AA212" i="33"/>
  <c r="G212" i="33"/>
  <c r="Y211" i="33"/>
  <c r="X211" i="33"/>
  <c r="AA211" i="33" s="1"/>
  <c r="M211" i="33"/>
  <c r="AB211" i="33" s="1"/>
  <c r="G211" i="33"/>
  <c r="AA210" i="33"/>
  <c r="M210" i="33"/>
  <c r="AB210" i="33" s="1"/>
  <c r="G210" i="33"/>
  <c r="AB209" i="33"/>
  <c r="AA209" i="33"/>
  <c r="AB208" i="33"/>
  <c r="AA208" i="33"/>
  <c r="G208" i="33"/>
  <c r="AB207" i="33"/>
  <c r="AA207" i="33"/>
  <c r="G207" i="33"/>
  <c r="AB206" i="33"/>
  <c r="AA206" i="33"/>
  <c r="G206" i="33"/>
  <c r="AA205" i="33"/>
  <c r="Y205" i="33"/>
  <c r="AB205" i="33" s="1"/>
  <c r="X205" i="33"/>
  <c r="S205" i="33"/>
  <c r="K205" i="33"/>
  <c r="J205" i="33"/>
  <c r="G205" i="33"/>
  <c r="AB204" i="33"/>
  <c r="S204" i="33"/>
  <c r="K204" i="33"/>
  <c r="J204" i="33"/>
  <c r="AA204" i="33" s="1"/>
  <c r="G204" i="33"/>
  <c r="AB203" i="33"/>
  <c r="S203" i="33"/>
  <c r="K203" i="33"/>
  <c r="J203" i="33"/>
  <c r="AA203" i="33" s="1"/>
  <c r="G203" i="33"/>
  <c r="AB202" i="33"/>
  <c r="AA202" i="33"/>
  <c r="K202" i="33"/>
  <c r="G202" i="33"/>
  <c r="AB201" i="33"/>
  <c r="AA201" i="33"/>
  <c r="G201" i="33"/>
  <c r="AB200" i="33"/>
  <c r="AA200" i="33"/>
  <c r="G200" i="33"/>
  <c r="AB199" i="33"/>
  <c r="AA199" i="33"/>
  <c r="Y199" i="33"/>
  <c r="X199" i="33"/>
  <c r="K199" i="33"/>
  <c r="G199" i="33"/>
  <c r="AA198" i="33"/>
  <c r="Y198" i="33"/>
  <c r="AB198" i="33" s="1"/>
  <c r="X198" i="33"/>
  <c r="G198" i="33"/>
  <c r="AB197" i="33"/>
  <c r="AA197" i="33"/>
  <c r="Y197" i="33"/>
  <c r="X197" i="33"/>
  <c r="G197" i="33"/>
  <c r="AA196" i="33"/>
  <c r="Y196" i="33"/>
  <c r="AB196" i="33" s="1"/>
  <c r="G196" i="33"/>
  <c r="AB195" i="33"/>
  <c r="AA195" i="33"/>
  <c r="G195" i="33"/>
  <c r="AB194" i="33"/>
  <c r="AA194" i="33"/>
  <c r="M194" i="33"/>
  <c r="G194" i="33"/>
  <c r="AB193" i="33"/>
  <c r="AA193" i="33"/>
  <c r="G193" i="33"/>
  <c r="AB192" i="33"/>
  <c r="AA192" i="33"/>
  <c r="G192" i="33"/>
  <c r="AA191" i="33"/>
  <c r="M191" i="33"/>
  <c r="AB191" i="33" s="1"/>
  <c r="G191" i="33"/>
  <c r="AB190" i="33"/>
  <c r="AA190" i="33"/>
  <c r="M190" i="33"/>
  <c r="G190" i="33"/>
  <c r="AA189" i="33"/>
  <c r="M189" i="33"/>
  <c r="AB189" i="33" s="1"/>
  <c r="K189" i="33"/>
  <c r="G189" i="33"/>
  <c r="AB188" i="33"/>
  <c r="AA188" i="33"/>
  <c r="K188" i="33"/>
  <c r="G188" i="33"/>
  <c r="AB187" i="33"/>
  <c r="S187" i="33"/>
  <c r="K187" i="33"/>
  <c r="J187" i="33"/>
  <c r="AA187" i="33" s="1"/>
  <c r="G187" i="33"/>
  <c r="AB186" i="33"/>
  <c r="AA186" i="33"/>
  <c r="K186" i="33"/>
  <c r="G186" i="33"/>
  <c r="AB185" i="33"/>
  <c r="AA185" i="33"/>
  <c r="K185" i="33"/>
  <c r="G185" i="33"/>
  <c r="AB184" i="33"/>
  <c r="AA184" i="33"/>
  <c r="K184" i="33"/>
  <c r="G184" i="33"/>
  <c r="AB183" i="33"/>
  <c r="Y183" i="33"/>
  <c r="X183" i="33"/>
  <c r="S183" i="33"/>
  <c r="K183" i="33"/>
  <c r="J183" i="33"/>
  <c r="AA183" i="33" s="1"/>
  <c r="G183" i="33"/>
  <c r="Y182" i="33"/>
  <c r="AB182" i="33" s="1"/>
  <c r="X182" i="33"/>
  <c r="AA182" i="33" s="1"/>
  <c r="G182" i="33"/>
  <c r="AB181" i="33"/>
  <c r="AA181" i="33"/>
  <c r="K181" i="33"/>
  <c r="G181" i="33"/>
  <c r="AB180" i="33"/>
  <c r="S180" i="33"/>
  <c r="K180" i="33"/>
  <c r="J180" i="33"/>
  <c r="AA180" i="33" s="1"/>
  <c r="G180" i="33"/>
  <c r="AB179" i="33"/>
  <c r="AA179" i="33"/>
  <c r="G179" i="33"/>
  <c r="AB178" i="33"/>
  <c r="AA178" i="33"/>
  <c r="G178" i="33"/>
  <c r="AB177" i="33"/>
  <c r="Y177" i="33"/>
  <c r="X177" i="33"/>
  <c r="AA177" i="33" s="1"/>
  <c r="G177" i="33"/>
  <c r="AB176" i="33"/>
  <c r="AA176" i="33"/>
  <c r="G176" i="33"/>
  <c r="AB175" i="33"/>
  <c r="AA175" i="33"/>
  <c r="G175" i="33"/>
  <c r="AB174" i="33"/>
  <c r="AA174" i="33"/>
  <c r="G174" i="33"/>
  <c r="Y173" i="33"/>
  <c r="AB173" i="33" s="1"/>
  <c r="X173" i="33"/>
  <c r="AA173" i="33" s="1"/>
  <c r="S173" i="33"/>
  <c r="K173" i="33"/>
  <c r="J173" i="33"/>
  <c r="G173" i="33"/>
  <c r="AB172" i="33"/>
  <c r="AA172" i="33"/>
  <c r="G172" i="33"/>
  <c r="AB171" i="33"/>
  <c r="AA171" i="33"/>
  <c r="K171" i="33"/>
  <c r="G171" i="33"/>
  <c r="AB170" i="33"/>
  <c r="AA170" i="33"/>
  <c r="K170" i="33"/>
  <c r="G170" i="33"/>
  <c r="AB169" i="33"/>
  <c r="AA169" i="33"/>
  <c r="G169" i="33"/>
  <c r="AB168" i="33"/>
  <c r="S168" i="33"/>
  <c r="K168" i="33"/>
  <c r="J168" i="33"/>
  <c r="AA168" i="33" s="1"/>
  <c r="G168" i="33"/>
  <c r="AB167" i="33"/>
  <c r="AA167" i="33"/>
  <c r="K167" i="33"/>
  <c r="G167" i="33"/>
  <c r="AB166" i="33"/>
  <c r="AA166" i="33"/>
  <c r="Y166" i="33"/>
  <c r="X166" i="33"/>
  <c r="G166" i="33"/>
  <c r="AB165" i="33"/>
  <c r="AA165" i="33"/>
  <c r="G165" i="33"/>
  <c r="AB164" i="33"/>
  <c r="AA164" i="33"/>
  <c r="K164" i="33"/>
  <c r="G164" i="33"/>
  <c r="AB163" i="33"/>
  <c r="AA163" i="33"/>
  <c r="Y163" i="33"/>
  <c r="X163" i="33"/>
  <c r="G163" i="33"/>
  <c r="Y162" i="33"/>
  <c r="AB162" i="33" s="1"/>
  <c r="X162" i="33"/>
  <c r="AA162" i="33" s="1"/>
  <c r="G162" i="33"/>
  <c r="Y161" i="33"/>
  <c r="AB161" i="33" s="1"/>
  <c r="X161" i="33"/>
  <c r="AA161" i="33" s="1"/>
  <c r="G161" i="33"/>
  <c r="Y160" i="33"/>
  <c r="AB160" i="33" s="1"/>
  <c r="X160" i="33"/>
  <c r="AA160" i="33" s="1"/>
  <c r="G160" i="33"/>
  <c r="AB159" i="33"/>
  <c r="AA159" i="33"/>
  <c r="Y159" i="33"/>
  <c r="X159" i="33"/>
  <c r="G159" i="33"/>
  <c r="AB158" i="33"/>
  <c r="AA158" i="33"/>
  <c r="G158" i="33"/>
  <c r="Y157" i="33"/>
  <c r="AB157" i="33" s="1"/>
  <c r="X157" i="33"/>
  <c r="AA157" i="33" s="1"/>
  <c r="G157" i="33"/>
  <c r="AB156" i="33"/>
  <c r="Y156" i="33"/>
  <c r="X156" i="33"/>
  <c r="AA156" i="33" s="1"/>
  <c r="G156" i="33"/>
  <c r="AB155" i="33"/>
  <c r="AA155" i="33"/>
  <c r="G155" i="33"/>
  <c r="AB154" i="33"/>
  <c r="AA154" i="33"/>
  <c r="K154" i="33"/>
  <c r="G154" i="33"/>
  <c r="AB153" i="33"/>
  <c r="Y153" i="33"/>
  <c r="X153" i="33"/>
  <c r="AA153" i="33" s="1"/>
  <c r="G153" i="33"/>
  <c r="AB152" i="33"/>
  <c r="AA152" i="33"/>
  <c r="G152" i="33"/>
  <c r="AB151" i="33"/>
  <c r="AA151" i="33"/>
  <c r="G151" i="33"/>
  <c r="AB150" i="33"/>
  <c r="AA150" i="33"/>
  <c r="AB149" i="33"/>
  <c r="AA149" i="33"/>
  <c r="G149" i="33"/>
  <c r="AB148" i="33"/>
  <c r="AA148" i="33"/>
  <c r="G148" i="33"/>
  <c r="AB147" i="33"/>
  <c r="AA147" i="33"/>
  <c r="G147" i="33"/>
  <c r="AB146" i="33"/>
  <c r="AA146" i="33"/>
  <c r="G146" i="33"/>
  <c r="AB145" i="33"/>
  <c r="AA145" i="33"/>
  <c r="G145" i="33"/>
  <c r="AB144" i="33"/>
  <c r="AA144" i="33"/>
  <c r="G144" i="33"/>
  <c r="AB143" i="33"/>
  <c r="AA143" i="33"/>
  <c r="G143" i="33"/>
  <c r="AB142" i="33"/>
  <c r="AA142" i="33"/>
  <c r="G142" i="33"/>
  <c r="AB141" i="33"/>
  <c r="AA141" i="33"/>
  <c r="G141" i="33"/>
  <c r="AB140" i="33"/>
  <c r="AA140" i="33"/>
  <c r="G140" i="33"/>
  <c r="AB139" i="33"/>
  <c r="AA139" i="33"/>
  <c r="G139" i="33"/>
  <c r="AB138" i="33"/>
  <c r="AA138" i="33"/>
  <c r="G138" i="33"/>
  <c r="AB137" i="33"/>
  <c r="AA137" i="33"/>
  <c r="G137" i="33"/>
  <c r="AB136" i="33"/>
  <c r="AA136" i="33"/>
  <c r="G136" i="33"/>
  <c r="AB135" i="33"/>
  <c r="AA135" i="33"/>
  <c r="K135" i="33"/>
  <c r="G135" i="33"/>
  <c r="AB134" i="33"/>
  <c r="AA134" i="33"/>
  <c r="G134" i="33"/>
  <c r="AB133" i="33"/>
  <c r="AA133" i="33"/>
  <c r="J133" i="33"/>
  <c r="G133" i="33"/>
  <c r="Y132" i="33"/>
  <c r="X132" i="33"/>
  <c r="M132" i="33"/>
  <c r="AB132" i="33" s="1"/>
  <c r="J132" i="33"/>
  <c r="AA132" i="33" s="1"/>
  <c r="G132" i="33"/>
  <c r="AA131" i="33"/>
  <c r="M131" i="33"/>
  <c r="AB131" i="33" s="1"/>
  <c r="G131" i="33"/>
  <c r="AB130" i="33"/>
  <c r="AA130" i="33"/>
  <c r="G130" i="33"/>
  <c r="AB129" i="33"/>
  <c r="AA129" i="33"/>
  <c r="G129" i="33"/>
  <c r="AB128" i="33"/>
  <c r="AA128" i="33"/>
  <c r="G128" i="33"/>
  <c r="AA127" i="33"/>
  <c r="M127" i="33"/>
  <c r="AB127" i="33" s="1"/>
  <c r="G127" i="33"/>
  <c r="AB126" i="33"/>
  <c r="AA126" i="33"/>
  <c r="G126" i="33"/>
  <c r="AB125" i="33"/>
  <c r="AA125" i="33"/>
  <c r="G125" i="33"/>
  <c r="AB124" i="33"/>
  <c r="AA124" i="33"/>
  <c r="G124" i="33"/>
  <c r="AB123" i="33"/>
  <c r="AA123" i="33"/>
  <c r="X123" i="33"/>
  <c r="G123" i="33"/>
  <c r="AB122" i="33"/>
  <c r="AA122" i="33"/>
  <c r="G122" i="33"/>
  <c r="AB121" i="33"/>
  <c r="AA121" i="33"/>
  <c r="K121" i="33"/>
  <c r="G121" i="33"/>
  <c r="AB120" i="33"/>
  <c r="AA120" i="33"/>
  <c r="K120" i="33"/>
  <c r="G120" i="33"/>
  <c r="AB119" i="33"/>
  <c r="AA119" i="33"/>
  <c r="K119" i="33"/>
  <c r="G119" i="33"/>
  <c r="AA118" i="33"/>
  <c r="Y118" i="33"/>
  <c r="AB118" i="33" s="1"/>
  <c r="X118" i="33"/>
  <c r="G118" i="33"/>
  <c r="AB117" i="33"/>
  <c r="AA117" i="33"/>
  <c r="K117" i="33"/>
  <c r="G117" i="33"/>
  <c r="AB116" i="33"/>
  <c r="AA116" i="33"/>
  <c r="S116" i="33"/>
  <c r="K116" i="33"/>
  <c r="J116" i="33"/>
  <c r="G116" i="33"/>
  <c r="AB115" i="33"/>
  <c r="AA115" i="33"/>
  <c r="G115" i="33"/>
  <c r="AB114" i="33"/>
  <c r="AA114" i="33"/>
  <c r="G114" i="33"/>
  <c r="AB113" i="33"/>
  <c r="AA113" i="33"/>
  <c r="G113" i="33"/>
  <c r="AB112" i="33"/>
  <c r="AA112" i="33"/>
  <c r="G112" i="33"/>
  <c r="AB111" i="33"/>
  <c r="AA111" i="33"/>
  <c r="G111" i="33"/>
  <c r="AB110" i="33"/>
  <c r="AA110" i="33"/>
  <c r="K110" i="33"/>
  <c r="G110" i="33"/>
  <c r="AB109" i="33"/>
  <c r="K109" i="33"/>
  <c r="J109" i="33"/>
  <c r="AA109" i="33" s="1"/>
  <c r="G109" i="33"/>
  <c r="Y108" i="33"/>
  <c r="AB108" i="33" s="1"/>
  <c r="X108" i="33"/>
  <c r="AA108" i="33" s="1"/>
  <c r="K108" i="33"/>
  <c r="G108" i="33"/>
  <c r="AB107" i="33"/>
  <c r="AA107" i="33"/>
  <c r="K107" i="33"/>
  <c r="G107" i="33"/>
  <c r="AB106" i="33"/>
  <c r="AA106" i="33"/>
  <c r="K106" i="33"/>
  <c r="G106" i="33"/>
  <c r="AB105" i="33"/>
  <c r="AA105" i="33"/>
  <c r="K105" i="33"/>
  <c r="G105" i="33"/>
  <c r="AB104" i="33"/>
  <c r="AA104" i="33"/>
  <c r="K104" i="33"/>
  <c r="G104" i="33"/>
  <c r="AB103" i="33"/>
  <c r="AA103" i="33"/>
  <c r="K103" i="33"/>
  <c r="G103" i="33"/>
  <c r="AB102" i="33"/>
  <c r="AA102" i="33"/>
  <c r="K102" i="33"/>
  <c r="G102" i="33"/>
  <c r="AA101" i="33"/>
  <c r="M101" i="33"/>
  <c r="AB101" i="33" s="1"/>
  <c r="K101" i="33"/>
  <c r="G101" i="33"/>
  <c r="AB100" i="33"/>
  <c r="AA100" i="33"/>
  <c r="G100" i="33"/>
  <c r="AB99" i="33"/>
  <c r="AA99" i="33"/>
  <c r="K99" i="33"/>
  <c r="G99" i="33"/>
  <c r="AB98" i="33"/>
  <c r="AA98" i="33"/>
  <c r="K98" i="33"/>
  <c r="G98" i="33"/>
  <c r="AB97" i="33"/>
  <c r="AA97" i="33"/>
  <c r="K97" i="33"/>
  <c r="G97" i="33"/>
  <c r="AB96" i="33"/>
  <c r="AA96" i="33"/>
  <c r="K96" i="33"/>
  <c r="G96" i="33"/>
  <c r="AA95" i="33"/>
  <c r="Y95" i="33"/>
  <c r="AB95" i="33" s="1"/>
  <c r="X95" i="33"/>
  <c r="G95" i="33"/>
  <c r="AB94" i="33"/>
  <c r="Y94" i="33"/>
  <c r="X94" i="33"/>
  <c r="AA94" i="33" s="1"/>
  <c r="M94" i="33"/>
  <c r="G94" i="33"/>
  <c r="AA93" i="33"/>
  <c r="M93" i="33"/>
  <c r="AB93" i="33" s="1"/>
  <c r="G93" i="33"/>
  <c r="AB92" i="33"/>
  <c r="AA92" i="33"/>
  <c r="G92" i="33"/>
  <c r="AB91" i="33"/>
  <c r="AA91" i="33"/>
  <c r="G91" i="33"/>
  <c r="AB90" i="33"/>
  <c r="AA90" i="33"/>
  <c r="G90" i="33"/>
  <c r="AA89" i="33"/>
  <c r="Y89" i="33"/>
  <c r="X89" i="33"/>
  <c r="S89" i="33"/>
  <c r="M89" i="33"/>
  <c r="AB89" i="33" s="1"/>
  <c r="J89" i="33"/>
  <c r="G89" i="33"/>
  <c r="AB88" i="33"/>
  <c r="AA88" i="33"/>
  <c r="M88" i="33"/>
  <c r="G88" i="33"/>
  <c r="AA87" i="33"/>
  <c r="M87" i="33"/>
  <c r="AB87" i="33" s="1"/>
  <c r="G87" i="33"/>
  <c r="AB86" i="33"/>
  <c r="AA86" i="33"/>
  <c r="K86" i="33"/>
  <c r="G86" i="33"/>
  <c r="AB85" i="33"/>
  <c r="AA85" i="33"/>
  <c r="K85" i="33"/>
  <c r="G85" i="33"/>
  <c r="AB84" i="33"/>
  <c r="AA84" i="33"/>
  <c r="K84" i="33"/>
  <c r="G84" i="33"/>
  <c r="AB83" i="33"/>
  <c r="AA83" i="33"/>
  <c r="K83" i="33"/>
  <c r="G83" i="33"/>
  <c r="AB82" i="33"/>
  <c r="AA82" i="33"/>
  <c r="K82" i="33"/>
  <c r="G82" i="33"/>
  <c r="AB81" i="33"/>
  <c r="AA81" i="33"/>
  <c r="K81" i="33"/>
  <c r="G81" i="33"/>
  <c r="AB80" i="33"/>
  <c r="AA80" i="33"/>
  <c r="K80" i="33"/>
  <c r="G80" i="33"/>
  <c r="AB79" i="33"/>
  <c r="AA79" i="33"/>
  <c r="K79" i="33"/>
  <c r="G79" i="33"/>
  <c r="AB78" i="33"/>
  <c r="AA78" i="33"/>
  <c r="K78" i="33"/>
  <c r="G78" i="33"/>
  <c r="AB77" i="33"/>
  <c r="AA77" i="33"/>
  <c r="K77" i="33"/>
  <c r="G77" i="33"/>
  <c r="AB76" i="33"/>
  <c r="AA76" i="33"/>
  <c r="Y76" i="33"/>
  <c r="X76" i="33"/>
  <c r="K76" i="33"/>
  <c r="G76" i="33"/>
  <c r="AB75" i="33"/>
  <c r="AA75" i="33"/>
  <c r="K75" i="33"/>
  <c r="G75" i="33"/>
  <c r="Y74" i="33"/>
  <c r="AB74" i="33" s="1"/>
  <c r="X74" i="33"/>
  <c r="AA74" i="33" s="1"/>
  <c r="K74" i="33"/>
  <c r="G74" i="33"/>
  <c r="AA73" i="33"/>
  <c r="Y73" i="33"/>
  <c r="X73" i="33"/>
  <c r="M73" i="33"/>
  <c r="AB73" i="33" s="1"/>
  <c r="K73" i="33"/>
  <c r="G73" i="33"/>
  <c r="AA72" i="33"/>
  <c r="Y72" i="33"/>
  <c r="AB72" i="33" s="1"/>
  <c r="X72" i="33"/>
  <c r="K72" i="33"/>
  <c r="G72" i="33"/>
  <c r="AB71" i="33"/>
  <c r="Y71" i="33"/>
  <c r="X71" i="33"/>
  <c r="AA71" i="33" s="1"/>
  <c r="K71" i="33"/>
  <c r="G71" i="33"/>
  <c r="AB70" i="33"/>
  <c r="AA70" i="33"/>
  <c r="N70" i="33"/>
  <c r="G70" i="33"/>
  <c r="Y69" i="33"/>
  <c r="X69" i="33"/>
  <c r="AA69" i="33" s="1"/>
  <c r="N69" i="33"/>
  <c r="M69" i="33"/>
  <c r="AB69" i="33" s="1"/>
  <c r="G69" i="33"/>
  <c r="Y68" i="33"/>
  <c r="X68" i="33"/>
  <c r="AA68" i="33" s="1"/>
  <c r="N68" i="33"/>
  <c r="M68" i="33"/>
  <c r="AB68" i="33" s="1"/>
  <c r="G68" i="33"/>
  <c r="AB67" i="33"/>
  <c r="Y67" i="33"/>
  <c r="X67" i="33"/>
  <c r="S67" i="33"/>
  <c r="N67" i="33"/>
  <c r="M67" i="33"/>
  <c r="J67" i="33"/>
  <c r="AA67" i="33" s="1"/>
  <c r="G67" i="33"/>
  <c r="AB66" i="33"/>
  <c r="Y66" i="33"/>
  <c r="X66" i="33"/>
  <c r="AA66" i="33" s="1"/>
  <c r="M66" i="33"/>
  <c r="G66" i="33"/>
  <c r="AB65" i="33"/>
  <c r="AA65" i="33"/>
  <c r="Y65" i="33"/>
  <c r="X65" i="33"/>
  <c r="G65" i="33"/>
  <c r="AB64" i="33"/>
  <c r="AA64" i="33"/>
  <c r="N64" i="33"/>
  <c r="G64" i="33"/>
  <c r="AB63" i="33"/>
  <c r="AA63" i="33"/>
  <c r="N63" i="33"/>
  <c r="G63" i="33"/>
  <c r="AB62" i="33"/>
  <c r="Y62" i="33"/>
  <c r="X62" i="33"/>
  <c r="AA62" i="33" s="1"/>
  <c r="N62" i="33"/>
  <c r="M62" i="33"/>
  <c r="G62" i="33"/>
  <c r="AA61" i="33"/>
  <c r="Y61" i="33"/>
  <c r="X61" i="33"/>
  <c r="N61" i="33"/>
  <c r="M61" i="33"/>
  <c r="AB61" i="33" s="1"/>
  <c r="G61" i="33"/>
  <c r="AA60" i="33"/>
  <c r="Y60" i="33"/>
  <c r="AB60" i="33" s="1"/>
  <c r="X60" i="33"/>
  <c r="N60" i="33"/>
  <c r="G60" i="33"/>
  <c r="AB59" i="33"/>
  <c r="AA59" i="33"/>
  <c r="N59" i="33"/>
  <c r="G59" i="33"/>
  <c r="AB58" i="33"/>
  <c r="Y58" i="33"/>
  <c r="X58" i="33"/>
  <c r="AA58" i="33" s="1"/>
  <c r="N58" i="33"/>
  <c r="G58" i="33"/>
  <c r="AB57" i="33"/>
  <c r="AA57" i="33"/>
  <c r="G57" i="33"/>
  <c r="AB56" i="33"/>
  <c r="AA56" i="33"/>
  <c r="N56" i="33"/>
  <c r="G56" i="33"/>
  <c r="AB55" i="33"/>
  <c r="AA55" i="33"/>
  <c r="N55" i="33"/>
  <c r="G55" i="33"/>
  <c r="AB54" i="33"/>
  <c r="Y54" i="33"/>
  <c r="S54" i="33"/>
  <c r="N54" i="33"/>
  <c r="J54" i="33"/>
  <c r="AA54" i="33" s="1"/>
  <c r="G54" i="33"/>
  <c r="AB53" i="33"/>
  <c r="AA53" i="33"/>
  <c r="N53" i="33"/>
  <c r="G53" i="33"/>
  <c r="AB52" i="33"/>
  <c r="Y52" i="33"/>
  <c r="X52" i="33"/>
  <c r="S52" i="33"/>
  <c r="N52" i="33"/>
  <c r="J52" i="33"/>
  <c r="AA52" i="33" s="1"/>
  <c r="G52" i="33"/>
  <c r="AB51" i="33"/>
  <c r="Y51" i="33"/>
  <c r="X51" i="33"/>
  <c r="S51" i="33"/>
  <c r="N51" i="33"/>
  <c r="J51" i="33"/>
  <c r="AA51" i="33" s="1"/>
  <c r="G51" i="33"/>
  <c r="AB50" i="33"/>
  <c r="Y50" i="33"/>
  <c r="X50" i="33"/>
  <c r="AA50" i="33" s="1"/>
  <c r="N50" i="33"/>
  <c r="G50" i="33"/>
  <c r="AB49" i="33"/>
  <c r="AA49" i="33"/>
  <c r="S49" i="33"/>
  <c r="N49" i="33"/>
  <c r="K49" i="33"/>
  <c r="J49" i="33"/>
  <c r="G49" i="33"/>
  <c r="AB48" i="33"/>
  <c r="AA48" i="33"/>
  <c r="G48" i="33"/>
  <c r="AB47" i="33"/>
  <c r="AA47" i="33"/>
  <c r="G47" i="33"/>
  <c r="AB46" i="33"/>
  <c r="AA46" i="33"/>
  <c r="G46" i="33"/>
  <c r="AB45" i="33"/>
  <c r="AA45" i="33"/>
  <c r="G45" i="33"/>
  <c r="AB44" i="33"/>
  <c r="AA44" i="33"/>
  <c r="G44" i="33"/>
  <c r="AB43" i="33"/>
  <c r="AA43" i="33"/>
  <c r="G43" i="33"/>
  <c r="AB42" i="33"/>
  <c r="AA42" i="33"/>
  <c r="G42" i="33"/>
  <c r="AB41" i="33"/>
  <c r="AA41" i="33"/>
  <c r="G41" i="33"/>
  <c r="AB40" i="33"/>
  <c r="AA40" i="33"/>
  <c r="G40" i="33"/>
  <c r="AB39" i="33"/>
  <c r="AA39" i="33"/>
  <c r="G39" i="33"/>
  <c r="AB38" i="33"/>
  <c r="AA38" i="33"/>
  <c r="K38" i="33"/>
  <c r="G38" i="33"/>
  <c r="AB37" i="33"/>
  <c r="AA37" i="33"/>
  <c r="K37" i="33"/>
  <c r="G37" i="33"/>
  <c r="AB36" i="33"/>
  <c r="AA36" i="33"/>
  <c r="K36" i="33"/>
  <c r="G36" i="33"/>
  <c r="AB35" i="33"/>
  <c r="AA35" i="33"/>
  <c r="G35" i="33"/>
  <c r="AB34" i="33"/>
  <c r="AA34" i="33"/>
  <c r="G34" i="33"/>
  <c r="AB33" i="33"/>
  <c r="AA33" i="33"/>
  <c r="G33" i="33"/>
  <c r="AB32" i="33"/>
  <c r="AA32" i="33"/>
  <c r="K32" i="33"/>
  <c r="G32" i="33"/>
  <c r="AB31" i="33"/>
  <c r="AA31" i="33"/>
  <c r="K31" i="33"/>
  <c r="G31" i="33"/>
  <c r="AB30" i="33"/>
  <c r="AA30" i="33"/>
  <c r="K30" i="33"/>
  <c r="G30" i="33"/>
  <c r="AB29" i="33"/>
  <c r="AA29" i="33"/>
  <c r="G29" i="33"/>
  <c r="AB28" i="33"/>
  <c r="AA28" i="33"/>
  <c r="G28" i="33"/>
  <c r="AB27" i="33"/>
  <c r="AA27" i="33"/>
  <c r="G27" i="33"/>
  <c r="AB26" i="33"/>
  <c r="AA26" i="33"/>
  <c r="G26" i="33"/>
  <c r="AB25" i="33"/>
  <c r="S25" i="33"/>
  <c r="K25" i="33"/>
  <c r="J25" i="33"/>
  <c r="AA25" i="33" s="1"/>
  <c r="G25" i="33"/>
  <c r="AB24" i="33"/>
  <c r="AA24" i="33"/>
  <c r="K24" i="33"/>
  <c r="G24" i="33"/>
  <c r="AB23" i="33"/>
  <c r="AA23" i="33"/>
  <c r="G23" i="33"/>
  <c r="AB22" i="33"/>
  <c r="AA22" i="33"/>
  <c r="G22" i="33"/>
  <c r="AB21" i="33"/>
  <c r="AA21" i="33"/>
  <c r="G21" i="33"/>
  <c r="AA20" i="33"/>
  <c r="Y20" i="33"/>
  <c r="AB20" i="33" s="1"/>
  <c r="X20" i="33"/>
  <c r="G20" i="33"/>
  <c r="AB19" i="33"/>
  <c r="Y19" i="33"/>
  <c r="X19" i="33"/>
  <c r="AA19" i="33" s="1"/>
  <c r="K19" i="33"/>
  <c r="G19" i="33"/>
  <c r="AB18" i="33"/>
  <c r="AA18" i="33"/>
  <c r="G18" i="33"/>
  <c r="AB17" i="33"/>
  <c r="AA17" i="33"/>
  <c r="G17" i="33"/>
  <c r="AB16" i="33"/>
  <c r="AA16" i="33"/>
  <c r="G16" i="33"/>
  <c r="AB15" i="33"/>
  <c r="AA15" i="33"/>
  <c r="G15" i="33"/>
  <c r="Y14" i="33"/>
  <c r="AB14" i="33" s="1"/>
  <c r="X14" i="33"/>
  <c r="AA14" i="33" s="1"/>
  <c r="K14" i="33"/>
  <c r="G14" i="33"/>
  <c r="AB13" i="33"/>
  <c r="Y13" i="33"/>
  <c r="X13" i="33"/>
  <c r="AA13" i="33" s="1"/>
  <c r="K13" i="33"/>
  <c r="G13" i="33"/>
  <c r="AB12" i="33"/>
  <c r="AA12" i="33"/>
  <c r="K12" i="33"/>
  <c r="G12" i="33"/>
  <c r="AB322" i="32"/>
  <c r="AA322" i="32"/>
  <c r="AB321" i="32"/>
  <c r="AA321" i="32"/>
  <c r="AB320" i="32"/>
  <c r="AA320" i="32"/>
  <c r="AB319" i="32"/>
  <c r="AA319" i="32"/>
  <c r="AB318" i="32"/>
  <c r="AA318" i="32"/>
  <c r="AB317" i="32"/>
  <c r="AA317" i="32"/>
  <c r="AB316" i="32"/>
  <c r="AA316" i="32"/>
  <c r="AB315" i="32"/>
  <c r="AA315" i="32"/>
  <c r="AB314" i="32"/>
  <c r="AA314" i="32"/>
  <c r="AB313" i="32"/>
  <c r="AA313" i="32"/>
  <c r="AB312" i="32"/>
  <c r="AA312" i="32"/>
  <c r="AB311" i="32"/>
  <c r="AA311" i="32"/>
  <c r="G311" i="32"/>
  <c r="AB310" i="32"/>
  <c r="AA310" i="32"/>
  <c r="G310" i="32"/>
  <c r="Y309" i="32"/>
  <c r="AB309" i="32" s="1"/>
  <c r="X309" i="32"/>
  <c r="AA309" i="32" s="1"/>
  <c r="G309" i="32"/>
  <c r="AB308" i="32"/>
  <c r="AA308" i="32"/>
  <c r="G308" i="32"/>
  <c r="AB307" i="32"/>
  <c r="AA307" i="32"/>
  <c r="AB306" i="32"/>
  <c r="AA306" i="32"/>
  <c r="K306" i="32"/>
  <c r="G306" i="32"/>
  <c r="AB305" i="32"/>
  <c r="AA305" i="32"/>
  <c r="G305" i="32"/>
  <c r="AB304" i="32"/>
  <c r="AA304" i="32"/>
  <c r="G304" i="32"/>
  <c r="AB303" i="32"/>
  <c r="AA303" i="32"/>
  <c r="G303" i="32"/>
  <c r="AB302" i="32"/>
  <c r="AA302" i="32"/>
  <c r="G302" i="32"/>
  <c r="AB301" i="32"/>
  <c r="AA301" i="32"/>
  <c r="G301" i="32"/>
  <c r="AB300" i="32"/>
  <c r="AA300" i="32"/>
  <c r="G300" i="32"/>
  <c r="AB299" i="32"/>
  <c r="AA299" i="32"/>
  <c r="G299" i="32"/>
  <c r="Y298" i="32"/>
  <c r="AB298" i="32" s="1"/>
  <c r="X298" i="32"/>
  <c r="AA298" i="32" s="1"/>
  <c r="G298" i="32"/>
  <c r="AB297" i="32"/>
  <c r="AA297" i="32"/>
  <c r="G297" i="32"/>
  <c r="AB296" i="32"/>
  <c r="AA296" i="32"/>
  <c r="G296" i="32"/>
  <c r="AB295" i="32"/>
  <c r="AA295" i="32"/>
  <c r="G295" i="32"/>
  <c r="AB294" i="32"/>
  <c r="AA294" i="32"/>
  <c r="G294" i="32"/>
  <c r="AB293" i="32"/>
  <c r="AA293" i="32"/>
  <c r="G293" i="32"/>
  <c r="AB292" i="32"/>
  <c r="AA292" i="32"/>
  <c r="K292" i="32"/>
  <c r="G292" i="32"/>
  <c r="AB291" i="32"/>
  <c r="K291" i="32"/>
  <c r="J291" i="32"/>
  <c r="AA291" i="32" s="1"/>
  <c r="G291" i="32"/>
  <c r="Y290" i="32"/>
  <c r="AB290" i="32" s="1"/>
  <c r="X290" i="32"/>
  <c r="J290" i="32"/>
  <c r="AA290" i="32" s="1"/>
  <c r="G290" i="32"/>
  <c r="AB289" i="32"/>
  <c r="AA289" i="32"/>
  <c r="G289" i="32"/>
  <c r="AB288" i="32"/>
  <c r="AA288" i="32"/>
  <c r="K288" i="32"/>
  <c r="J288" i="32"/>
  <c r="G288" i="32"/>
  <c r="AB287" i="32"/>
  <c r="AA287" i="32"/>
  <c r="K287" i="32"/>
  <c r="G287" i="32"/>
  <c r="AB286" i="32"/>
  <c r="AA286" i="32"/>
  <c r="M286" i="32"/>
  <c r="K286" i="32"/>
  <c r="G286" i="32"/>
  <c r="AB285" i="32"/>
  <c r="Y285" i="32"/>
  <c r="X285" i="32"/>
  <c r="AA285" i="32" s="1"/>
  <c r="K285" i="32"/>
  <c r="G285" i="32"/>
  <c r="AB284" i="32"/>
  <c r="AA284" i="32"/>
  <c r="K284" i="32"/>
  <c r="G284" i="32"/>
  <c r="AB283" i="32"/>
  <c r="AA283" i="32"/>
  <c r="K283" i="32"/>
  <c r="G283" i="32"/>
  <c r="AB282" i="32"/>
  <c r="AA282" i="32"/>
  <c r="K282" i="32"/>
  <c r="G282" i="32"/>
  <c r="AB281" i="32"/>
  <c r="AA281" i="32"/>
  <c r="K281" i="32"/>
  <c r="G281" i="32"/>
  <c r="AB280" i="32"/>
  <c r="AA280" i="32"/>
  <c r="K280" i="32"/>
  <c r="G280" i="32"/>
  <c r="AA279" i="32"/>
  <c r="Y279" i="32"/>
  <c r="X279" i="32"/>
  <c r="M279" i="32"/>
  <c r="AB279" i="32" s="1"/>
  <c r="G279" i="32"/>
  <c r="AB278" i="32"/>
  <c r="AA278" i="32"/>
  <c r="G278" i="32"/>
  <c r="AB277" i="32"/>
  <c r="AA277" i="32"/>
  <c r="Y277" i="32"/>
  <c r="X277" i="32"/>
  <c r="G277" i="32"/>
  <c r="AB276" i="32"/>
  <c r="AA276" i="32"/>
  <c r="G276" i="32"/>
  <c r="AB275" i="32"/>
  <c r="AA275" i="32"/>
  <c r="G275" i="32"/>
  <c r="AB274" i="32"/>
  <c r="AA274" i="32"/>
  <c r="G274" i="32"/>
  <c r="Y273" i="32"/>
  <c r="AB273" i="32" s="1"/>
  <c r="X273" i="32"/>
  <c r="AA273" i="32" s="1"/>
  <c r="G273" i="32"/>
  <c r="AB272" i="32"/>
  <c r="AA272" i="32"/>
  <c r="Y272" i="32"/>
  <c r="X272" i="32"/>
  <c r="K272" i="32"/>
  <c r="G272" i="32"/>
  <c r="AB271" i="32"/>
  <c r="AA271" i="32"/>
  <c r="G271" i="32"/>
  <c r="AB270" i="32"/>
  <c r="AA270" i="32"/>
  <c r="G270" i="32"/>
  <c r="AB269" i="32"/>
  <c r="AA269" i="32"/>
  <c r="G269" i="32"/>
  <c r="AB268" i="32"/>
  <c r="AA268" i="32"/>
  <c r="G268" i="32"/>
  <c r="AB267" i="32"/>
  <c r="AA267" i="32"/>
  <c r="G267" i="32"/>
  <c r="AB266" i="32"/>
  <c r="AA266" i="32"/>
  <c r="G266" i="32"/>
  <c r="AB265" i="32"/>
  <c r="AA265" i="32"/>
  <c r="G265" i="32"/>
  <c r="AB264" i="32"/>
  <c r="AA264" i="32"/>
  <c r="G264" i="32"/>
  <c r="AB263" i="32"/>
  <c r="AA263" i="32"/>
  <c r="M263" i="32"/>
  <c r="G263" i="32"/>
  <c r="AB262" i="32"/>
  <c r="AA262" i="32"/>
  <c r="G262" i="32"/>
  <c r="AB261" i="32"/>
  <c r="Y261" i="32"/>
  <c r="X261" i="32"/>
  <c r="AA261" i="32" s="1"/>
  <c r="G261" i="32"/>
  <c r="AB260" i="32"/>
  <c r="AA260" i="32"/>
  <c r="G260" i="32"/>
  <c r="AB259" i="32"/>
  <c r="AA259" i="32"/>
  <c r="G259" i="32"/>
  <c r="AB258" i="32"/>
  <c r="AA258" i="32"/>
  <c r="G258" i="32"/>
  <c r="AB257" i="32"/>
  <c r="AA257" i="32"/>
  <c r="G257" i="32"/>
  <c r="AB256" i="32"/>
  <c r="AA256" i="32"/>
  <c r="G256" i="32"/>
  <c r="AB255" i="32"/>
  <c r="AA255" i="32"/>
  <c r="G255" i="32"/>
  <c r="AB254" i="32"/>
  <c r="AA254" i="32"/>
  <c r="G254" i="32"/>
  <c r="AB253" i="32"/>
  <c r="AA253" i="32"/>
  <c r="G253" i="32"/>
  <c r="AB252" i="32"/>
  <c r="AA252" i="32"/>
  <c r="G252" i="32"/>
  <c r="AB251" i="32"/>
  <c r="AA251" i="32"/>
  <c r="G251" i="32"/>
  <c r="AB250" i="32"/>
  <c r="AA250" i="32"/>
  <c r="G250" i="32"/>
  <c r="AB249" i="32"/>
  <c r="AA249" i="32"/>
  <c r="G249" i="32"/>
  <c r="AB248" i="32"/>
  <c r="AA248" i="32"/>
  <c r="G248" i="32"/>
  <c r="AB247" i="32"/>
  <c r="AA247" i="32"/>
  <c r="G247" i="32"/>
  <c r="AB246" i="32"/>
  <c r="AA246" i="32"/>
  <c r="G246" i="32"/>
  <c r="AB245" i="32"/>
  <c r="AA245" i="32"/>
  <c r="G245" i="32"/>
  <c r="AB244" i="32"/>
  <c r="AA244" i="32"/>
  <c r="G244" i="32"/>
  <c r="AB243" i="32"/>
  <c r="AA243" i="32"/>
  <c r="G243" i="32"/>
  <c r="AB242" i="32"/>
  <c r="AA242" i="32"/>
  <c r="G242" i="32"/>
  <c r="AB241" i="32"/>
  <c r="AA241" i="32"/>
  <c r="G241" i="32"/>
  <c r="AB240" i="32"/>
  <c r="AA240" i="32"/>
  <c r="G240" i="32"/>
  <c r="AB239" i="32"/>
  <c r="AA239" i="32"/>
  <c r="G239" i="32"/>
  <c r="AB238" i="32"/>
  <c r="AA238" i="32"/>
  <c r="K238" i="32"/>
  <c r="G238" i="32"/>
  <c r="AB237" i="32"/>
  <c r="AA237" i="32"/>
  <c r="G237" i="32"/>
  <c r="AB236" i="32"/>
  <c r="AA236" i="32"/>
  <c r="K236" i="32"/>
  <c r="G236" i="32"/>
  <c r="AB235" i="32"/>
  <c r="AA235" i="32"/>
  <c r="G235" i="32"/>
  <c r="AB234" i="32"/>
  <c r="AA234" i="32"/>
  <c r="K234" i="32"/>
  <c r="G234" i="32"/>
  <c r="AB233" i="32"/>
  <c r="AA233" i="32"/>
  <c r="K233" i="32"/>
  <c r="G233" i="32"/>
  <c r="AB232" i="32"/>
  <c r="AA232" i="32"/>
  <c r="K232" i="32"/>
  <c r="G232" i="32"/>
  <c r="AB231" i="32"/>
  <c r="AA231" i="32"/>
  <c r="G231" i="32"/>
  <c r="AB230" i="32"/>
  <c r="AA230" i="32"/>
  <c r="G230" i="32"/>
  <c r="AB229" i="32"/>
  <c r="AA229" i="32"/>
  <c r="G229" i="32"/>
  <c r="AB228" i="32"/>
  <c r="AA228" i="32"/>
  <c r="G228" i="32"/>
  <c r="AB227" i="32"/>
  <c r="AA227" i="32"/>
  <c r="G227" i="32"/>
  <c r="AB226" i="32"/>
  <c r="AA226" i="32"/>
  <c r="G226" i="32"/>
  <c r="AB225" i="32"/>
  <c r="AA225" i="32"/>
  <c r="G225" i="32"/>
  <c r="AB224" i="32"/>
  <c r="AA224" i="32"/>
  <c r="G224" i="32"/>
  <c r="AB223" i="32"/>
  <c r="AA223" i="32"/>
  <c r="G223" i="32"/>
  <c r="AB222" i="32"/>
  <c r="AA222" i="32"/>
  <c r="G222" i="32"/>
  <c r="AB221" i="32"/>
  <c r="AA221" i="32"/>
  <c r="G221" i="32"/>
  <c r="AB220" i="32"/>
  <c r="AA220" i="32"/>
  <c r="G220" i="32"/>
  <c r="Y219" i="32"/>
  <c r="AB219" i="32" s="1"/>
  <c r="X219" i="32"/>
  <c r="AA219" i="32" s="1"/>
  <c r="G219" i="32"/>
  <c r="AB218" i="32"/>
  <c r="AA218" i="32"/>
  <c r="G218" i="32"/>
  <c r="Y217" i="32"/>
  <c r="AB217" i="32" s="1"/>
  <c r="X217" i="32"/>
  <c r="AA217" i="32" s="1"/>
  <c r="G217" i="32"/>
  <c r="AB216" i="32"/>
  <c r="AA216" i="32"/>
  <c r="G216" i="32"/>
  <c r="AB215" i="32"/>
  <c r="AA215" i="32"/>
  <c r="G215" i="32"/>
  <c r="AB214" i="32"/>
  <c r="Y214" i="32"/>
  <c r="X214" i="32"/>
  <c r="AA214" i="32" s="1"/>
  <c r="G214" i="32"/>
  <c r="AB213" i="32"/>
  <c r="X213" i="32"/>
  <c r="AA213" i="32" s="1"/>
  <c r="G213" i="32"/>
  <c r="AB212" i="32"/>
  <c r="Y212" i="32"/>
  <c r="X212" i="32"/>
  <c r="AA212" i="32" s="1"/>
  <c r="G212" i="32"/>
  <c r="AB211" i="32"/>
  <c r="AA211" i="32"/>
  <c r="G211" i="32"/>
  <c r="Y210" i="32"/>
  <c r="AB210" i="32" s="1"/>
  <c r="X210" i="32"/>
  <c r="AA210" i="32" s="1"/>
  <c r="G210" i="32"/>
  <c r="AB209" i="32"/>
  <c r="AA209" i="32"/>
  <c r="G209" i="32"/>
  <c r="Y208" i="32"/>
  <c r="AB208" i="32" s="1"/>
  <c r="X208" i="32"/>
  <c r="AA208" i="32" s="1"/>
  <c r="K208" i="32"/>
  <c r="G208" i="32"/>
  <c r="AA207" i="32"/>
  <c r="Y207" i="32"/>
  <c r="AB207" i="32" s="1"/>
  <c r="X207" i="32"/>
  <c r="K207" i="32"/>
  <c r="G207" i="32"/>
  <c r="Y206" i="32"/>
  <c r="AB206" i="32" s="1"/>
  <c r="X206" i="32"/>
  <c r="AA206" i="32" s="1"/>
  <c r="G206" i="32"/>
  <c r="Y205" i="32"/>
  <c r="AB205" i="32" s="1"/>
  <c r="X205" i="32"/>
  <c r="AA205" i="32" s="1"/>
  <c r="G205" i="32"/>
  <c r="AB204" i="32"/>
  <c r="AA204" i="32"/>
  <c r="G204" i="32"/>
  <c r="AA203" i="32"/>
  <c r="Y203" i="32"/>
  <c r="AB203" i="32" s="1"/>
  <c r="X203" i="32"/>
  <c r="K203" i="32"/>
  <c r="G203" i="32"/>
  <c r="AB202" i="32"/>
  <c r="AA202" i="32"/>
  <c r="Y202" i="32"/>
  <c r="X202" i="32"/>
  <c r="K202" i="32"/>
  <c r="G202" i="32"/>
  <c r="AB201" i="32"/>
  <c r="AA201" i="32"/>
  <c r="G201" i="32"/>
  <c r="Y200" i="32"/>
  <c r="AB200" i="32" s="1"/>
  <c r="X200" i="32"/>
  <c r="AA200" i="32" s="1"/>
  <c r="K200" i="32"/>
  <c r="G200" i="32"/>
  <c r="AB199" i="32"/>
  <c r="AA199" i="32"/>
  <c r="G199" i="32"/>
  <c r="AB198" i="32"/>
  <c r="AA198" i="32"/>
  <c r="G198" i="32"/>
  <c r="AB197" i="32"/>
  <c r="AA197" i="32"/>
  <c r="G197" i="32"/>
  <c r="AB196" i="32"/>
  <c r="AA196" i="32"/>
  <c r="G196" i="32"/>
  <c r="AB195" i="32"/>
  <c r="AA195" i="32"/>
  <c r="G195" i="32"/>
  <c r="AB194" i="32"/>
  <c r="AA194" i="32"/>
  <c r="G194" i="32"/>
  <c r="AB193" i="32"/>
  <c r="AA193" i="32"/>
  <c r="G193" i="32"/>
  <c r="AB192" i="32"/>
  <c r="AA192" i="32"/>
  <c r="G192" i="32"/>
  <c r="AB191" i="32"/>
  <c r="AA191" i="32"/>
  <c r="G191" i="32"/>
  <c r="AB190" i="32"/>
  <c r="AA190" i="32"/>
  <c r="G190" i="32"/>
  <c r="AB189" i="32"/>
  <c r="AA189" i="32"/>
  <c r="G189" i="32"/>
  <c r="AB188" i="32"/>
  <c r="AA188" i="32"/>
  <c r="K188" i="32"/>
  <c r="G188" i="32"/>
  <c r="AB187" i="32"/>
  <c r="Y187" i="32"/>
  <c r="X187" i="32"/>
  <c r="AA187" i="32" s="1"/>
  <c r="K187" i="32"/>
  <c r="G187" i="32"/>
  <c r="Y186" i="32"/>
  <c r="AB186" i="32" s="1"/>
  <c r="X186" i="32"/>
  <c r="AA186" i="32" s="1"/>
  <c r="K186" i="32"/>
  <c r="G186" i="32"/>
  <c r="AB185" i="32"/>
  <c r="Y185" i="32"/>
  <c r="X185" i="32"/>
  <c r="AA185" i="32" s="1"/>
  <c r="S185" i="32"/>
  <c r="J185" i="32"/>
  <c r="G185" i="32"/>
  <c r="AB184" i="32"/>
  <c r="AA184" i="32"/>
  <c r="K184" i="32"/>
  <c r="G184" i="32"/>
  <c r="AB183" i="32"/>
  <c r="AA183" i="32"/>
  <c r="G183" i="32"/>
  <c r="AA182" i="32"/>
  <c r="M182" i="32"/>
  <c r="AB182" i="32" s="1"/>
  <c r="K182" i="32"/>
  <c r="G182" i="32"/>
  <c r="AB181" i="32"/>
  <c r="AA181" i="32"/>
  <c r="K181" i="32"/>
  <c r="G181" i="32"/>
  <c r="AB180" i="32"/>
  <c r="AA180" i="32"/>
  <c r="S180" i="32"/>
  <c r="J180" i="32"/>
  <c r="G180" i="32"/>
  <c r="AB179" i="32"/>
  <c r="AA179" i="32"/>
  <c r="G179" i="32"/>
  <c r="AB178" i="32"/>
  <c r="AA178" i="32"/>
  <c r="G178" i="32"/>
  <c r="AB177" i="32"/>
  <c r="AA177" i="32"/>
  <c r="G177" i="32"/>
  <c r="Y176" i="32"/>
  <c r="AB176" i="32" s="1"/>
  <c r="X176" i="32"/>
  <c r="AA176" i="32" s="1"/>
  <c r="G176" i="32"/>
  <c r="Y175" i="32"/>
  <c r="AB175" i="32" s="1"/>
  <c r="X175" i="32"/>
  <c r="S175" i="32"/>
  <c r="M175" i="32"/>
  <c r="K175" i="32"/>
  <c r="J175" i="32"/>
  <c r="AA175" i="32" s="1"/>
  <c r="G175" i="32"/>
  <c r="AB174" i="32"/>
  <c r="AA174" i="32"/>
  <c r="G174" i="32"/>
  <c r="AB173" i="32"/>
  <c r="AA173" i="32"/>
  <c r="K173" i="32"/>
  <c r="G173" i="32"/>
  <c r="AB172" i="32"/>
  <c r="AA172" i="32"/>
  <c r="K172" i="32"/>
  <c r="G172" i="32"/>
  <c r="AB171" i="32"/>
  <c r="AA171" i="32"/>
  <c r="K171" i="32"/>
  <c r="G171" i="32"/>
  <c r="AB170" i="32"/>
  <c r="AA170" i="32"/>
  <c r="G170" i="32"/>
  <c r="AB169" i="32"/>
  <c r="AA169" i="32"/>
  <c r="K169" i="32"/>
  <c r="G169" i="32"/>
  <c r="AB168" i="32"/>
  <c r="AA168" i="32"/>
  <c r="K168" i="32"/>
  <c r="G168" i="32"/>
  <c r="AB167" i="32"/>
  <c r="AA167" i="32"/>
  <c r="G167" i="32"/>
  <c r="AB166" i="32"/>
  <c r="AA166" i="32"/>
  <c r="G166" i="32"/>
  <c r="AB165" i="32"/>
  <c r="AA165" i="32"/>
  <c r="G165" i="32"/>
  <c r="AB164" i="32"/>
  <c r="AA164" i="32"/>
  <c r="G164" i="32"/>
  <c r="AB163" i="32"/>
  <c r="AA163" i="32"/>
  <c r="G163" i="32"/>
  <c r="AB162" i="32"/>
  <c r="AA162" i="32"/>
  <c r="G162" i="32"/>
  <c r="AB161" i="32"/>
  <c r="AA161" i="32"/>
  <c r="G161" i="32"/>
  <c r="AB160" i="32"/>
  <c r="AA160" i="32"/>
  <c r="G160" i="32"/>
  <c r="AB159" i="32"/>
  <c r="AA159" i="32"/>
  <c r="G159" i="32"/>
  <c r="AB158" i="32"/>
  <c r="AA158" i="32"/>
  <c r="G158" i="32"/>
  <c r="AB157" i="32"/>
  <c r="AA157" i="32"/>
  <c r="G157" i="32"/>
  <c r="AB156" i="32"/>
  <c r="AA156" i="32"/>
  <c r="G156" i="32"/>
  <c r="AA155" i="32"/>
  <c r="M155" i="32"/>
  <c r="AB155" i="32" s="1"/>
  <c r="G155" i="32"/>
  <c r="AB154" i="32"/>
  <c r="AA154" i="32"/>
  <c r="M154" i="32"/>
  <c r="G154" i="32"/>
  <c r="AB153" i="32"/>
  <c r="AA153" i="32"/>
  <c r="G153" i="32"/>
  <c r="AB152" i="32"/>
  <c r="AA152" i="32"/>
  <c r="G152" i="32"/>
  <c r="AB151" i="32"/>
  <c r="AA151" i="32"/>
  <c r="G151" i="32"/>
  <c r="AB150" i="32"/>
  <c r="AA150" i="32"/>
  <c r="G150" i="32"/>
  <c r="AB149" i="32"/>
  <c r="AA149" i="32"/>
  <c r="G149" i="32"/>
  <c r="AB148" i="32"/>
  <c r="AA148" i="32"/>
  <c r="G148" i="32"/>
  <c r="AB147" i="32"/>
  <c r="AA147" i="32"/>
  <c r="G147" i="32"/>
  <c r="AB146" i="32"/>
  <c r="AA146" i="32"/>
  <c r="G146" i="32"/>
  <c r="Y145" i="32"/>
  <c r="AB145" i="32" s="1"/>
  <c r="X145" i="32"/>
  <c r="AA145" i="32" s="1"/>
  <c r="G145" i="32"/>
  <c r="AB144" i="32"/>
  <c r="AA144" i="32"/>
  <c r="G144" i="32"/>
  <c r="AB143" i="32"/>
  <c r="AA143" i="32"/>
  <c r="G143" i="32"/>
  <c r="AB142" i="32"/>
  <c r="AA142" i="32"/>
  <c r="K142" i="32"/>
  <c r="G142" i="32"/>
  <c r="AB141" i="32"/>
  <c r="Y141" i="32"/>
  <c r="X141" i="32"/>
  <c r="AA141" i="32" s="1"/>
  <c r="K141" i="32"/>
  <c r="G141" i="32"/>
  <c r="Y140" i="32"/>
  <c r="AB140" i="32" s="1"/>
  <c r="X140" i="32"/>
  <c r="AA140" i="32" s="1"/>
  <c r="K140" i="32"/>
  <c r="G140" i="32"/>
  <c r="AB139" i="32"/>
  <c r="AA139" i="32"/>
  <c r="K139" i="32"/>
  <c r="G139" i="32"/>
  <c r="AB138" i="32"/>
  <c r="AA138" i="32"/>
  <c r="K138" i="32"/>
  <c r="G138" i="32"/>
  <c r="AB137" i="32"/>
  <c r="AA137" i="32"/>
  <c r="G137" i="32"/>
  <c r="AB136" i="32"/>
  <c r="AA136" i="32"/>
  <c r="K136" i="32"/>
  <c r="G136" i="32"/>
  <c r="AB135" i="32"/>
  <c r="AA135" i="32"/>
  <c r="K135" i="32"/>
  <c r="G135" i="32"/>
  <c r="AB134" i="32"/>
  <c r="AA134" i="32"/>
  <c r="K134" i="32"/>
  <c r="G134" i="32"/>
  <c r="AB133" i="32"/>
  <c r="AA133" i="32"/>
  <c r="K133" i="32"/>
  <c r="G133" i="32"/>
  <c r="AB132" i="32"/>
  <c r="AA132" i="32"/>
  <c r="K132" i="32"/>
  <c r="G132" i="32"/>
  <c r="AA131" i="32"/>
  <c r="Y131" i="32"/>
  <c r="AB131" i="32" s="1"/>
  <c r="X131" i="32"/>
  <c r="K131" i="32"/>
  <c r="G131" i="32"/>
  <c r="Y130" i="32"/>
  <c r="AB130" i="32" s="1"/>
  <c r="X130" i="32"/>
  <c r="AA130" i="32" s="1"/>
  <c r="K130" i="32"/>
  <c r="G130" i="32"/>
  <c r="AA129" i="32"/>
  <c r="Y129" i="32"/>
  <c r="AB129" i="32" s="1"/>
  <c r="K129" i="32"/>
  <c r="G129" i="32"/>
  <c r="AB128" i="32"/>
  <c r="Y128" i="32"/>
  <c r="X128" i="32"/>
  <c r="AA128" i="32" s="1"/>
  <c r="G128" i="32"/>
  <c r="AB127" i="32"/>
  <c r="Y127" i="32"/>
  <c r="X127" i="32"/>
  <c r="AA127" i="32" s="1"/>
  <c r="K127" i="32"/>
  <c r="G127" i="32"/>
  <c r="AB126" i="32"/>
  <c r="AA126" i="32"/>
  <c r="K126" i="32"/>
  <c r="G126" i="32"/>
  <c r="AA125" i="32"/>
  <c r="Y125" i="32"/>
  <c r="AB125" i="32" s="1"/>
  <c r="X125" i="32"/>
  <c r="M125" i="32"/>
  <c r="K125" i="32"/>
  <c r="G125" i="32"/>
  <c r="Y124" i="32"/>
  <c r="AB124" i="32" s="1"/>
  <c r="X124" i="32"/>
  <c r="S124" i="32"/>
  <c r="K124" i="32"/>
  <c r="J124" i="32"/>
  <c r="AA124" i="32" s="1"/>
  <c r="G124" i="32"/>
  <c r="Y123" i="32"/>
  <c r="AB123" i="32" s="1"/>
  <c r="X123" i="32"/>
  <c r="S123" i="32"/>
  <c r="K123" i="32"/>
  <c r="J123" i="32"/>
  <c r="AA123" i="32" s="1"/>
  <c r="G123" i="32"/>
  <c r="AB122" i="32"/>
  <c r="S122" i="32"/>
  <c r="J122" i="32"/>
  <c r="AA122" i="32" s="1"/>
  <c r="G122" i="32"/>
  <c r="AA121" i="32"/>
  <c r="Y121" i="32"/>
  <c r="AB121" i="32" s="1"/>
  <c r="X121" i="32"/>
  <c r="S121" i="32"/>
  <c r="K121" i="32"/>
  <c r="J121" i="32"/>
  <c r="G121" i="32"/>
  <c r="AA120" i="32"/>
  <c r="Y120" i="32"/>
  <c r="AB120" i="32" s="1"/>
  <c r="X120" i="32"/>
  <c r="S120" i="32"/>
  <c r="K120" i="32"/>
  <c r="J120" i="32"/>
  <c r="G120" i="32"/>
  <c r="AB119" i="32"/>
  <c r="AA119" i="32"/>
  <c r="Y119" i="32"/>
  <c r="X119" i="32"/>
  <c r="S119" i="32"/>
  <c r="J119" i="32"/>
  <c r="G119" i="32"/>
  <c r="Y118" i="32"/>
  <c r="AB118" i="32" s="1"/>
  <c r="X118" i="32"/>
  <c r="S118" i="32"/>
  <c r="J118" i="32"/>
  <c r="AA118" i="32" s="1"/>
  <c r="G118" i="32"/>
  <c r="AB117" i="32"/>
  <c r="AA117" i="32"/>
  <c r="K117" i="32"/>
  <c r="G117" i="32"/>
  <c r="AB116" i="32"/>
  <c r="Y116" i="32"/>
  <c r="X116" i="32"/>
  <c r="AA116" i="32" s="1"/>
  <c r="K116" i="32"/>
  <c r="G116" i="32"/>
  <c r="AB115" i="32"/>
  <c r="AA115" i="32"/>
  <c r="G115" i="32"/>
  <c r="Y114" i="32"/>
  <c r="AB114" i="32" s="1"/>
  <c r="X114" i="32"/>
  <c r="AA114" i="32" s="1"/>
  <c r="K114" i="32"/>
  <c r="G114" i="32"/>
  <c r="AB113" i="32"/>
  <c r="X113" i="32"/>
  <c r="AA113" i="32" s="1"/>
  <c r="K113" i="32"/>
  <c r="G113" i="32"/>
  <c r="AB112" i="32"/>
  <c r="AA112" i="32"/>
  <c r="G112" i="32"/>
  <c r="AB111" i="32"/>
  <c r="AA111" i="32"/>
  <c r="Y111" i="32"/>
  <c r="X111" i="32"/>
  <c r="G111" i="32"/>
  <c r="AB110" i="32"/>
  <c r="AA110" i="32"/>
  <c r="AB109" i="32"/>
  <c r="AA109" i="32"/>
  <c r="K109" i="32"/>
  <c r="G109" i="32"/>
  <c r="AA108" i="32"/>
  <c r="Y108" i="32"/>
  <c r="AB108" i="32" s="1"/>
  <c r="X108" i="32"/>
  <c r="K108" i="32"/>
  <c r="G108" i="32"/>
  <c r="Y107" i="32"/>
  <c r="AB107" i="32" s="1"/>
  <c r="X107" i="32"/>
  <c r="AA107" i="32" s="1"/>
  <c r="K107" i="32"/>
  <c r="G107" i="32"/>
  <c r="AB106" i="32"/>
  <c r="AA106" i="32"/>
  <c r="K106" i="32"/>
  <c r="G106" i="32"/>
  <c r="AA105" i="32"/>
  <c r="Y105" i="32"/>
  <c r="AB105" i="32" s="1"/>
  <c r="X105" i="32"/>
  <c r="K105" i="32"/>
  <c r="G105" i="32"/>
  <c r="Y104" i="32"/>
  <c r="AB104" i="32" s="1"/>
  <c r="X104" i="32"/>
  <c r="AA104" i="32" s="1"/>
  <c r="K104" i="32"/>
  <c r="G104" i="32"/>
  <c r="AA103" i="32"/>
  <c r="Y103" i="32"/>
  <c r="AB103" i="32" s="1"/>
  <c r="X103" i="32"/>
  <c r="K103" i="32"/>
  <c r="G103" i="32"/>
  <c r="AB102" i="32"/>
  <c r="AA102" i="32"/>
  <c r="G102" i="32"/>
  <c r="AB101" i="32"/>
  <c r="AA101" i="32"/>
  <c r="G101" i="32"/>
  <c r="AB100" i="32"/>
  <c r="AA100" i="32"/>
  <c r="G100" i="32"/>
  <c r="AB99" i="32"/>
  <c r="AA99" i="32"/>
  <c r="G99" i="32"/>
  <c r="S98" i="32"/>
  <c r="M98" i="32"/>
  <c r="AB98" i="32" s="1"/>
  <c r="J98" i="32"/>
  <c r="AA98" i="32" s="1"/>
  <c r="G98" i="32"/>
  <c r="AB97" i="32"/>
  <c r="AA97" i="32"/>
  <c r="G97" i="32"/>
  <c r="AB96" i="32"/>
  <c r="AA96" i="32"/>
  <c r="G96" i="32"/>
  <c r="AB95" i="32"/>
  <c r="AA95" i="32"/>
  <c r="G95" i="32"/>
  <c r="AB94" i="32"/>
  <c r="AA94" i="32"/>
  <c r="Y94" i="32"/>
  <c r="X94" i="32"/>
  <c r="G94" i="32"/>
  <c r="AB93" i="32"/>
  <c r="AA93" i="32"/>
  <c r="G93" i="32"/>
  <c r="AB92" i="32"/>
  <c r="AA92" i="32"/>
  <c r="G92" i="32"/>
  <c r="AB91" i="32"/>
  <c r="AA91" i="32"/>
  <c r="G91" i="32"/>
  <c r="AB90" i="32"/>
  <c r="AA90" i="32"/>
  <c r="K90" i="32"/>
  <c r="G90" i="32"/>
  <c r="AB89" i="32"/>
  <c r="AA89" i="32"/>
  <c r="G89" i="32"/>
  <c r="AB88" i="32"/>
  <c r="AA88" i="32"/>
  <c r="G88" i="32"/>
  <c r="AB87" i="32"/>
  <c r="AA87" i="32"/>
  <c r="G87" i="32"/>
  <c r="AB86" i="32"/>
  <c r="AA86" i="32"/>
  <c r="G86" i="32"/>
  <c r="AB85" i="32"/>
  <c r="AA85" i="32"/>
  <c r="G85" i="32"/>
  <c r="AB84" i="32"/>
  <c r="AA84" i="32"/>
  <c r="AB83" i="32"/>
  <c r="AA83" i="32"/>
  <c r="G83" i="32"/>
  <c r="AB82" i="32"/>
  <c r="AA82" i="32"/>
  <c r="G82" i="32"/>
  <c r="AB81" i="32"/>
  <c r="AA81" i="32"/>
  <c r="G81" i="32"/>
  <c r="AB80" i="32"/>
  <c r="AA80" i="32"/>
  <c r="G80" i="32"/>
  <c r="AB79" i="32"/>
  <c r="AA79" i="32"/>
  <c r="N79" i="32"/>
  <c r="M79" i="32"/>
  <c r="G79" i="32"/>
  <c r="AB78" i="32"/>
  <c r="AA78" i="32"/>
  <c r="N78" i="32"/>
  <c r="G78" i="32"/>
  <c r="AB77" i="32"/>
  <c r="Y77" i="32"/>
  <c r="X77" i="32"/>
  <c r="AA77" i="32" s="1"/>
  <c r="N77" i="32"/>
  <c r="K77" i="32"/>
  <c r="G77" i="32"/>
  <c r="AB76" i="32"/>
  <c r="AA76" i="32"/>
  <c r="G76" i="32"/>
  <c r="Y75" i="32"/>
  <c r="X75" i="32"/>
  <c r="S75" i="32"/>
  <c r="M75" i="32"/>
  <c r="AB75" i="32" s="1"/>
  <c r="J75" i="32"/>
  <c r="AA75" i="32" s="1"/>
  <c r="G75" i="32"/>
  <c r="AB74" i="32"/>
  <c r="AA74" i="32"/>
  <c r="G74" i="32"/>
  <c r="Y73" i="32"/>
  <c r="X73" i="32"/>
  <c r="S73" i="32"/>
  <c r="N73" i="32"/>
  <c r="M73" i="32"/>
  <c r="AB73" i="32" s="1"/>
  <c r="K73" i="32"/>
  <c r="J73" i="32"/>
  <c r="AA73" i="32" s="1"/>
  <c r="G73" i="32"/>
  <c r="AA72" i="32"/>
  <c r="Y72" i="32"/>
  <c r="X72" i="32"/>
  <c r="N72" i="32"/>
  <c r="M72" i="32"/>
  <c r="AB72" i="32" s="1"/>
  <c r="K72" i="32"/>
  <c r="G72" i="32"/>
  <c r="AB71" i="32"/>
  <c r="AA71" i="32"/>
  <c r="N71" i="32"/>
  <c r="G71" i="32"/>
  <c r="AA70" i="32"/>
  <c r="Y70" i="32"/>
  <c r="X70" i="32"/>
  <c r="M70" i="32"/>
  <c r="AB70" i="32" s="1"/>
  <c r="G70" i="32"/>
  <c r="AB69" i="32"/>
  <c r="AA69" i="32"/>
  <c r="N69" i="32"/>
  <c r="G69" i="32"/>
  <c r="AB68" i="32"/>
  <c r="AA68" i="32"/>
  <c r="N68" i="32"/>
  <c r="G68" i="32"/>
  <c r="Y67" i="32"/>
  <c r="AB67" i="32" s="1"/>
  <c r="X67" i="32"/>
  <c r="AA67" i="32" s="1"/>
  <c r="N67" i="32"/>
  <c r="G67" i="32"/>
  <c r="AA66" i="32"/>
  <c r="M66" i="32"/>
  <c r="AB66" i="32" s="1"/>
  <c r="G66" i="32"/>
  <c r="AA65" i="32"/>
  <c r="N65" i="32"/>
  <c r="M65" i="32"/>
  <c r="AB65" i="32" s="1"/>
  <c r="G65" i="32"/>
  <c r="AB64" i="32"/>
  <c r="AA64" i="32"/>
  <c r="N64" i="32"/>
  <c r="G64" i="32"/>
  <c r="AB63" i="32"/>
  <c r="AA63" i="32"/>
  <c r="N63" i="32"/>
  <c r="G63" i="32"/>
  <c r="AB62" i="32"/>
  <c r="AA62" i="32"/>
  <c r="N62" i="32"/>
  <c r="M62" i="32"/>
  <c r="K62" i="32"/>
  <c r="G62" i="32"/>
  <c r="AB61" i="32"/>
  <c r="X61" i="32"/>
  <c r="AA61" i="32" s="1"/>
  <c r="N61" i="32"/>
  <c r="K61" i="32"/>
  <c r="G61" i="32"/>
  <c r="AB60" i="32"/>
  <c r="AA60" i="32"/>
  <c r="G60" i="32"/>
  <c r="AB59" i="32"/>
  <c r="AA59" i="32"/>
  <c r="N59" i="32"/>
  <c r="K59" i="32"/>
  <c r="G59" i="32"/>
  <c r="AB58" i="32"/>
  <c r="AA58" i="32"/>
  <c r="Y58" i="32"/>
  <c r="X58" i="32"/>
  <c r="N58" i="32"/>
  <c r="M58" i="32"/>
  <c r="G58" i="32"/>
  <c r="AB57" i="32"/>
  <c r="AA57" i="32"/>
  <c r="K57" i="32"/>
  <c r="G57" i="32"/>
  <c r="AB56" i="32"/>
  <c r="AA56" i="32"/>
  <c r="K56" i="32"/>
  <c r="G56" i="32"/>
  <c r="AB55" i="32"/>
  <c r="AA55" i="32"/>
  <c r="K55" i="32"/>
  <c r="G55" i="32"/>
  <c r="AB54" i="32"/>
  <c r="AA54" i="32"/>
  <c r="K54" i="32"/>
  <c r="G54" i="32"/>
  <c r="AB53" i="32"/>
  <c r="AA53" i="32"/>
  <c r="K53" i="32"/>
  <c r="G53" i="32"/>
  <c r="AB52" i="32"/>
  <c r="AA52" i="32"/>
  <c r="K52" i="32"/>
  <c r="G52" i="32"/>
  <c r="AB51" i="32"/>
  <c r="AA51" i="32"/>
  <c r="K51" i="32"/>
  <c r="G51" i="32"/>
  <c r="AB50" i="32"/>
  <c r="AA50" i="32"/>
  <c r="K50" i="32"/>
  <c r="G50" i="32"/>
  <c r="AB49" i="32"/>
  <c r="AA49" i="32"/>
  <c r="K49" i="32"/>
  <c r="G49" i="32"/>
  <c r="AB48" i="32"/>
  <c r="AA48" i="32"/>
  <c r="K48" i="32"/>
  <c r="G48" i="32"/>
  <c r="AB47" i="32"/>
  <c r="AA47" i="32"/>
  <c r="K47" i="32"/>
  <c r="G47" i="32"/>
  <c r="AB46" i="32"/>
  <c r="AA46" i="32"/>
  <c r="K46" i="32"/>
  <c r="G46" i="32"/>
  <c r="AB45" i="32"/>
  <c r="AA45" i="32"/>
  <c r="K45" i="32"/>
  <c r="G45" i="32"/>
  <c r="AB44" i="32"/>
  <c r="AA44" i="32"/>
  <c r="K44" i="32"/>
  <c r="G44" i="32"/>
  <c r="AB43" i="32"/>
  <c r="AA43" i="32"/>
  <c r="K43" i="32"/>
  <c r="G43" i="32"/>
  <c r="AB42" i="32"/>
  <c r="AA42" i="32"/>
  <c r="K42" i="32"/>
  <c r="G42" i="32"/>
  <c r="AB41" i="32"/>
  <c r="AA41" i="32"/>
  <c r="K41" i="32"/>
  <c r="G41" i="32"/>
  <c r="AB40" i="32"/>
  <c r="AA40" i="32"/>
  <c r="K40" i="32"/>
  <c r="G40" i="32"/>
  <c r="AB39" i="32"/>
  <c r="AA39" i="32"/>
  <c r="K39" i="32"/>
  <c r="G39" i="32"/>
  <c r="AB38" i="32"/>
  <c r="AA38" i="32"/>
  <c r="K38" i="32"/>
  <c r="G38" i="32"/>
  <c r="AB37" i="32"/>
  <c r="AA37" i="32"/>
  <c r="K37" i="32"/>
  <c r="G37" i="32"/>
  <c r="AB36" i="32"/>
  <c r="AA36" i="32"/>
  <c r="K36" i="32"/>
  <c r="G36" i="32"/>
  <c r="AB35" i="32"/>
  <c r="AA35" i="32"/>
  <c r="Y35" i="32"/>
  <c r="X35" i="32"/>
  <c r="K35" i="32"/>
  <c r="G35" i="32"/>
  <c r="AB34" i="32"/>
  <c r="AA34" i="32"/>
  <c r="K34" i="32"/>
  <c r="G34" i="32"/>
  <c r="AB33" i="32"/>
  <c r="AA33" i="32"/>
  <c r="K33" i="32"/>
  <c r="G33" i="32"/>
  <c r="AB32" i="32"/>
  <c r="AA32" i="32"/>
  <c r="K32" i="32"/>
  <c r="G32" i="32"/>
  <c r="AB31" i="32"/>
  <c r="AA31" i="32"/>
  <c r="K31" i="32"/>
  <c r="G31" i="32"/>
  <c r="AB30" i="32"/>
  <c r="AA30" i="32"/>
  <c r="K30" i="32"/>
  <c r="G30" i="32"/>
  <c r="AB28" i="32"/>
  <c r="AA28" i="32"/>
  <c r="G28" i="32"/>
  <c r="AB27" i="32"/>
  <c r="AA27" i="32"/>
  <c r="G27" i="32"/>
  <c r="AB26" i="32"/>
  <c r="AA26" i="32"/>
  <c r="Y26" i="32"/>
  <c r="X26" i="32"/>
  <c r="S26" i="32"/>
  <c r="K26" i="32"/>
  <c r="J26" i="32"/>
  <c r="G26" i="32"/>
  <c r="AB24" i="32"/>
  <c r="AA24" i="32"/>
  <c r="G24" i="32"/>
  <c r="AA23" i="32"/>
  <c r="Y23" i="32"/>
  <c r="AB23" i="32" s="1"/>
  <c r="X23" i="32"/>
  <c r="G23" i="32"/>
  <c r="AB21" i="32"/>
  <c r="AA21" i="32"/>
  <c r="S21" i="32"/>
  <c r="M21" i="32"/>
  <c r="J21" i="32"/>
  <c r="G21" i="32"/>
  <c r="AB20" i="32"/>
  <c r="S20" i="32"/>
  <c r="J20" i="32"/>
  <c r="AA20" i="32" s="1"/>
  <c r="G20" i="32"/>
  <c r="AB19" i="32"/>
  <c r="AA19" i="32"/>
  <c r="K19" i="32"/>
  <c r="G19" i="32"/>
  <c r="AB18" i="32"/>
  <c r="AA18" i="32"/>
  <c r="K18" i="32"/>
  <c r="G18" i="32"/>
  <c r="AA17" i="32"/>
  <c r="Y17" i="32"/>
  <c r="AB17" i="32" s="1"/>
  <c r="X17" i="32"/>
  <c r="K17" i="32"/>
  <c r="G17" i="32"/>
  <c r="AB16" i="32"/>
  <c r="Y16" i="32"/>
  <c r="X16" i="32"/>
  <c r="S16" i="32"/>
  <c r="K16" i="32"/>
  <c r="J16" i="32"/>
  <c r="AA16" i="32" s="1"/>
  <c r="G16" i="32"/>
  <c r="AB15" i="32"/>
  <c r="Y15" i="32"/>
  <c r="X15" i="32"/>
  <c r="AA15" i="32" s="1"/>
  <c r="K15" i="32"/>
  <c r="G15" i="32"/>
  <c r="Y14" i="32"/>
  <c r="AB14" i="32" s="1"/>
  <c r="X14" i="32"/>
  <c r="AA14" i="32" s="1"/>
  <c r="K14" i="32"/>
  <c r="G14" i="32"/>
  <c r="AB13" i="32"/>
  <c r="Y13" i="32"/>
  <c r="X13" i="32"/>
  <c r="AA13" i="32" s="1"/>
  <c r="K13" i="32"/>
  <c r="G13" i="32"/>
  <c r="Y12" i="32"/>
  <c r="AB12" i="32" s="1"/>
  <c r="X12" i="32"/>
  <c r="AA12" i="32" s="1"/>
  <c r="K12" i="32"/>
  <c r="G12" i="32"/>
  <c r="AB265" i="31"/>
  <c r="AA265" i="31"/>
  <c r="G265" i="31"/>
  <c r="AB264" i="31"/>
  <c r="AA264" i="31"/>
  <c r="G264" i="31"/>
  <c r="AB263" i="31"/>
  <c r="AA263" i="31"/>
  <c r="G263" i="31"/>
  <c r="AB262" i="31"/>
  <c r="AA262" i="31"/>
  <c r="G262" i="31"/>
  <c r="AB261" i="31"/>
  <c r="AA261" i="31"/>
  <c r="G261" i="31"/>
  <c r="AB260" i="31"/>
  <c r="AA260" i="31"/>
  <c r="G260" i="31"/>
  <c r="AB259" i="31"/>
  <c r="AA259" i="31"/>
  <c r="G259" i="31"/>
  <c r="AB258" i="31"/>
  <c r="AA258" i="31"/>
  <c r="G258" i="31"/>
  <c r="AB257" i="31"/>
  <c r="AA257" i="31"/>
  <c r="K257" i="31"/>
  <c r="G257" i="31"/>
  <c r="AB256" i="31"/>
  <c r="AB255" i="31"/>
  <c r="AA255" i="31"/>
  <c r="G255" i="31"/>
  <c r="AB254" i="31"/>
  <c r="AB253" i="31"/>
  <c r="AA253" i="31"/>
  <c r="K253" i="31"/>
  <c r="G253" i="31"/>
  <c r="AB252" i="31"/>
  <c r="AB251" i="31"/>
  <c r="AA251" i="31"/>
  <c r="K251" i="31"/>
  <c r="G251" i="31"/>
  <c r="AB250" i="31"/>
  <c r="AA250" i="31"/>
  <c r="G250" i="31"/>
  <c r="AB249" i="31"/>
  <c r="AA249" i="31"/>
  <c r="G249" i="31"/>
  <c r="AB248" i="31"/>
  <c r="AA248" i="31"/>
  <c r="K248" i="31"/>
  <c r="G248" i="31"/>
  <c r="AB247" i="31"/>
  <c r="K247" i="31"/>
  <c r="J247" i="31"/>
  <c r="AA247" i="31" s="1"/>
  <c r="G247" i="31"/>
  <c r="AB246" i="31"/>
  <c r="AA246" i="31"/>
  <c r="G246" i="31"/>
  <c r="AB245" i="31"/>
  <c r="AA245" i="31"/>
  <c r="G245" i="31"/>
  <c r="AB244" i="31"/>
  <c r="AA244" i="31"/>
  <c r="G244" i="31"/>
  <c r="AB243" i="31"/>
  <c r="AA243" i="31"/>
  <c r="G243" i="31"/>
  <c r="AB242" i="31"/>
  <c r="AA242" i="31"/>
  <c r="G242" i="31"/>
  <c r="AB241" i="31"/>
  <c r="AA241" i="31"/>
  <c r="G241" i="31"/>
  <c r="AB240" i="31"/>
  <c r="AA240" i="31"/>
  <c r="G240" i="31"/>
  <c r="AB239" i="31"/>
  <c r="AA239" i="31"/>
  <c r="G239" i="31"/>
  <c r="AB238" i="31"/>
  <c r="AA238" i="31"/>
  <c r="G238" i="31"/>
  <c r="AB237" i="31"/>
  <c r="AA237" i="31"/>
  <c r="G237" i="31"/>
  <c r="AB236" i="31"/>
  <c r="AA236" i="31"/>
  <c r="G236" i="31"/>
  <c r="AB235" i="31"/>
  <c r="AA235" i="31"/>
  <c r="K235" i="31"/>
  <c r="G235" i="31"/>
  <c r="AB234" i="31"/>
  <c r="AA234" i="31"/>
  <c r="K234" i="31"/>
  <c r="G234" i="31"/>
  <c r="AB233" i="31"/>
  <c r="AA233" i="31"/>
  <c r="K233" i="31"/>
  <c r="G233" i="31"/>
  <c r="AB232" i="31"/>
  <c r="AA232" i="31"/>
  <c r="K232" i="31"/>
  <c r="G232" i="31"/>
  <c r="AB231" i="31"/>
  <c r="AA231" i="31"/>
  <c r="K231" i="31"/>
  <c r="G231" i="31"/>
  <c r="AB230" i="31"/>
  <c r="S230" i="31"/>
  <c r="K230" i="31"/>
  <c r="J230" i="31"/>
  <c r="AA230" i="31" s="1"/>
  <c r="G230" i="31"/>
  <c r="AB229" i="31"/>
  <c r="AA229" i="31"/>
  <c r="K229" i="31"/>
  <c r="G229" i="31"/>
  <c r="AB228" i="31"/>
  <c r="AA228" i="31"/>
  <c r="G228" i="31"/>
  <c r="AB227" i="31"/>
  <c r="AA227" i="31"/>
  <c r="G227" i="31"/>
  <c r="AB226" i="31"/>
  <c r="AA226" i="31"/>
  <c r="G226" i="31"/>
  <c r="AB225" i="31"/>
  <c r="AA225" i="31"/>
  <c r="G225" i="31"/>
  <c r="AB224" i="31"/>
  <c r="AA224" i="31"/>
  <c r="N224" i="31"/>
  <c r="G224" i="31"/>
  <c r="AB223" i="31"/>
  <c r="AA223" i="31"/>
  <c r="N223" i="31"/>
  <c r="G223" i="31"/>
  <c r="AB222" i="31"/>
  <c r="AA222" i="31"/>
  <c r="N222" i="31"/>
  <c r="G222" i="31"/>
  <c r="AB221" i="31"/>
  <c r="AA221" i="31"/>
  <c r="M221" i="31"/>
  <c r="G221" i="31"/>
  <c r="AB220" i="31"/>
  <c r="AA220" i="31"/>
  <c r="M220" i="31"/>
  <c r="G220" i="31"/>
  <c r="AB219" i="31"/>
  <c r="AA219" i="31"/>
  <c r="G219" i="31"/>
  <c r="AB218" i="31"/>
  <c r="AA218" i="31"/>
  <c r="G218" i="31"/>
  <c r="AB217" i="31"/>
  <c r="AA217" i="31"/>
  <c r="G217" i="31"/>
  <c r="AB216" i="31"/>
  <c r="AA216" i="31"/>
  <c r="G216" i="31"/>
  <c r="AB215" i="31"/>
  <c r="AA215" i="31"/>
  <c r="G215" i="31"/>
  <c r="AB214" i="31"/>
  <c r="AA214" i="31"/>
  <c r="G214" i="31"/>
  <c r="AB213" i="31"/>
  <c r="AA213" i="31"/>
  <c r="K213" i="31"/>
  <c r="G213" i="31"/>
  <c r="AB212" i="31"/>
  <c r="AA212" i="31"/>
  <c r="K212" i="31"/>
  <c r="G212" i="31"/>
  <c r="AB211" i="31"/>
  <c r="AA211" i="31"/>
  <c r="G211" i="31"/>
  <c r="AB210" i="31"/>
  <c r="AA210" i="31"/>
  <c r="G210" i="31"/>
  <c r="AB209" i="31"/>
  <c r="AA209" i="31"/>
  <c r="G209" i="31"/>
  <c r="AB208" i="31"/>
  <c r="AA208" i="31"/>
  <c r="G208" i="31"/>
  <c r="AB207" i="31"/>
  <c r="AA207" i="31"/>
  <c r="K207" i="31"/>
  <c r="G207" i="31"/>
  <c r="AB206" i="31"/>
  <c r="AA206" i="31"/>
  <c r="G206" i="31"/>
  <c r="AB205" i="31"/>
  <c r="AA205" i="31"/>
  <c r="G205" i="31"/>
  <c r="AB204" i="31"/>
  <c r="AA204" i="31"/>
  <c r="G204" i="31"/>
  <c r="AB203" i="31"/>
  <c r="AA203" i="31"/>
  <c r="G203" i="31"/>
  <c r="AB202" i="31"/>
  <c r="AA202" i="31"/>
  <c r="G202" i="31"/>
  <c r="AB201" i="31"/>
  <c r="AA201" i="31"/>
  <c r="G201" i="31"/>
  <c r="AB200" i="31"/>
  <c r="AA200" i="31"/>
  <c r="K200" i="31"/>
  <c r="G200" i="31"/>
  <c r="AB199" i="31"/>
  <c r="AA199" i="31"/>
  <c r="K199" i="31"/>
  <c r="G199" i="31"/>
  <c r="AB198" i="31"/>
  <c r="AA198" i="31"/>
  <c r="G198" i="31"/>
  <c r="AB197" i="31"/>
  <c r="AA197" i="31"/>
  <c r="G197" i="31"/>
  <c r="AB196" i="31"/>
  <c r="AA196" i="31"/>
  <c r="G196" i="31"/>
  <c r="AB195" i="31"/>
  <c r="AA195" i="31"/>
  <c r="G195" i="31"/>
  <c r="AB194" i="31"/>
  <c r="AA194" i="31"/>
  <c r="G194" i="31"/>
  <c r="AB193" i="31"/>
  <c r="AA193" i="31"/>
  <c r="G193" i="31"/>
  <c r="AB192" i="31"/>
  <c r="AA192" i="31"/>
  <c r="S192" i="31"/>
  <c r="J192" i="31"/>
  <c r="G192" i="31"/>
  <c r="AB191" i="31"/>
  <c r="AA191" i="31"/>
  <c r="G191" i="31"/>
  <c r="AB190" i="31"/>
  <c r="AA190" i="31"/>
  <c r="G190" i="31"/>
  <c r="AB189" i="31"/>
  <c r="Y189" i="31"/>
  <c r="X189" i="31"/>
  <c r="AA189" i="31" s="1"/>
  <c r="G189" i="31"/>
  <c r="AB188" i="31"/>
  <c r="S188" i="31"/>
  <c r="J188" i="31"/>
  <c r="AA188" i="31" s="1"/>
  <c r="G188" i="31"/>
  <c r="AB187" i="31"/>
  <c r="AA187" i="31"/>
  <c r="G187" i="31"/>
  <c r="AB186" i="31"/>
  <c r="AA186" i="31"/>
  <c r="K186" i="31"/>
  <c r="G186" i="31"/>
  <c r="AB185" i="31"/>
  <c r="AA185" i="31"/>
  <c r="K185" i="31"/>
  <c r="G185" i="31"/>
  <c r="AB184" i="31"/>
  <c r="AA184" i="31"/>
  <c r="G184" i="31"/>
  <c r="AB183" i="31"/>
  <c r="AA183" i="31"/>
  <c r="K183" i="31"/>
  <c r="G183" i="31"/>
  <c r="AB182" i="31"/>
  <c r="AA182" i="31"/>
  <c r="K182" i="31"/>
  <c r="G182" i="31"/>
  <c r="AB181" i="31"/>
  <c r="AA181" i="31"/>
  <c r="K181" i="31"/>
  <c r="G181" i="31"/>
  <c r="AB180" i="31"/>
  <c r="AA180" i="31"/>
  <c r="K180" i="31"/>
  <c r="G180" i="31"/>
  <c r="AB179" i="31"/>
  <c r="S179" i="31"/>
  <c r="J179" i="31"/>
  <c r="AA179" i="31" s="1"/>
  <c r="G179" i="31"/>
  <c r="Y178" i="31"/>
  <c r="AB178" i="31" s="1"/>
  <c r="X178" i="31"/>
  <c r="AA178" i="31" s="1"/>
  <c r="K178" i="31"/>
  <c r="G178" i="31"/>
  <c r="AB177" i="31"/>
  <c r="AA177" i="31"/>
  <c r="K177" i="31"/>
  <c r="G177" i="31"/>
  <c r="Y176" i="31"/>
  <c r="AB176" i="31" s="1"/>
  <c r="X176" i="31"/>
  <c r="S176" i="31"/>
  <c r="J176" i="31"/>
  <c r="AA176" i="31" s="1"/>
  <c r="G176" i="31"/>
  <c r="AB175" i="31"/>
  <c r="AA175" i="31"/>
  <c r="S175" i="31"/>
  <c r="J175" i="31"/>
  <c r="G175" i="31"/>
  <c r="AB174" i="31"/>
  <c r="AA174" i="31"/>
  <c r="Y173" i="31"/>
  <c r="AB173" i="31" s="1"/>
  <c r="X173" i="31"/>
  <c r="AA173" i="31" s="1"/>
  <c r="G173" i="31"/>
  <c r="AB172" i="31"/>
  <c r="AA172" i="31"/>
  <c r="G172" i="31"/>
  <c r="Y171" i="31"/>
  <c r="AB171" i="31" s="1"/>
  <c r="X171" i="31"/>
  <c r="S171" i="31"/>
  <c r="J171" i="31"/>
  <c r="AA171" i="31" s="1"/>
  <c r="G171" i="31"/>
  <c r="AB170" i="31"/>
  <c r="Y170" i="31"/>
  <c r="X170" i="31"/>
  <c r="AA170" i="31" s="1"/>
  <c r="G170" i="31"/>
  <c r="AB169" i="31"/>
  <c r="S169" i="31"/>
  <c r="K169" i="31"/>
  <c r="J169" i="31"/>
  <c r="AA169" i="31" s="1"/>
  <c r="G169" i="31"/>
  <c r="AB168" i="31"/>
  <c r="AA168" i="31"/>
  <c r="G168" i="31"/>
  <c r="AB167" i="31"/>
  <c r="AA167" i="31"/>
  <c r="Y167" i="31"/>
  <c r="X167" i="31"/>
  <c r="S167" i="31"/>
  <c r="K167" i="31"/>
  <c r="J167" i="31"/>
  <c r="G167" i="31"/>
  <c r="AB166" i="31"/>
  <c r="AA166" i="31"/>
  <c r="G166" i="31"/>
  <c r="AB165" i="31"/>
  <c r="AA165" i="31"/>
  <c r="K165" i="31"/>
  <c r="G165" i="31"/>
  <c r="Y164" i="31"/>
  <c r="AB164" i="31" s="1"/>
  <c r="X164" i="31"/>
  <c r="AA164" i="31" s="1"/>
  <c r="G164" i="31"/>
  <c r="Y163" i="31"/>
  <c r="AB163" i="31" s="1"/>
  <c r="X163" i="31"/>
  <c r="S163" i="31"/>
  <c r="J163" i="31"/>
  <c r="AA163" i="31" s="1"/>
  <c r="G163" i="31"/>
  <c r="AB162" i="31"/>
  <c r="AA162" i="31"/>
  <c r="G162" i="31"/>
  <c r="Y161" i="31"/>
  <c r="AB161" i="31" s="1"/>
  <c r="X161" i="31"/>
  <c r="S161" i="31"/>
  <c r="K161" i="31"/>
  <c r="J161" i="31"/>
  <c r="AA161" i="31" s="1"/>
  <c r="G161" i="31"/>
  <c r="AB160" i="31"/>
  <c r="AA160" i="31"/>
  <c r="K160" i="31"/>
  <c r="G160" i="31"/>
  <c r="AA159" i="31"/>
  <c r="M159" i="31"/>
  <c r="AB159" i="31" s="1"/>
  <c r="K159" i="31"/>
  <c r="G159" i="31"/>
  <c r="AA158" i="31"/>
  <c r="M158" i="31"/>
  <c r="AB158" i="31" s="1"/>
  <c r="G158" i="31"/>
  <c r="AB157" i="31"/>
  <c r="AA157" i="31"/>
  <c r="K157" i="31"/>
  <c r="G157" i="31"/>
  <c r="AB156" i="31"/>
  <c r="AA156" i="31"/>
  <c r="K156" i="31"/>
  <c r="G156" i="31"/>
  <c r="AB155" i="31"/>
  <c r="AA155" i="31"/>
  <c r="K155" i="31"/>
  <c r="G155" i="31"/>
  <c r="Y154" i="31"/>
  <c r="AB154" i="31" s="1"/>
  <c r="X154" i="31"/>
  <c r="AA154" i="31" s="1"/>
  <c r="K154" i="31"/>
  <c r="G154" i="31"/>
  <c r="AB153" i="31"/>
  <c r="AA153" i="31"/>
  <c r="K153" i="31"/>
  <c r="G153" i="31"/>
  <c r="AB152" i="31"/>
  <c r="AA152" i="31"/>
  <c r="K152" i="31"/>
  <c r="G152" i="31"/>
  <c r="Y151" i="31"/>
  <c r="AB151" i="31" s="1"/>
  <c r="X151" i="31"/>
  <c r="K151" i="31"/>
  <c r="J151" i="31"/>
  <c r="AA151" i="31" s="1"/>
  <c r="G151" i="31"/>
  <c r="AB150" i="31"/>
  <c r="AA150" i="31"/>
  <c r="K150" i="31"/>
  <c r="G150" i="31"/>
  <c r="AB149" i="31"/>
  <c r="AA149" i="31"/>
  <c r="K149" i="31"/>
  <c r="G149" i="31"/>
  <c r="AB148" i="31"/>
  <c r="AA148" i="31"/>
  <c r="K148" i="31"/>
  <c r="G148" i="31"/>
  <c r="AB147" i="31"/>
  <c r="AA147" i="31"/>
  <c r="K147" i="31"/>
  <c r="G147" i="31"/>
  <c r="AB146" i="31"/>
  <c r="AA146" i="31"/>
  <c r="G146" i="31"/>
  <c r="Y145" i="31"/>
  <c r="AB145" i="31" s="1"/>
  <c r="X145" i="31"/>
  <c r="AA145" i="31" s="1"/>
  <c r="G145" i="31"/>
  <c r="AB144" i="31"/>
  <c r="AA144" i="31"/>
  <c r="G144" i="31"/>
  <c r="AB143" i="31"/>
  <c r="AA143" i="31"/>
  <c r="G143" i="31"/>
  <c r="AB142" i="31"/>
  <c r="AA142" i="31"/>
  <c r="K142" i="31"/>
  <c r="G142" i="31"/>
  <c r="AB141" i="31"/>
  <c r="AA141" i="31"/>
  <c r="G141" i="31"/>
  <c r="AB140" i="31"/>
  <c r="AA140" i="31"/>
  <c r="G140" i="31"/>
  <c r="AB139" i="31"/>
  <c r="AA139" i="31"/>
  <c r="K139" i="31"/>
  <c r="G139" i="31"/>
  <c r="AB138" i="31"/>
  <c r="AA138" i="31"/>
  <c r="K138" i="31"/>
  <c r="G138" i="31"/>
  <c r="AB137" i="31"/>
  <c r="AA137" i="31"/>
  <c r="G137" i="31"/>
  <c r="AB136" i="31"/>
  <c r="AA136" i="31"/>
  <c r="G136" i="31"/>
  <c r="Y135" i="31"/>
  <c r="AB135" i="31" s="1"/>
  <c r="X135" i="31"/>
  <c r="AA135" i="31" s="1"/>
  <c r="G135" i="31"/>
  <c r="AB134" i="31"/>
  <c r="AA134" i="31"/>
  <c r="K134" i="31"/>
  <c r="G134" i="31"/>
  <c r="AB133" i="31"/>
  <c r="AA133" i="31"/>
  <c r="K133" i="31"/>
  <c r="G133" i="31"/>
  <c r="AB132" i="31"/>
  <c r="AA132" i="31"/>
  <c r="K132" i="31"/>
  <c r="G132" i="31"/>
  <c r="AB131" i="31"/>
  <c r="AA131" i="31"/>
  <c r="K131" i="31"/>
  <c r="G131" i="31"/>
  <c r="AB130" i="31"/>
  <c r="AA130" i="31"/>
  <c r="K130" i="31"/>
  <c r="G130" i="31"/>
  <c r="AB129" i="31"/>
  <c r="AA129" i="31"/>
  <c r="K129" i="31"/>
  <c r="G129" i="31"/>
  <c r="AB128" i="31"/>
  <c r="AA128" i="31"/>
  <c r="K128" i="31"/>
  <c r="G128" i="31"/>
  <c r="AB127" i="31"/>
  <c r="AA127" i="31"/>
  <c r="K127" i="31"/>
  <c r="G127" i="31"/>
  <c r="AB126" i="31"/>
  <c r="AA126" i="31"/>
  <c r="K126" i="31"/>
  <c r="G126" i="31"/>
  <c r="AA125" i="31"/>
  <c r="M125" i="31"/>
  <c r="AB125" i="31" s="1"/>
  <c r="K125" i="31"/>
  <c r="G125" i="31"/>
  <c r="AB124" i="31"/>
  <c r="AA124" i="31"/>
  <c r="K124" i="31"/>
  <c r="G124" i="31"/>
  <c r="AB123" i="31"/>
  <c r="AA123" i="31"/>
  <c r="K123" i="31"/>
  <c r="G123" i="31"/>
  <c r="AB122" i="31"/>
  <c r="AA122" i="31"/>
  <c r="K122" i="31"/>
  <c r="G122" i="31"/>
  <c r="AB121" i="31"/>
  <c r="AA121" i="31"/>
  <c r="K121" i="31"/>
  <c r="G121" i="31"/>
  <c r="AB120" i="31"/>
  <c r="AA120" i="31"/>
  <c r="K120" i="31"/>
  <c r="G120" i="31"/>
  <c r="AB119" i="31"/>
  <c r="AA119" i="31"/>
  <c r="K119" i="31"/>
  <c r="G119" i="31"/>
  <c r="AB118" i="31"/>
  <c r="AA118" i="31"/>
  <c r="K118" i="31"/>
  <c r="G118" i="31"/>
  <c r="AB117" i="31"/>
  <c r="Y117" i="31"/>
  <c r="X117" i="31"/>
  <c r="AA117" i="31" s="1"/>
  <c r="K117" i="31"/>
  <c r="G117" i="31"/>
  <c r="AB116" i="31"/>
  <c r="S116" i="31"/>
  <c r="K116" i="31"/>
  <c r="J116" i="31"/>
  <c r="AA116" i="31" s="1"/>
  <c r="G116" i="31"/>
  <c r="AB115" i="31"/>
  <c r="Y115" i="31"/>
  <c r="X115" i="31"/>
  <c r="AA115" i="31" s="1"/>
  <c r="K115" i="31"/>
  <c r="G115" i="31"/>
  <c r="AB114" i="31"/>
  <c r="AA114" i="31"/>
  <c r="K114" i="31"/>
  <c r="G114" i="31"/>
  <c r="AB113" i="31"/>
  <c r="AA113" i="31"/>
  <c r="K113" i="31"/>
  <c r="G113" i="31"/>
  <c r="AB112" i="31"/>
  <c r="Y112" i="31"/>
  <c r="X112" i="31"/>
  <c r="AA112" i="31" s="1"/>
  <c r="K112" i="31"/>
  <c r="G112" i="31"/>
  <c r="AB111" i="31"/>
  <c r="AA111" i="31"/>
  <c r="K111" i="31"/>
  <c r="G111" i="31"/>
  <c r="AB110" i="31"/>
  <c r="AA110" i="31"/>
  <c r="K110" i="31"/>
  <c r="G110" i="31"/>
  <c r="AB109" i="31"/>
  <c r="AA109" i="31"/>
  <c r="K109" i="31"/>
  <c r="G109" i="31"/>
  <c r="AB108" i="31"/>
  <c r="Y108" i="31"/>
  <c r="X108" i="31"/>
  <c r="AA108" i="31" s="1"/>
  <c r="K108" i="31"/>
  <c r="G108" i="31"/>
  <c r="AB107" i="31"/>
  <c r="AA107" i="31"/>
  <c r="K107" i="31"/>
  <c r="G107" i="31"/>
  <c r="AB106" i="31"/>
  <c r="AA106" i="31"/>
  <c r="K106" i="31"/>
  <c r="G106" i="31"/>
  <c r="AB105" i="31"/>
  <c r="AA105" i="31"/>
  <c r="K105" i="31"/>
  <c r="G105" i="31"/>
  <c r="AB104" i="31"/>
  <c r="AA104" i="31"/>
  <c r="K104" i="31"/>
  <c r="G104" i="31"/>
  <c r="Y103" i="31"/>
  <c r="AB103" i="31" s="1"/>
  <c r="X103" i="31"/>
  <c r="AA103" i="31" s="1"/>
  <c r="K103" i="31"/>
  <c r="G103" i="31"/>
  <c r="AB102" i="31"/>
  <c r="AA102" i="31"/>
  <c r="K102" i="31"/>
  <c r="G102" i="31"/>
  <c r="AB101" i="31"/>
  <c r="AA101" i="31"/>
  <c r="K101" i="31"/>
  <c r="G101" i="31"/>
  <c r="AB100" i="31"/>
  <c r="AA100" i="31"/>
  <c r="K100" i="31"/>
  <c r="G100" i="31"/>
  <c r="AB99" i="31"/>
  <c r="AA99" i="31"/>
  <c r="K99" i="31"/>
  <c r="G99" i="31"/>
  <c r="AB98" i="31"/>
  <c r="AA98" i="31"/>
  <c r="K98" i="31"/>
  <c r="G98" i="31"/>
  <c r="AB97" i="31"/>
  <c r="S97" i="31"/>
  <c r="J97" i="31"/>
  <c r="AA97" i="31" s="1"/>
  <c r="G97" i="31"/>
  <c r="AB96" i="31"/>
  <c r="AA96" i="31"/>
  <c r="K96" i="31"/>
  <c r="G96" i="31"/>
  <c r="AB95" i="31"/>
  <c r="AA95" i="31"/>
  <c r="G95" i="31"/>
  <c r="S94" i="31"/>
  <c r="M94" i="31"/>
  <c r="AB94" i="31" s="1"/>
  <c r="K94" i="31"/>
  <c r="J94" i="31"/>
  <c r="AA94" i="31" s="1"/>
  <c r="G94" i="31"/>
  <c r="AB93" i="31"/>
  <c r="S93" i="31"/>
  <c r="N93" i="31"/>
  <c r="K93" i="31"/>
  <c r="J93" i="31"/>
  <c r="AA93" i="31" s="1"/>
  <c r="G93" i="31"/>
  <c r="AB92" i="31"/>
  <c r="AA92" i="31"/>
  <c r="N92" i="31"/>
  <c r="G92" i="31"/>
  <c r="AB91" i="31"/>
  <c r="AA91" i="31"/>
  <c r="G91" i="31"/>
  <c r="AB90" i="31"/>
  <c r="AA90" i="31"/>
  <c r="K90" i="31"/>
  <c r="G90" i="31"/>
  <c r="AB89" i="31"/>
  <c r="AA89" i="31"/>
  <c r="K89" i="31"/>
  <c r="G89" i="31"/>
  <c r="AB88" i="31"/>
  <c r="AA88" i="31"/>
  <c r="K88" i="31"/>
  <c r="G88" i="31"/>
  <c r="AB87" i="31"/>
  <c r="AA87" i="31"/>
  <c r="G87" i="31"/>
  <c r="AB86" i="31"/>
  <c r="Y86" i="31"/>
  <c r="X86" i="31"/>
  <c r="AA86" i="31" s="1"/>
  <c r="K86" i="31"/>
  <c r="G86" i="31"/>
  <c r="AB85" i="31"/>
  <c r="AA85" i="31"/>
  <c r="M85" i="31"/>
  <c r="K85" i="31"/>
  <c r="G85" i="31"/>
  <c r="AA84" i="31"/>
  <c r="Y84" i="31"/>
  <c r="AB84" i="31" s="1"/>
  <c r="X84" i="31"/>
  <c r="K84" i="31"/>
  <c r="G84" i="31"/>
  <c r="AB83" i="31"/>
  <c r="AA83" i="31"/>
  <c r="K83" i="31"/>
  <c r="G83" i="31"/>
  <c r="AB82" i="31"/>
  <c r="AA82" i="31"/>
  <c r="M82" i="31"/>
  <c r="G82" i="31"/>
  <c r="S81" i="31"/>
  <c r="M81" i="31"/>
  <c r="AB81" i="31" s="1"/>
  <c r="K81" i="31"/>
  <c r="J81" i="31"/>
  <c r="AA81" i="31" s="1"/>
  <c r="G81" i="31"/>
  <c r="AB80" i="31"/>
  <c r="AA80" i="31"/>
  <c r="Y80" i="31"/>
  <c r="X80" i="31"/>
  <c r="K80" i="31"/>
  <c r="G80" i="31"/>
  <c r="AB79" i="31"/>
  <c r="AA79" i="31"/>
  <c r="K79" i="31"/>
  <c r="G79" i="31"/>
  <c r="AB78" i="31"/>
  <c r="AA78" i="31"/>
  <c r="K78" i="31"/>
  <c r="G78" i="31"/>
  <c r="AB77" i="31"/>
  <c r="AA77" i="31"/>
  <c r="K77" i="31"/>
  <c r="G77" i="31"/>
  <c r="Y76" i="31"/>
  <c r="AB76" i="31" s="1"/>
  <c r="X76" i="31"/>
  <c r="AA76" i="31" s="1"/>
  <c r="K76" i="31"/>
  <c r="G76" i="31"/>
  <c r="AB75" i="31"/>
  <c r="AA75" i="31"/>
  <c r="G75" i="31"/>
  <c r="AB74" i="31"/>
  <c r="AA74" i="31"/>
  <c r="K74" i="31"/>
  <c r="G74" i="31"/>
  <c r="AB73" i="31"/>
  <c r="AA73" i="31"/>
  <c r="K73" i="31"/>
  <c r="G73" i="31"/>
  <c r="AA72" i="31"/>
  <c r="Y72" i="31"/>
  <c r="AB72" i="31" s="1"/>
  <c r="X72" i="31"/>
  <c r="K72" i="31"/>
  <c r="G72" i="31"/>
  <c r="AB71" i="31"/>
  <c r="AA71" i="31"/>
  <c r="G71" i="31"/>
  <c r="AB70" i="31"/>
  <c r="Y70" i="31"/>
  <c r="X70" i="31"/>
  <c r="AA70" i="31" s="1"/>
  <c r="K70" i="31"/>
  <c r="G70" i="31"/>
  <c r="AB69" i="31"/>
  <c r="AA69" i="31"/>
  <c r="K69" i="31"/>
  <c r="G69" i="31"/>
  <c r="AB68" i="31"/>
  <c r="AA68" i="31"/>
  <c r="K68" i="31"/>
  <c r="G68" i="31"/>
  <c r="AB67" i="31"/>
  <c r="AA67" i="31"/>
  <c r="G67" i="31"/>
  <c r="AB66" i="31"/>
  <c r="Y66" i="31"/>
  <c r="X66" i="31"/>
  <c r="S66" i="31"/>
  <c r="K66" i="31"/>
  <c r="J66" i="31"/>
  <c r="AA66" i="31" s="1"/>
  <c r="G66" i="31"/>
  <c r="AB65" i="31"/>
  <c r="AA65" i="31"/>
  <c r="Y65" i="31"/>
  <c r="X65" i="31"/>
  <c r="G65" i="31"/>
  <c r="Y64" i="31"/>
  <c r="AB64" i="31" s="1"/>
  <c r="X64" i="31"/>
  <c r="AA64" i="31" s="1"/>
  <c r="K64" i="31"/>
  <c r="G64" i="31"/>
  <c r="AB63" i="31"/>
  <c r="AA63" i="31"/>
  <c r="G63" i="31"/>
  <c r="AB62" i="31"/>
  <c r="AA62" i="31"/>
  <c r="K62" i="31"/>
  <c r="G62" i="31"/>
  <c r="AB61" i="31"/>
  <c r="AA61" i="31"/>
  <c r="K61" i="31"/>
  <c r="G61" i="31"/>
  <c r="AA60" i="31"/>
  <c r="Y60" i="31"/>
  <c r="AB60" i="31" s="1"/>
  <c r="X60" i="31"/>
  <c r="K60" i="31"/>
  <c r="G60" i="31"/>
  <c r="AB59" i="31"/>
  <c r="AA59" i="31"/>
  <c r="G59" i="31"/>
  <c r="AB58" i="31"/>
  <c r="Y58" i="31"/>
  <c r="X58" i="31"/>
  <c r="AA58" i="31" s="1"/>
  <c r="G58" i="31"/>
  <c r="AB57" i="31"/>
  <c r="AA57" i="31"/>
  <c r="G57" i="31"/>
  <c r="AB56" i="31"/>
  <c r="AA56" i="31"/>
  <c r="Y56" i="31"/>
  <c r="X56" i="31"/>
  <c r="G56" i="31"/>
  <c r="AB55" i="31"/>
  <c r="AA55" i="31"/>
  <c r="G55" i="31"/>
  <c r="AB54" i="31"/>
  <c r="AA54" i="31"/>
  <c r="G54" i="31"/>
  <c r="AB53" i="31"/>
  <c r="AA53" i="31"/>
  <c r="G53" i="31"/>
  <c r="AB52" i="31"/>
  <c r="AA52" i="31"/>
  <c r="G52" i="31"/>
  <c r="AB51" i="31"/>
  <c r="AA51" i="31"/>
  <c r="G51" i="31"/>
  <c r="AB50" i="31"/>
  <c r="AA50" i="31"/>
  <c r="G50" i="31"/>
  <c r="AB49" i="31"/>
  <c r="AA49" i="31"/>
  <c r="G49" i="31"/>
  <c r="AB48" i="31"/>
  <c r="AA48" i="31"/>
  <c r="G48" i="31"/>
  <c r="AB47" i="31"/>
  <c r="AA47" i="31"/>
  <c r="G47" i="31"/>
  <c r="AB46" i="31"/>
  <c r="AA46" i="31"/>
  <c r="G46" i="31"/>
  <c r="AB45" i="31"/>
  <c r="AA45" i="31"/>
  <c r="G45" i="31"/>
  <c r="Y44" i="31"/>
  <c r="AB44" i="31" s="1"/>
  <c r="X44" i="31"/>
  <c r="S44" i="31"/>
  <c r="J44" i="31"/>
  <c r="AA44" i="31" s="1"/>
  <c r="G44" i="31"/>
  <c r="AB43" i="31"/>
  <c r="S43" i="31"/>
  <c r="J43" i="31"/>
  <c r="AA43" i="31" s="1"/>
  <c r="G43" i="31"/>
  <c r="AB42" i="31"/>
  <c r="AA42" i="31"/>
  <c r="G42" i="31"/>
  <c r="AB41" i="31"/>
  <c r="X41" i="31"/>
  <c r="AA41" i="31" s="1"/>
  <c r="G41" i="31"/>
  <c r="AB40" i="31"/>
  <c r="AA40" i="31"/>
  <c r="G40" i="31"/>
  <c r="AB39" i="31"/>
  <c r="AA39" i="31"/>
  <c r="G39" i="31"/>
  <c r="AB38" i="31"/>
  <c r="AA38" i="31"/>
  <c r="G38" i="31"/>
  <c r="AB37" i="31"/>
  <c r="AA37" i="31"/>
  <c r="G37" i="31"/>
  <c r="AB36" i="31"/>
  <c r="AA36" i="31"/>
  <c r="G36" i="31"/>
  <c r="AB35" i="31"/>
  <c r="AA35" i="31"/>
  <c r="G35" i="31"/>
  <c r="AB34" i="31"/>
  <c r="AA34" i="31"/>
  <c r="G34" i="31"/>
  <c r="AA33" i="31"/>
  <c r="N33" i="31"/>
  <c r="M33" i="31"/>
  <c r="AB33" i="31" s="1"/>
  <c r="G33" i="31"/>
  <c r="AB32" i="31"/>
  <c r="AA32" i="31"/>
  <c r="N32" i="31"/>
  <c r="G32" i="31"/>
  <c r="AA31" i="31"/>
  <c r="Y31" i="31"/>
  <c r="X31" i="31"/>
  <c r="N31" i="31"/>
  <c r="M31" i="31"/>
  <c r="AB31" i="31" s="1"/>
  <c r="G31" i="31"/>
  <c r="AB30" i="31"/>
  <c r="AA30" i="31"/>
  <c r="N30" i="31"/>
  <c r="K30" i="31"/>
  <c r="J30" i="31"/>
  <c r="G30" i="31"/>
  <c r="AA29" i="31"/>
  <c r="N29" i="31"/>
  <c r="M29" i="31"/>
  <c r="AB29" i="31" s="1"/>
  <c r="G29" i="31"/>
  <c r="AB28" i="31"/>
  <c r="AA28" i="31"/>
  <c r="N28" i="31"/>
  <c r="G28" i="31"/>
  <c r="AB27" i="31"/>
  <c r="AA27" i="31"/>
  <c r="N27" i="31"/>
  <c r="G27" i="31"/>
  <c r="AB26" i="31"/>
  <c r="AA26" i="31"/>
  <c r="N26" i="31"/>
  <c r="G26" i="31"/>
  <c r="AB25" i="31"/>
  <c r="AA25" i="31"/>
  <c r="Y25" i="31"/>
  <c r="X25" i="31"/>
  <c r="N25" i="31"/>
  <c r="G25" i="31"/>
  <c r="AB24" i="31"/>
  <c r="AA24" i="31"/>
  <c r="N24" i="31"/>
  <c r="M24" i="31"/>
  <c r="G24" i="31"/>
  <c r="AB23" i="31"/>
  <c r="AA23" i="31"/>
  <c r="Y23" i="31"/>
  <c r="X23" i="31"/>
  <c r="N23" i="31"/>
  <c r="G23" i="31"/>
  <c r="AA22" i="31"/>
  <c r="N22" i="31"/>
  <c r="M22" i="31"/>
  <c r="AB22" i="31" s="1"/>
  <c r="G22" i="31"/>
  <c r="AA21" i="31"/>
  <c r="Y21" i="31"/>
  <c r="X21" i="31"/>
  <c r="S21" i="31"/>
  <c r="N21" i="31"/>
  <c r="M21" i="31"/>
  <c r="AB21" i="31" s="1"/>
  <c r="G21" i="31"/>
  <c r="S20" i="31"/>
  <c r="N20" i="31"/>
  <c r="M20" i="31"/>
  <c r="AB20" i="31" s="1"/>
  <c r="J20" i="31"/>
  <c r="AA20" i="31" s="1"/>
  <c r="G20" i="31"/>
  <c r="AB19" i="31"/>
  <c r="Y19" i="31"/>
  <c r="X19" i="31"/>
  <c r="AA19" i="31" s="1"/>
  <c r="N19" i="31"/>
  <c r="K19" i="31"/>
  <c r="G19" i="31"/>
  <c r="Y18" i="31"/>
  <c r="X18" i="31"/>
  <c r="AA18" i="31" s="1"/>
  <c r="S18" i="31"/>
  <c r="N18" i="31"/>
  <c r="M18" i="31"/>
  <c r="AB18" i="31" s="1"/>
  <c r="G18" i="31"/>
  <c r="AB17" i="31"/>
  <c r="Y17" i="31"/>
  <c r="X17" i="31"/>
  <c r="S17" i="31"/>
  <c r="N17" i="31"/>
  <c r="M17" i="31"/>
  <c r="J17" i="31"/>
  <c r="AA17" i="31" s="1"/>
  <c r="G17" i="31"/>
  <c r="AB16" i="31"/>
  <c r="AA16" i="31"/>
  <c r="S16" i="31"/>
  <c r="N16" i="31"/>
  <c r="M16" i="31"/>
  <c r="J16" i="31"/>
  <c r="G16" i="31"/>
  <c r="AA15" i="31"/>
  <c r="S15" i="31"/>
  <c r="N15" i="31"/>
  <c r="M15" i="31"/>
  <c r="AB15" i="31" s="1"/>
  <c r="G15" i="31"/>
  <c r="AA14" i="31"/>
  <c r="Y14" i="31"/>
  <c r="AB14" i="31" s="1"/>
  <c r="X14" i="31"/>
  <c r="N14" i="31"/>
  <c r="M14" i="31"/>
  <c r="G14" i="31"/>
  <c r="AA13" i="31"/>
  <c r="X13" i="31"/>
  <c r="N13" i="31"/>
  <c r="M13" i="31"/>
  <c r="AB13" i="31" s="1"/>
  <c r="K13" i="31"/>
  <c r="G13" i="31"/>
  <c r="AB12" i="31"/>
  <c r="AA12" i="31"/>
  <c r="Y12" i="31"/>
  <c r="N12" i="31"/>
  <c r="M12" i="31"/>
  <c r="K12" i="31"/>
  <c r="G12" i="31"/>
  <c r="AB699" i="28"/>
  <c r="AA699" i="28"/>
  <c r="AB698" i="28"/>
  <c r="AA698" i="28"/>
  <c r="G698" i="28"/>
  <c r="AB697" i="28"/>
  <c r="AA697" i="28"/>
  <c r="G697" i="28"/>
  <c r="AB696" i="28"/>
  <c r="AA696" i="28"/>
  <c r="G696" i="28"/>
  <c r="AB695" i="28"/>
  <c r="AA695" i="28"/>
  <c r="G695" i="28"/>
  <c r="AB694" i="28"/>
  <c r="Y694" i="28"/>
  <c r="X694" i="28"/>
  <c r="AA694" i="28" s="1"/>
  <c r="S694" i="28"/>
  <c r="J694" i="28"/>
  <c r="G694" i="28"/>
  <c r="AB693" i="28"/>
  <c r="AA693" i="28"/>
  <c r="K693" i="28"/>
  <c r="G693" i="28"/>
  <c r="AB692" i="28"/>
  <c r="X692" i="28"/>
  <c r="AA692" i="28" s="1"/>
  <c r="G692" i="28"/>
  <c r="AB691" i="28"/>
  <c r="AA691" i="28"/>
  <c r="G691" i="28"/>
  <c r="AB690" i="28"/>
  <c r="AA690" i="28"/>
  <c r="G690" i="28"/>
  <c r="AB689" i="28"/>
  <c r="AA689" i="28"/>
  <c r="M689" i="28"/>
  <c r="G689" i="28"/>
  <c r="AA688" i="28"/>
  <c r="M688" i="28"/>
  <c r="AB688" i="28" s="1"/>
  <c r="G688" i="28"/>
  <c r="AA687" i="28"/>
  <c r="M687" i="28"/>
  <c r="AB687" i="28" s="1"/>
  <c r="G687" i="28"/>
  <c r="AB686" i="28"/>
  <c r="AA686" i="28"/>
  <c r="K686" i="28"/>
  <c r="G686" i="28"/>
  <c r="AB685" i="28"/>
  <c r="AA685" i="28"/>
  <c r="G685" i="28"/>
  <c r="AB684" i="28"/>
  <c r="AA684" i="28"/>
  <c r="K684" i="28"/>
  <c r="G684" i="28"/>
  <c r="AB683" i="28"/>
  <c r="AA683" i="28"/>
  <c r="K683" i="28"/>
  <c r="G683" i="28"/>
  <c r="AB682" i="28"/>
  <c r="AA682" i="28"/>
  <c r="K682" i="28"/>
  <c r="G682" i="28"/>
  <c r="AB681" i="28"/>
  <c r="AA681" i="28"/>
  <c r="K681" i="28"/>
  <c r="G681" i="28"/>
  <c r="AB680" i="28"/>
  <c r="AA680" i="28"/>
  <c r="K680" i="28"/>
  <c r="G680" i="28"/>
  <c r="AB679" i="28"/>
  <c r="AA679" i="28"/>
  <c r="K679" i="28"/>
  <c r="G679" i="28"/>
  <c r="AB678" i="28"/>
  <c r="AA678" i="28"/>
  <c r="G678" i="28"/>
  <c r="AB677" i="28"/>
  <c r="AA677" i="28"/>
  <c r="G677" i="28"/>
  <c r="AB676" i="28"/>
  <c r="AA676" i="28"/>
  <c r="G676" i="28"/>
  <c r="AB675" i="28"/>
  <c r="AA675" i="28"/>
  <c r="G675" i="28"/>
  <c r="AB674" i="28"/>
  <c r="AA674" i="28"/>
  <c r="G674" i="28"/>
  <c r="AB673" i="28"/>
  <c r="AA673" i="28"/>
  <c r="G673" i="28"/>
  <c r="AB672" i="28"/>
  <c r="AA672" i="28"/>
  <c r="G672" i="28"/>
  <c r="AA671" i="28"/>
  <c r="M671" i="28"/>
  <c r="AB671" i="28" s="1"/>
  <c r="G671" i="28"/>
  <c r="AB670" i="28"/>
  <c r="AA670" i="28"/>
  <c r="G670" i="28"/>
  <c r="AB669" i="28"/>
  <c r="AA669" i="28"/>
  <c r="G669" i="28"/>
  <c r="AB668" i="28"/>
  <c r="AA668" i="28"/>
  <c r="G668" i="28"/>
  <c r="AB667" i="28"/>
  <c r="AA667" i="28"/>
  <c r="G667" i="28"/>
  <c r="AB666" i="28"/>
  <c r="AA666" i="28"/>
  <c r="G666" i="28"/>
  <c r="AB665" i="28"/>
  <c r="AA665" i="28"/>
  <c r="G665" i="28"/>
  <c r="AB664" i="28"/>
  <c r="AA664" i="28"/>
  <c r="N664" i="28"/>
  <c r="G664" i="28"/>
  <c r="AB663" i="28"/>
  <c r="Y663" i="28"/>
  <c r="X663" i="28"/>
  <c r="AA663" i="28" s="1"/>
  <c r="N663" i="28"/>
  <c r="M663" i="28"/>
  <c r="G663" i="28"/>
  <c r="Y662" i="28"/>
  <c r="AB662" i="28" s="1"/>
  <c r="X662" i="28"/>
  <c r="AA662" i="28" s="1"/>
  <c r="M662" i="28"/>
  <c r="G662" i="28"/>
  <c r="AA661" i="28"/>
  <c r="N661" i="28"/>
  <c r="M661" i="28"/>
  <c r="AB661" i="28" s="1"/>
  <c r="G661" i="28"/>
  <c r="AB660" i="28"/>
  <c r="AA660" i="28"/>
  <c r="G660" i="28"/>
  <c r="AB659" i="28"/>
  <c r="AA659" i="28"/>
  <c r="M659" i="28"/>
  <c r="G659" i="28"/>
  <c r="AB658" i="28"/>
  <c r="AA658" i="28"/>
  <c r="N658" i="28"/>
  <c r="G658" i="28"/>
  <c r="AB657" i="28"/>
  <c r="AA657" i="28"/>
  <c r="G657" i="28"/>
  <c r="AB656" i="28"/>
  <c r="AA656" i="28"/>
  <c r="N656" i="28"/>
  <c r="G656" i="28"/>
  <c r="AB655" i="28"/>
  <c r="AA655" i="28"/>
  <c r="N655" i="28"/>
  <c r="G655" i="28"/>
  <c r="AB654" i="28"/>
  <c r="AA654" i="28"/>
  <c r="N654" i="28"/>
  <c r="G654" i="28"/>
  <c r="AB653" i="28"/>
  <c r="AA653" i="28"/>
  <c r="N653" i="28"/>
  <c r="G653" i="28"/>
  <c r="AB652" i="28"/>
  <c r="AA652" i="28"/>
  <c r="N652" i="28"/>
  <c r="G652" i="28"/>
  <c r="AB651" i="28"/>
  <c r="AA651" i="28"/>
  <c r="G651" i="28"/>
  <c r="AB650" i="28"/>
  <c r="AA650" i="28"/>
  <c r="G650" i="28"/>
  <c r="AB649" i="28"/>
  <c r="AA649" i="28"/>
  <c r="G649" i="28"/>
  <c r="AB648" i="28"/>
  <c r="AA648" i="28"/>
  <c r="G648" i="28"/>
  <c r="AB647" i="28"/>
  <c r="AA647" i="28"/>
  <c r="G647" i="28"/>
  <c r="AB646" i="28"/>
  <c r="AA646" i="28"/>
  <c r="G646" i="28"/>
  <c r="AB645" i="28"/>
  <c r="AA645" i="28"/>
  <c r="G645" i="28"/>
  <c r="AB644" i="28"/>
  <c r="AA644" i="28"/>
  <c r="G644" i="28"/>
  <c r="AB643" i="28"/>
  <c r="AA643" i="28"/>
  <c r="G643" i="28"/>
  <c r="AB642" i="28"/>
  <c r="AA642" i="28"/>
  <c r="G642" i="28"/>
  <c r="AB641" i="28"/>
  <c r="AA641" i="28"/>
  <c r="G641" i="28"/>
  <c r="AB640" i="28"/>
  <c r="AA640" i="28"/>
  <c r="G640" i="28"/>
  <c r="AA639" i="28"/>
  <c r="M639" i="28"/>
  <c r="AB639" i="28" s="1"/>
  <c r="K639" i="28"/>
  <c r="G639" i="28"/>
  <c r="AB638" i="28"/>
  <c r="AA638" i="28"/>
  <c r="M638" i="28"/>
  <c r="K638" i="28"/>
  <c r="G638" i="28"/>
  <c r="AB637" i="28"/>
  <c r="AA637" i="28"/>
  <c r="K637" i="28"/>
  <c r="G637" i="28"/>
  <c r="AB636" i="28"/>
  <c r="AA636" i="28"/>
  <c r="K636" i="28"/>
  <c r="G636" i="28"/>
  <c r="AA635" i="28"/>
  <c r="M635" i="28"/>
  <c r="AB635" i="28" s="1"/>
  <c r="G635" i="28"/>
  <c r="Y634" i="28"/>
  <c r="X634" i="28"/>
  <c r="S634" i="28"/>
  <c r="M634" i="28"/>
  <c r="AB634" i="28" s="1"/>
  <c r="K634" i="28"/>
  <c r="J634" i="28"/>
  <c r="AA634" i="28" s="1"/>
  <c r="G634" i="28"/>
  <c r="AB633" i="28"/>
  <c r="AA633" i="28"/>
  <c r="Y633" i="28"/>
  <c r="X633" i="28"/>
  <c r="M633" i="28"/>
  <c r="G633" i="28"/>
  <c r="AB632" i="28"/>
  <c r="AA632" i="28"/>
  <c r="K632" i="28"/>
  <c r="G632" i="28"/>
  <c r="AB631" i="28"/>
  <c r="AA631" i="28"/>
  <c r="M631" i="28"/>
  <c r="K631" i="28"/>
  <c r="G631" i="28"/>
  <c r="AB630" i="28"/>
  <c r="AA630" i="28"/>
  <c r="K630" i="28"/>
  <c r="G630" i="28"/>
  <c r="AB629" i="28"/>
  <c r="AA629" i="28"/>
  <c r="G629" i="28"/>
  <c r="AB628" i="28"/>
  <c r="AA628" i="28"/>
  <c r="G628" i="28"/>
  <c r="AB627" i="28"/>
  <c r="AA627" i="28"/>
  <c r="K627" i="28"/>
  <c r="G627" i="28"/>
  <c r="AB626" i="28"/>
  <c r="AA626" i="28"/>
  <c r="K626" i="28"/>
  <c r="G626" i="28"/>
  <c r="AB625" i="28"/>
  <c r="AA625" i="28"/>
  <c r="K625" i="28"/>
  <c r="G625" i="28"/>
  <c r="AB624" i="28"/>
  <c r="AA624" i="28"/>
  <c r="K624" i="28"/>
  <c r="G624" i="28"/>
  <c r="AB623" i="28"/>
  <c r="AA623" i="28"/>
  <c r="K623" i="28"/>
  <c r="G623" i="28"/>
  <c r="AB622" i="28"/>
  <c r="AA622" i="28"/>
  <c r="K622" i="28"/>
  <c r="G622" i="28"/>
  <c r="AB621" i="28"/>
  <c r="AA621" i="28"/>
  <c r="K621" i="28"/>
  <c r="G621" i="28"/>
  <c r="AB620" i="28"/>
  <c r="AA620" i="28"/>
  <c r="K620" i="28"/>
  <c r="G620" i="28"/>
  <c r="AB619" i="28"/>
  <c r="AA619" i="28"/>
  <c r="K619" i="28"/>
  <c r="G619" i="28"/>
  <c r="AB618" i="28"/>
  <c r="AA618" i="28"/>
  <c r="K618" i="28"/>
  <c r="G618" i="28"/>
  <c r="AB617" i="28"/>
  <c r="AA617" i="28"/>
  <c r="K617" i="28"/>
  <c r="G617" i="28"/>
  <c r="AB616" i="28"/>
  <c r="AA616" i="28"/>
  <c r="K616" i="28"/>
  <c r="G616" i="28"/>
  <c r="AB615" i="28"/>
  <c r="AA615" i="28"/>
  <c r="G615" i="28"/>
  <c r="Y614" i="28"/>
  <c r="X614" i="28"/>
  <c r="AA614" i="28" s="1"/>
  <c r="M614" i="28"/>
  <c r="AB614" i="28" s="1"/>
  <c r="G614" i="28"/>
  <c r="AB613" i="28"/>
  <c r="Y613" i="28"/>
  <c r="X613" i="28"/>
  <c r="AA613" i="28" s="1"/>
  <c r="S613" i="28"/>
  <c r="J613" i="28"/>
  <c r="G613" i="28"/>
  <c r="AB612" i="28"/>
  <c r="AA612" i="28"/>
  <c r="G612" i="28"/>
  <c r="AA611" i="28"/>
  <c r="Y611" i="28"/>
  <c r="AB611" i="28" s="1"/>
  <c r="X611" i="28"/>
  <c r="G611" i="28"/>
  <c r="AB610" i="28"/>
  <c r="AA610" i="28"/>
  <c r="AB609" i="28"/>
  <c r="AA609" i="28"/>
  <c r="G609" i="28"/>
  <c r="AB608" i="28"/>
  <c r="AA608" i="28"/>
  <c r="G608" i="28"/>
  <c r="AB607" i="28"/>
  <c r="AA607" i="28"/>
  <c r="M607" i="28"/>
  <c r="G607" i="28"/>
  <c r="AB606" i="28"/>
  <c r="AA606" i="28"/>
  <c r="M606" i="28"/>
  <c r="K606" i="28"/>
  <c r="G606" i="28"/>
  <c r="Y605" i="28"/>
  <c r="X605" i="28"/>
  <c r="AA605" i="28" s="1"/>
  <c r="N605" i="28"/>
  <c r="M605" i="28"/>
  <c r="AB605" i="28" s="1"/>
  <c r="G605" i="28"/>
  <c r="AB604" i="28"/>
  <c r="Y604" i="28"/>
  <c r="X604" i="28"/>
  <c r="AA604" i="28" s="1"/>
  <c r="M604" i="28"/>
  <c r="G604" i="28"/>
  <c r="AA603" i="28"/>
  <c r="M603" i="28"/>
  <c r="AB603" i="28" s="1"/>
  <c r="G603" i="28"/>
  <c r="AB602" i="28"/>
  <c r="AA602" i="28"/>
  <c r="G602" i="28"/>
  <c r="AB601" i="28"/>
  <c r="AA601" i="28"/>
  <c r="G601" i="28"/>
  <c r="AB600" i="28"/>
  <c r="AA600" i="28"/>
  <c r="K600" i="28"/>
  <c r="G600" i="28"/>
  <c r="AB599" i="28"/>
  <c r="AA599" i="28"/>
  <c r="K599" i="28"/>
  <c r="G599" i="28"/>
  <c r="AB598" i="28"/>
  <c r="AA598" i="28"/>
  <c r="G598" i="28"/>
  <c r="AB597" i="28"/>
  <c r="AA597" i="28"/>
  <c r="G597" i="28"/>
  <c r="AB596" i="28"/>
  <c r="AA596" i="28"/>
  <c r="G596" i="28"/>
  <c r="AB595" i="28"/>
  <c r="AA595" i="28"/>
  <c r="G595" i="28"/>
  <c r="AB594" i="28"/>
  <c r="AA594" i="28"/>
  <c r="G594" i="28"/>
  <c r="AB593" i="28"/>
  <c r="AA593" i="28"/>
  <c r="G593" i="28"/>
  <c r="AB592" i="28"/>
  <c r="AA592" i="28"/>
  <c r="G592" i="28"/>
  <c r="AB591" i="28"/>
  <c r="AA591" i="28"/>
  <c r="G591" i="28"/>
  <c r="AB590" i="28"/>
  <c r="Y590" i="28"/>
  <c r="X590" i="28"/>
  <c r="AA590" i="28" s="1"/>
  <c r="G590" i="28"/>
  <c r="AB589" i="28"/>
  <c r="AA589" i="28"/>
  <c r="G589" i="28"/>
  <c r="AB588" i="28"/>
  <c r="AA588" i="28"/>
  <c r="AB587" i="28"/>
  <c r="AA587" i="28"/>
  <c r="AB586" i="28"/>
  <c r="AA586" i="28"/>
  <c r="AB585" i="28"/>
  <c r="AA585" i="28"/>
  <c r="AB584" i="28"/>
  <c r="X584" i="28"/>
  <c r="AA584" i="28" s="1"/>
  <c r="G584" i="28"/>
  <c r="AB583" i="28"/>
  <c r="AA583" i="28"/>
  <c r="G583" i="28"/>
  <c r="AB582" i="28"/>
  <c r="AA582" i="28"/>
  <c r="G582" i="28"/>
  <c r="AB581" i="28"/>
  <c r="AA581" i="28"/>
  <c r="G581" i="28"/>
  <c r="AB580" i="28"/>
  <c r="AA580" i="28"/>
  <c r="G580" i="28"/>
  <c r="AB579" i="28"/>
  <c r="AA579" i="28"/>
  <c r="G579" i="28"/>
  <c r="AB578" i="28"/>
  <c r="AA578" i="28"/>
  <c r="G578" i="28"/>
  <c r="AB577" i="28"/>
  <c r="AA577" i="28"/>
  <c r="G577" i="28"/>
  <c r="AB576" i="28"/>
  <c r="AA576" i="28"/>
  <c r="G576" i="28"/>
  <c r="AB575" i="28"/>
  <c r="AA575" i="28"/>
  <c r="G575" i="28"/>
  <c r="AB574" i="28"/>
  <c r="AA574" i="28"/>
  <c r="G574" i="28"/>
  <c r="AB573" i="28"/>
  <c r="AA573" i="28"/>
  <c r="G573" i="28"/>
  <c r="AB572" i="28"/>
  <c r="AA572" i="28"/>
  <c r="G572" i="28"/>
  <c r="AB571" i="28"/>
  <c r="AA571" i="28"/>
  <c r="G571" i="28"/>
  <c r="AB570" i="28"/>
  <c r="AA570" i="28"/>
  <c r="G570" i="28"/>
  <c r="AB569" i="28"/>
  <c r="AA569" i="28"/>
  <c r="G569" i="28"/>
  <c r="Y568" i="28"/>
  <c r="X568" i="28"/>
  <c r="AA568" i="28" s="1"/>
  <c r="M568" i="28"/>
  <c r="AB568" i="28" s="1"/>
  <c r="K568" i="28"/>
  <c r="G568" i="28"/>
  <c r="AB567" i="28"/>
  <c r="AA567" i="28"/>
  <c r="K567" i="28"/>
  <c r="G567" i="28"/>
  <c r="AB566" i="28"/>
  <c r="AA566" i="28"/>
  <c r="G566" i="28"/>
  <c r="AB565" i="28"/>
  <c r="X565" i="28"/>
  <c r="AA565" i="28" s="1"/>
  <c r="G565" i="28"/>
  <c r="AB564" i="28"/>
  <c r="AA564" i="28"/>
  <c r="Y564" i="28"/>
  <c r="X564" i="28"/>
  <c r="G564" i="28"/>
  <c r="AB563" i="28"/>
  <c r="AA563" i="28"/>
  <c r="G563" i="28"/>
  <c r="AA562" i="28"/>
  <c r="Y562" i="28"/>
  <c r="AB562" i="28" s="1"/>
  <c r="X562" i="28"/>
  <c r="G562" i="28"/>
  <c r="AB561" i="28"/>
  <c r="AA561" i="28"/>
  <c r="G561" i="28"/>
  <c r="AB560" i="28"/>
  <c r="AA560" i="28"/>
  <c r="G560" i="28"/>
  <c r="AB559" i="28"/>
  <c r="AA559" i="28"/>
  <c r="K559" i="28"/>
  <c r="G559" i="28"/>
  <c r="AB558" i="28"/>
  <c r="AA558" i="28"/>
  <c r="K558" i="28"/>
  <c r="G558" i="28"/>
  <c r="AB557" i="28"/>
  <c r="AA557" i="28"/>
  <c r="K557" i="28"/>
  <c r="G557" i="28"/>
  <c r="AB556" i="28"/>
  <c r="AA556" i="28"/>
  <c r="K556" i="28"/>
  <c r="G556" i="28"/>
  <c r="AB555" i="28"/>
  <c r="AA555" i="28"/>
  <c r="G555" i="28"/>
  <c r="AB554" i="28"/>
  <c r="S554" i="28"/>
  <c r="K554" i="28"/>
  <c r="J554" i="28"/>
  <c r="AA554" i="28" s="1"/>
  <c r="G554" i="28"/>
  <c r="AB553" i="28"/>
  <c r="AA553" i="28"/>
  <c r="K553" i="28"/>
  <c r="G553" i="28"/>
  <c r="AB552" i="28"/>
  <c r="AA552" i="28"/>
  <c r="G552" i="28"/>
  <c r="AB551" i="28"/>
  <c r="AA551" i="28"/>
  <c r="G551" i="28"/>
  <c r="AB550" i="28"/>
  <c r="AA550" i="28"/>
  <c r="G550" i="28"/>
  <c r="AB549" i="28"/>
  <c r="AA549" i="28"/>
  <c r="G549" i="28"/>
  <c r="AB548" i="28"/>
  <c r="AA548" i="28"/>
  <c r="G548" i="28"/>
  <c r="AB547" i="28"/>
  <c r="AA547" i="28"/>
  <c r="G547" i="28"/>
  <c r="AB546" i="28"/>
  <c r="S546" i="28"/>
  <c r="K546" i="28"/>
  <c r="J546" i="28"/>
  <c r="AA546" i="28" s="1"/>
  <c r="G546" i="28"/>
  <c r="AA545" i="28"/>
  <c r="S545" i="28"/>
  <c r="N545" i="28"/>
  <c r="M545" i="28"/>
  <c r="AB545" i="28" s="1"/>
  <c r="K545" i="28"/>
  <c r="J545" i="28"/>
  <c r="G545" i="28"/>
  <c r="AB544" i="28"/>
  <c r="AA544" i="28"/>
  <c r="K544" i="28"/>
  <c r="G544" i="28"/>
  <c r="AB543" i="28"/>
  <c r="AA543" i="28"/>
  <c r="K543" i="28"/>
  <c r="G543" i="28"/>
  <c r="AB542" i="28"/>
  <c r="AA542" i="28"/>
  <c r="K542" i="28"/>
  <c r="G542" i="28"/>
  <c r="AB541" i="28"/>
  <c r="AA541" i="28"/>
  <c r="G541" i="28"/>
  <c r="AB540" i="28"/>
  <c r="AA540" i="28"/>
  <c r="S540" i="28"/>
  <c r="J540" i="28"/>
  <c r="G540" i="28"/>
  <c r="AB539" i="28"/>
  <c r="AA539" i="28"/>
  <c r="G539" i="28"/>
  <c r="AB538" i="28"/>
  <c r="AA538" i="28"/>
  <c r="K538" i="28"/>
  <c r="G538" i="28"/>
  <c r="AB537" i="28"/>
  <c r="AA537" i="28"/>
  <c r="G537" i="28"/>
  <c r="AB536" i="28"/>
  <c r="AA536" i="28"/>
  <c r="G536" i="28"/>
  <c r="AB535" i="28"/>
  <c r="AA535" i="28"/>
  <c r="G535" i="28"/>
  <c r="AB534" i="28"/>
  <c r="AA534" i="28"/>
  <c r="G534" i="28"/>
  <c r="AB533" i="28"/>
  <c r="AA533" i="28"/>
  <c r="G533" i="28"/>
  <c r="AB532" i="28"/>
  <c r="AA532" i="28"/>
  <c r="G532" i="28"/>
  <c r="AB531" i="28"/>
  <c r="AA531" i="28"/>
  <c r="G531" i="28"/>
  <c r="AB530" i="28"/>
  <c r="AA530" i="28"/>
  <c r="N530" i="28"/>
  <c r="K530" i="28"/>
  <c r="G530" i="28"/>
  <c r="AB529" i="28"/>
  <c r="AA529" i="28"/>
  <c r="N529" i="28"/>
  <c r="K529" i="28"/>
  <c r="G529" i="28"/>
  <c r="AB528" i="28"/>
  <c r="AA528" i="28"/>
  <c r="N528" i="28"/>
  <c r="G528" i="28"/>
  <c r="AB527" i="28"/>
  <c r="AA527" i="28"/>
  <c r="N527" i="28"/>
  <c r="K527" i="28"/>
  <c r="G527" i="28"/>
  <c r="AB526" i="28"/>
  <c r="AA526" i="28"/>
  <c r="N526" i="28"/>
  <c r="K526" i="28"/>
  <c r="G526" i="28"/>
  <c r="AB525" i="28"/>
  <c r="AA525" i="28"/>
  <c r="N525" i="28"/>
  <c r="K525" i="28"/>
  <c r="G525" i="28"/>
  <c r="AB524" i="28"/>
  <c r="AA524" i="28"/>
  <c r="N524" i="28"/>
  <c r="K524" i="28"/>
  <c r="G524" i="28"/>
  <c r="AB523" i="28"/>
  <c r="AA523" i="28"/>
  <c r="G523" i="28"/>
  <c r="AB522" i="28"/>
  <c r="AA522" i="28"/>
  <c r="G522" i="28"/>
  <c r="AB521" i="28"/>
  <c r="AA521" i="28"/>
  <c r="G521" i="28"/>
  <c r="AB520" i="28"/>
  <c r="AA520" i="28"/>
  <c r="G520" i="28"/>
  <c r="AB519" i="28"/>
  <c r="AA519" i="28"/>
  <c r="G519" i="28"/>
  <c r="AB518" i="28"/>
  <c r="AA518" i="28"/>
  <c r="G518" i="28"/>
  <c r="AB517" i="28"/>
  <c r="AA517" i="28"/>
  <c r="K517" i="28"/>
  <c r="G517" i="28"/>
  <c r="AB516" i="28"/>
  <c r="AA516" i="28"/>
  <c r="K516" i="28"/>
  <c r="G516" i="28"/>
  <c r="AB515" i="28"/>
  <c r="AA515" i="28"/>
  <c r="K515" i="28"/>
  <c r="G515" i="28"/>
  <c r="AB514" i="28"/>
  <c r="AA514" i="28"/>
  <c r="K514" i="28"/>
  <c r="G514" i="28"/>
  <c r="AB513" i="28"/>
  <c r="AA513" i="28"/>
  <c r="K513" i="28"/>
  <c r="G513" i="28"/>
  <c r="AB512" i="28"/>
  <c r="AA512" i="28"/>
  <c r="K512" i="28"/>
  <c r="G512" i="28"/>
  <c r="AB511" i="28"/>
  <c r="AA511" i="28"/>
  <c r="K511" i="28"/>
  <c r="G511" i="28"/>
  <c r="AB510" i="28"/>
  <c r="AA510" i="28"/>
  <c r="K510" i="28"/>
  <c r="G510" i="28"/>
  <c r="AB509" i="28"/>
  <c r="AA509" i="28"/>
  <c r="K509" i="28"/>
  <c r="G509" i="28"/>
  <c r="AB508" i="28"/>
  <c r="AA508" i="28"/>
  <c r="G508" i="28"/>
  <c r="AB507" i="28"/>
  <c r="AA507" i="28"/>
  <c r="G507" i="28"/>
  <c r="AB506" i="28"/>
  <c r="AA506" i="28"/>
  <c r="K506" i="28"/>
  <c r="G506" i="28"/>
  <c r="AB505" i="28"/>
  <c r="AA505" i="28"/>
  <c r="G505" i="28"/>
  <c r="AB504" i="28"/>
  <c r="AA504" i="28"/>
  <c r="K504" i="28"/>
  <c r="G504" i="28"/>
  <c r="AB503" i="28"/>
  <c r="AA503" i="28"/>
  <c r="G503" i="28"/>
  <c r="AB502" i="28"/>
  <c r="AA502" i="28"/>
  <c r="K502" i="28"/>
  <c r="G502" i="28"/>
  <c r="AB501" i="28"/>
  <c r="AA501" i="28"/>
  <c r="K501" i="28"/>
  <c r="G501" i="28"/>
  <c r="AB500" i="28"/>
  <c r="Y500" i="28"/>
  <c r="X500" i="28"/>
  <c r="AA500" i="28" s="1"/>
  <c r="K500" i="28"/>
  <c r="G500" i="28"/>
  <c r="AB499" i="28"/>
  <c r="AA499" i="28"/>
  <c r="G499" i="28"/>
  <c r="AB498" i="28"/>
  <c r="AA498" i="28"/>
  <c r="K498" i="28"/>
  <c r="G498" i="28"/>
  <c r="AB497" i="28"/>
  <c r="AA497" i="28"/>
  <c r="G497" i="28"/>
  <c r="AB496" i="28"/>
  <c r="AA496" i="28"/>
  <c r="G496" i="28"/>
  <c r="AB495" i="28"/>
  <c r="AA495" i="28"/>
  <c r="K495" i="28"/>
  <c r="G495" i="28"/>
  <c r="AB494" i="28"/>
  <c r="AA494" i="28"/>
  <c r="K494" i="28"/>
  <c r="G494" i="28"/>
  <c r="Y493" i="28"/>
  <c r="AB493" i="28" s="1"/>
  <c r="X493" i="28"/>
  <c r="AA493" i="28" s="1"/>
  <c r="K493" i="28"/>
  <c r="G493" i="28"/>
  <c r="AB492" i="28"/>
  <c r="AA492" i="28"/>
  <c r="G492" i="28"/>
  <c r="AB491" i="28"/>
  <c r="AA491" i="28"/>
  <c r="G491" i="28"/>
  <c r="Y490" i="28"/>
  <c r="AB490" i="28" s="1"/>
  <c r="X490" i="28"/>
  <c r="AA490" i="28" s="1"/>
  <c r="G490" i="28"/>
  <c r="AB489" i="28"/>
  <c r="AA489" i="28"/>
  <c r="K489" i="28"/>
  <c r="G489" i="28"/>
  <c r="AB488" i="28"/>
  <c r="AA488" i="28"/>
  <c r="K488" i="28"/>
  <c r="G488" i="28"/>
  <c r="AA487" i="28"/>
  <c r="Y487" i="28"/>
  <c r="AB487" i="28" s="1"/>
  <c r="X487" i="28"/>
  <c r="G487" i="28"/>
  <c r="AB486" i="28"/>
  <c r="AA486" i="28"/>
  <c r="G486" i="28"/>
  <c r="AB485" i="28"/>
  <c r="AA485" i="28"/>
  <c r="G485" i="28"/>
  <c r="AB484" i="28"/>
  <c r="AA484" i="28"/>
  <c r="G484" i="28"/>
  <c r="AB483" i="28"/>
  <c r="AA483" i="28"/>
  <c r="G483" i="28"/>
  <c r="AB482" i="28"/>
  <c r="AA482" i="28"/>
  <c r="G482" i="28"/>
  <c r="AB481" i="28"/>
  <c r="Y481" i="28"/>
  <c r="X481" i="28"/>
  <c r="AA481" i="28" s="1"/>
  <c r="G481" i="28"/>
  <c r="AB480" i="28"/>
  <c r="AA480" i="28"/>
  <c r="Y480" i="28"/>
  <c r="X480" i="28"/>
  <c r="G480" i="28"/>
  <c r="Y479" i="28"/>
  <c r="AB479" i="28" s="1"/>
  <c r="X479" i="28"/>
  <c r="AA479" i="28" s="1"/>
  <c r="G479" i="28"/>
  <c r="AB478" i="28"/>
  <c r="AA478" i="28"/>
  <c r="G478" i="28"/>
  <c r="AB477" i="28"/>
  <c r="AA477" i="28"/>
  <c r="G477" i="28"/>
  <c r="AB476" i="28"/>
  <c r="AA476" i="28"/>
  <c r="G476" i="28"/>
  <c r="AB475" i="28"/>
  <c r="AA475" i="28"/>
  <c r="G475" i="28"/>
  <c r="AB474" i="28"/>
  <c r="AA474" i="28"/>
  <c r="G474" i="28"/>
  <c r="AB473" i="28"/>
  <c r="AA473" i="28"/>
  <c r="X473" i="28"/>
  <c r="G473" i="28"/>
  <c r="AB472" i="28"/>
  <c r="AA472" i="28"/>
  <c r="G472" i="28"/>
  <c r="AB471" i="28"/>
  <c r="AA471" i="28"/>
  <c r="G471" i="28"/>
  <c r="AB470" i="28"/>
  <c r="AA470" i="28"/>
  <c r="G470" i="28"/>
  <c r="AB469" i="28"/>
  <c r="AA469" i="28"/>
  <c r="G469" i="28"/>
  <c r="AB468" i="28"/>
  <c r="AA468" i="28"/>
  <c r="G468" i="28"/>
  <c r="AB467" i="28"/>
  <c r="AA467" i="28"/>
  <c r="G467" i="28"/>
  <c r="AB466" i="28"/>
  <c r="AA466" i="28"/>
  <c r="G466" i="28"/>
  <c r="AB465" i="28"/>
  <c r="AA465" i="28"/>
  <c r="G465" i="28"/>
  <c r="AB464" i="28"/>
  <c r="AA464" i="28"/>
  <c r="G464" i="28"/>
  <c r="AB463" i="28"/>
  <c r="AA463" i="28"/>
  <c r="G463" i="28"/>
  <c r="AB462" i="28"/>
  <c r="AA462" i="28"/>
  <c r="G462" i="28"/>
  <c r="AB461" i="28"/>
  <c r="AA461" i="28"/>
  <c r="G461" i="28"/>
  <c r="AB460" i="28"/>
  <c r="AA460" i="28"/>
  <c r="G460" i="28"/>
  <c r="AB459" i="28"/>
  <c r="AA459" i="28"/>
  <c r="G459" i="28"/>
  <c r="AB458" i="28"/>
  <c r="AA458" i="28"/>
  <c r="G458" i="28"/>
  <c r="AB457" i="28"/>
  <c r="AA457" i="28"/>
  <c r="G457" i="28"/>
  <c r="AB456" i="28"/>
  <c r="AA456" i="28"/>
  <c r="G456" i="28"/>
  <c r="AB455" i="28"/>
  <c r="AA455" i="28"/>
  <c r="G455" i="28"/>
  <c r="AB454" i="28"/>
  <c r="AA454" i="28"/>
  <c r="G454" i="28"/>
  <c r="AA453" i="28"/>
  <c r="M453" i="28"/>
  <c r="AB453" i="28" s="1"/>
  <c r="G453" i="28"/>
  <c r="AB452" i="28"/>
  <c r="AA452" i="28"/>
  <c r="G452" i="28"/>
  <c r="AB451" i="28"/>
  <c r="AA451" i="28"/>
  <c r="G451" i="28"/>
  <c r="AB450" i="28"/>
  <c r="AA450" i="28"/>
  <c r="G450" i="28"/>
  <c r="AB449" i="28"/>
  <c r="AA449" i="28"/>
  <c r="G449" i="28"/>
  <c r="AA448" i="28"/>
  <c r="Y448" i="28"/>
  <c r="AB448" i="28" s="1"/>
  <c r="X448" i="28"/>
  <c r="G448" i="28"/>
  <c r="AA447" i="28"/>
  <c r="Y447" i="28"/>
  <c r="AB447" i="28" s="1"/>
  <c r="X447" i="28"/>
  <c r="G447" i="28"/>
  <c r="AB446" i="28"/>
  <c r="Y446" i="28"/>
  <c r="X446" i="28"/>
  <c r="AA446" i="28" s="1"/>
  <c r="G446" i="28"/>
  <c r="AB445" i="28"/>
  <c r="AA445" i="28"/>
  <c r="G445" i="28"/>
  <c r="AB444" i="28"/>
  <c r="AA444" i="28"/>
  <c r="G444" i="28"/>
  <c r="AB443" i="28"/>
  <c r="AA443" i="28"/>
  <c r="G443" i="28"/>
  <c r="AB442" i="28"/>
  <c r="AA442" i="28"/>
  <c r="G442" i="28"/>
  <c r="Y441" i="28"/>
  <c r="X441" i="28"/>
  <c r="AA441" i="28" s="1"/>
  <c r="M441" i="28"/>
  <c r="AB441" i="28" s="1"/>
  <c r="G441" i="28"/>
  <c r="AB440" i="28"/>
  <c r="AA440" i="28"/>
  <c r="Y440" i="28"/>
  <c r="X440" i="28"/>
  <c r="G440" i="28"/>
  <c r="AB439" i="28"/>
  <c r="AA439" i="28"/>
  <c r="G439" i="28"/>
  <c r="AB438" i="28"/>
  <c r="AA438" i="28"/>
  <c r="G438" i="28"/>
  <c r="AB437" i="28"/>
  <c r="AA437" i="28"/>
  <c r="G437" i="28"/>
  <c r="AB436" i="28"/>
  <c r="AA436" i="28"/>
  <c r="G436" i="28"/>
  <c r="AB435" i="28"/>
  <c r="AA435" i="28"/>
  <c r="G435" i="28"/>
  <c r="AB434" i="28"/>
  <c r="AA434" i="28"/>
  <c r="G434" i="28"/>
  <c r="AB433" i="28"/>
  <c r="AA433" i="28"/>
  <c r="G433" i="28"/>
  <c r="AB432" i="28"/>
  <c r="AA432" i="28"/>
  <c r="G432" i="28"/>
  <c r="AB431" i="28"/>
  <c r="AA431" i="28"/>
  <c r="G431" i="28"/>
  <c r="AB430" i="28"/>
  <c r="AA430" i="28"/>
  <c r="G430" i="28"/>
  <c r="AB429" i="28"/>
  <c r="AA429" i="28"/>
  <c r="G429" i="28"/>
  <c r="AB428" i="28"/>
  <c r="AA428" i="28"/>
  <c r="G428" i="28"/>
  <c r="AB427" i="28"/>
  <c r="AA427" i="28"/>
  <c r="G427" i="28"/>
  <c r="AB426" i="28"/>
  <c r="AA426" i="28"/>
  <c r="G426" i="28"/>
  <c r="AB425" i="28"/>
  <c r="AA425" i="28"/>
  <c r="G425" i="28"/>
  <c r="AB424" i="28"/>
  <c r="AA424" i="28"/>
  <c r="G424" i="28"/>
  <c r="AB423" i="28"/>
  <c r="AA423" i="28"/>
  <c r="G423" i="28"/>
  <c r="AB422" i="28"/>
  <c r="AA422" i="28"/>
  <c r="G422" i="28"/>
  <c r="AB421" i="28"/>
  <c r="AA421" i="28"/>
  <c r="G421" i="28"/>
  <c r="AB420" i="28"/>
  <c r="AA420" i="28"/>
  <c r="G420" i="28"/>
  <c r="AB419" i="28"/>
  <c r="AA419" i="28"/>
  <c r="G419" i="28"/>
  <c r="AB418" i="28"/>
  <c r="AA418" i="28"/>
  <c r="G418" i="28"/>
  <c r="F418" i="28"/>
  <c r="AB417" i="28"/>
  <c r="AA417" i="28"/>
  <c r="G417" i="28"/>
  <c r="AB416" i="28"/>
  <c r="AA416" i="28"/>
  <c r="G416" i="28"/>
  <c r="AB415" i="28"/>
  <c r="AA415" i="28"/>
  <c r="G415" i="28"/>
  <c r="AB414" i="28"/>
  <c r="AA414" i="28"/>
  <c r="G414" i="28"/>
  <c r="AB413" i="28"/>
  <c r="AA413" i="28"/>
  <c r="K413" i="28"/>
  <c r="G413" i="28"/>
  <c r="AB412" i="28"/>
  <c r="AA412" i="28"/>
  <c r="G412" i="28"/>
  <c r="AB411" i="28"/>
  <c r="AA411" i="28"/>
  <c r="G411" i="28"/>
  <c r="AB410" i="28"/>
  <c r="AA410" i="28"/>
  <c r="G410" i="28"/>
  <c r="AB409" i="28"/>
  <c r="AA409" i="28"/>
  <c r="G409" i="28"/>
  <c r="AB408" i="28"/>
  <c r="AA408" i="28"/>
  <c r="G408" i="28"/>
  <c r="AB407" i="28"/>
  <c r="AA407" i="28"/>
  <c r="G407" i="28"/>
  <c r="AB406" i="28"/>
  <c r="AA406" i="28"/>
  <c r="G406" i="28"/>
  <c r="AB405" i="28"/>
  <c r="AA405" i="28"/>
  <c r="G405" i="28"/>
  <c r="AB404" i="28"/>
  <c r="AA404" i="28"/>
  <c r="G404" i="28"/>
  <c r="AB403" i="28"/>
  <c r="AA403" i="28"/>
  <c r="G403" i="28"/>
  <c r="AB402" i="28"/>
  <c r="AA402" i="28"/>
  <c r="G402" i="28"/>
  <c r="AB401" i="28"/>
  <c r="AA401" i="28"/>
  <c r="G401" i="28"/>
  <c r="AB400" i="28"/>
  <c r="AA400" i="28"/>
  <c r="G400" i="28"/>
  <c r="AB399" i="28"/>
  <c r="AA399" i="28"/>
  <c r="G399" i="28"/>
  <c r="AB398" i="28"/>
  <c r="AA398" i="28"/>
  <c r="G398" i="28"/>
  <c r="AB397" i="28"/>
  <c r="AA397" i="28"/>
  <c r="G397" i="28"/>
  <c r="AB396" i="28"/>
  <c r="AA396" i="28"/>
  <c r="G396" i="28"/>
  <c r="AB395" i="28"/>
  <c r="AA395" i="28"/>
  <c r="G395" i="28"/>
  <c r="AB394" i="28"/>
  <c r="AA394" i="28"/>
  <c r="G394" i="28"/>
  <c r="AB393" i="28"/>
  <c r="AA393" i="28"/>
  <c r="G393" i="28"/>
  <c r="AB392" i="28"/>
  <c r="AA392" i="28"/>
  <c r="G392" i="28"/>
  <c r="AB391" i="28"/>
  <c r="AA391" i="28"/>
  <c r="G391" i="28"/>
  <c r="AB390" i="28"/>
  <c r="AA390" i="28"/>
  <c r="G390" i="28"/>
  <c r="AB389" i="28"/>
  <c r="X389" i="28"/>
  <c r="AA389" i="28" s="1"/>
  <c r="G389" i="28"/>
  <c r="AB388" i="28"/>
  <c r="AA388" i="28"/>
  <c r="G388" i="28"/>
  <c r="AB387" i="28"/>
  <c r="AA387" i="28"/>
  <c r="G387" i="28"/>
  <c r="AB386" i="28"/>
  <c r="AA386" i="28"/>
  <c r="S386" i="28"/>
  <c r="K386" i="28"/>
  <c r="J386" i="28"/>
  <c r="G386" i="28"/>
  <c r="AB385" i="28"/>
  <c r="AA385" i="28"/>
  <c r="G385" i="28"/>
  <c r="AB384" i="28"/>
  <c r="AA384" i="28"/>
  <c r="G384" i="28"/>
  <c r="AB383" i="28"/>
  <c r="AA383" i="28"/>
  <c r="G383" i="28"/>
  <c r="AB382" i="28"/>
  <c r="AA382" i="28"/>
  <c r="G382" i="28"/>
  <c r="AB381" i="28"/>
  <c r="AA381" i="28"/>
  <c r="G381" i="28"/>
  <c r="AB380" i="28"/>
  <c r="AA380" i="28"/>
  <c r="G380" i="28"/>
  <c r="AB379" i="28"/>
  <c r="AA379" i="28"/>
  <c r="G379" i="28"/>
  <c r="AB378" i="28"/>
  <c r="AA378" i="28"/>
  <c r="G378" i="28"/>
  <c r="AB377" i="28"/>
  <c r="AA377" i="28"/>
  <c r="G377" i="28"/>
  <c r="AB376" i="28"/>
  <c r="AA376" i="28"/>
  <c r="G376" i="28"/>
  <c r="AB375" i="28"/>
  <c r="AA375" i="28"/>
  <c r="G375" i="28"/>
  <c r="AB374" i="28"/>
  <c r="AA374" i="28"/>
  <c r="G374" i="28"/>
  <c r="AB373" i="28"/>
  <c r="AA373" i="28"/>
  <c r="G373" i="28"/>
  <c r="AB372" i="28"/>
  <c r="AA372" i="28"/>
  <c r="G372" i="28"/>
  <c r="AB371" i="28"/>
  <c r="AA371" i="28"/>
  <c r="G371" i="28"/>
  <c r="AB370" i="28"/>
  <c r="AA370" i="28"/>
  <c r="G370" i="28"/>
  <c r="AB369" i="28"/>
  <c r="AA369" i="28"/>
  <c r="G369" i="28"/>
  <c r="AB368" i="28"/>
  <c r="AA368" i="28"/>
  <c r="G368" i="28"/>
  <c r="AB367" i="28"/>
  <c r="AA367" i="28"/>
  <c r="G367" i="28"/>
  <c r="AB366" i="28"/>
  <c r="AA366" i="28"/>
  <c r="G366" i="28"/>
  <c r="AB365" i="28"/>
  <c r="AA365" i="28"/>
  <c r="G365" i="28"/>
  <c r="AB364" i="28"/>
  <c r="AA364" i="28"/>
  <c r="G364" i="28"/>
  <c r="AB363" i="28"/>
  <c r="AA363" i="28"/>
  <c r="G363" i="28"/>
  <c r="AB362" i="28"/>
  <c r="AA362" i="28"/>
  <c r="G362" i="28"/>
  <c r="AB361" i="28"/>
  <c r="AA361" i="28"/>
  <c r="G361" i="28"/>
  <c r="AB360" i="28"/>
  <c r="AA360" i="28"/>
  <c r="G360" i="28"/>
  <c r="AB359" i="28"/>
  <c r="AA359" i="28"/>
  <c r="G359" i="28"/>
  <c r="AB358" i="28"/>
  <c r="AA358" i="28"/>
  <c r="G358" i="28"/>
  <c r="AB357" i="28"/>
  <c r="AA357" i="28"/>
  <c r="G357" i="28"/>
  <c r="AB356" i="28"/>
  <c r="AA356" i="28"/>
  <c r="K356" i="28"/>
  <c r="G356" i="28"/>
  <c r="AB355" i="28"/>
  <c r="AA355" i="28"/>
  <c r="G355" i="28"/>
  <c r="AB354" i="28"/>
  <c r="AA354" i="28"/>
  <c r="S354" i="28"/>
  <c r="J354" i="28"/>
  <c r="G354" i="28"/>
  <c r="AB353" i="28"/>
  <c r="AA353" i="28"/>
  <c r="G353" i="28"/>
  <c r="AB352" i="28"/>
  <c r="AA352" i="28"/>
  <c r="G352" i="28"/>
  <c r="AB351" i="28"/>
  <c r="AA351" i="28"/>
  <c r="G351" i="28"/>
  <c r="AB350" i="28"/>
  <c r="X350" i="28"/>
  <c r="AA350" i="28" s="1"/>
  <c r="G350" i="28"/>
  <c r="AB349" i="28"/>
  <c r="AA349" i="28"/>
  <c r="G349" i="28"/>
  <c r="AB348" i="28"/>
  <c r="AA348" i="28"/>
  <c r="G348" i="28"/>
  <c r="AA347" i="28"/>
  <c r="Y347" i="28"/>
  <c r="AB347" i="28" s="1"/>
  <c r="X347" i="28"/>
  <c r="G347" i="28"/>
  <c r="AB346" i="28"/>
  <c r="AA346" i="28"/>
  <c r="G346" i="28"/>
  <c r="AB345" i="28"/>
  <c r="AA345" i="28"/>
  <c r="G345" i="28"/>
  <c r="AB344" i="28"/>
  <c r="AA344" i="28"/>
  <c r="G344" i="28"/>
  <c r="AB343" i="28"/>
  <c r="AA343" i="28"/>
  <c r="G343" i="28"/>
  <c r="AB342" i="28"/>
  <c r="AA342" i="28"/>
  <c r="Y342" i="28"/>
  <c r="X342" i="28"/>
  <c r="G342" i="28"/>
  <c r="AB341" i="28"/>
  <c r="AA341" i="28"/>
  <c r="G341" i="28"/>
  <c r="AB340" i="28"/>
  <c r="AA340" i="28"/>
  <c r="G340" i="28"/>
  <c r="AB339" i="28"/>
  <c r="AA339" i="28"/>
  <c r="G339" i="28"/>
  <c r="AB338" i="28"/>
  <c r="Y338" i="28"/>
  <c r="X338" i="28"/>
  <c r="AA338" i="28" s="1"/>
  <c r="G338" i="28"/>
  <c r="AB337" i="28"/>
  <c r="AA337" i="28"/>
  <c r="G337" i="28"/>
  <c r="Y336" i="28"/>
  <c r="AB336" i="28" s="1"/>
  <c r="X336" i="28"/>
  <c r="AA336" i="28" s="1"/>
  <c r="G336" i="28"/>
  <c r="AB335" i="28"/>
  <c r="AA335" i="28"/>
  <c r="G335" i="28"/>
  <c r="AB334" i="28"/>
  <c r="AA334" i="28"/>
  <c r="G334" i="28"/>
  <c r="AB333" i="28"/>
  <c r="AA333" i="28"/>
  <c r="G333" i="28"/>
  <c r="AB332" i="28"/>
  <c r="AA332" i="28"/>
  <c r="G332" i="28"/>
  <c r="AB331" i="28"/>
  <c r="AA331" i="28"/>
  <c r="G331" i="28"/>
  <c r="AB330" i="28"/>
  <c r="AA330" i="28"/>
  <c r="G330" i="28"/>
  <c r="AB329" i="28"/>
  <c r="AA329" i="28"/>
  <c r="G329" i="28"/>
  <c r="AB328" i="28"/>
  <c r="AA328" i="28"/>
  <c r="G328" i="28"/>
  <c r="AB327" i="28"/>
  <c r="AA327" i="28"/>
  <c r="G327" i="28"/>
  <c r="AB326" i="28"/>
  <c r="AA326" i="28"/>
  <c r="G326" i="28"/>
  <c r="AB325" i="28"/>
  <c r="AA325" i="28"/>
  <c r="G325" i="28"/>
  <c r="AB324" i="28"/>
  <c r="AA324" i="28"/>
  <c r="G324" i="28"/>
  <c r="AB323" i="28"/>
  <c r="AA323" i="28"/>
  <c r="G323" i="28"/>
  <c r="AB322" i="28"/>
  <c r="AA322" i="28"/>
  <c r="G322" i="28"/>
  <c r="AB321" i="28"/>
  <c r="AA321" i="28"/>
  <c r="G321" i="28"/>
  <c r="AB320" i="28"/>
  <c r="AA320" i="28"/>
  <c r="G320" i="28"/>
  <c r="AB319" i="28"/>
  <c r="AA319" i="28"/>
  <c r="G319" i="28"/>
  <c r="AB318" i="28"/>
  <c r="AA318" i="28"/>
  <c r="G318" i="28"/>
  <c r="AB317" i="28"/>
  <c r="AA317" i="28"/>
  <c r="G317" i="28"/>
  <c r="AB316" i="28"/>
  <c r="AA316" i="28"/>
  <c r="G316" i="28"/>
  <c r="AB315" i="28"/>
  <c r="AA315" i="28"/>
  <c r="G315" i="28"/>
  <c r="AB314" i="28"/>
  <c r="AA314" i="28"/>
  <c r="G314" i="28"/>
  <c r="AB313" i="28"/>
  <c r="AA313" i="28"/>
  <c r="G313" i="28"/>
  <c r="AB312" i="28"/>
  <c r="AA312" i="28"/>
  <c r="G312" i="28"/>
  <c r="AB311" i="28"/>
  <c r="AA311" i="28"/>
  <c r="G311" i="28"/>
  <c r="AB310" i="28"/>
  <c r="AA310" i="28"/>
  <c r="G310" i="28"/>
  <c r="Y309" i="28"/>
  <c r="AB309" i="28" s="1"/>
  <c r="X309" i="28"/>
  <c r="AA309" i="28" s="1"/>
  <c r="G309" i="28"/>
  <c r="AB308" i="28"/>
  <c r="Y308" i="28"/>
  <c r="X308" i="28"/>
  <c r="AA308" i="28" s="1"/>
  <c r="G308" i="28"/>
  <c r="AA307" i="28"/>
  <c r="Y307" i="28"/>
  <c r="AB307" i="28" s="1"/>
  <c r="X307" i="28"/>
  <c r="G307" i="28"/>
  <c r="AB306" i="28"/>
  <c r="AA306" i="28"/>
  <c r="G306" i="28"/>
  <c r="AB305" i="28"/>
  <c r="AA305" i="28"/>
  <c r="G305" i="28"/>
  <c r="AB304" i="28"/>
  <c r="AA304" i="28"/>
  <c r="G304" i="28"/>
  <c r="AB303" i="28"/>
  <c r="AA303" i="28"/>
  <c r="G303" i="28"/>
  <c r="AB302" i="28"/>
  <c r="AA302" i="28"/>
  <c r="G302" i="28"/>
  <c r="AB301" i="28"/>
  <c r="AA301" i="28"/>
  <c r="G301" i="28"/>
  <c r="AB300" i="28"/>
  <c r="AA300" i="28"/>
  <c r="G300" i="28"/>
  <c r="AB299" i="28"/>
  <c r="AA299" i="28"/>
  <c r="G299" i="28"/>
  <c r="AB298" i="28"/>
  <c r="AA298" i="28"/>
  <c r="G298" i="28"/>
  <c r="AB297" i="28"/>
  <c r="AA297" i="28"/>
  <c r="G297" i="28"/>
  <c r="AB296" i="28"/>
  <c r="AA296" i="28"/>
  <c r="G296" i="28"/>
  <c r="AB295" i="28"/>
  <c r="AA295" i="28"/>
  <c r="G295" i="28"/>
  <c r="AB294" i="28"/>
  <c r="AA294" i="28"/>
  <c r="G294" i="28"/>
  <c r="AB293" i="28"/>
  <c r="AA293" i="28"/>
  <c r="G293" i="28"/>
  <c r="AB292" i="28"/>
  <c r="AA292" i="28"/>
  <c r="G292" i="28"/>
  <c r="AB291" i="28"/>
  <c r="AA291" i="28"/>
  <c r="G291" i="28"/>
  <c r="AB290" i="28"/>
  <c r="AA290" i="28"/>
  <c r="G290" i="28"/>
  <c r="AB289" i="28"/>
  <c r="AA289" i="28"/>
  <c r="G289" i="28"/>
  <c r="AB288" i="28"/>
  <c r="AA288" i="28"/>
  <c r="G288" i="28"/>
  <c r="AB287" i="28"/>
  <c r="AA287" i="28"/>
  <c r="G287" i="28"/>
  <c r="AB286" i="28"/>
  <c r="AA286" i="28"/>
  <c r="G286" i="28"/>
  <c r="AB285" i="28"/>
  <c r="AA285" i="28"/>
  <c r="G285" i="28"/>
  <c r="AB284" i="28"/>
  <c r="AA284" i="28"/>
  <c r="G284" i="28"/>
  <c r="AB283" i="28"/>
  <c r="AA283" i="28"/>
  <c r="G283" i="28"/>
  <c r="AB282" i="28"/>
  <c r="AA282" i="28"/>
  <c r="G282" i="28"/>
  <c r="AB281" i="28"/>
  <c r="AA281" i="28"/>
  <c r="G281" i="28"/>
  <c r="AB280" i="28"/>
  <c r="AA280" i="28"/>
  <c r="G280" i="28"/>
  <c r="AB279" i="28"/>
  <c r="AA279" i="28"/>
  <c r="G279" i="28"/>
  <c r="AB278" i="28"/>
  <c r="AA278" i="28"/>
  <c r="G278" i="28"/>
  <c r="AB277" i="28"/>
  <c r="AA277" i="28"/>
  <c r="G277" i="28"/>
  <c r="AB276" i="28"/>
  <c r="AA276" i="28"/>
  <c r="G276" i="28"/>
  <c r="AB275" i="28"/>
  <c r="AA275" i="28"/>
  <c r="G275" i="28"/>
  <c r="AB274" i="28"/>
  <c r="AA274" i="28"/>
  <c r="G274" i="28"/>
  <c r="AB273" i="28"/>
  <c r="AA273" i="28"/>
  <c r="G273" i="28"/>
  <c r="AB272" i="28"/>
  <c r="AA272" i="28"/>
  <c r="G272" i="28"/>
  <c r="AB271" i="28"/>
  <c r="AA271" i="28"/>
  <c r="G271" i="28"/>
  <c r="AB270" i="28"/>
  <c r="AA270" i="28"/>
  <c r="G270" i="28"/>
  <c r="AB269" i="28"/>
  <c r="AA269" i="28"/>
  <c r="G269" i="28"/>
  <c r="AB268" i="28"/>
  <c r="AA268" i="28"/>
  <c r="G268" i="28"/>
  <c r="AB267" i="28"/>
  <c r="AA267" i="28"/>
  <c r="G267" i="28"/>
  <c r="AB266" i="28"/>
  <c r="AA266" i="28"/>
  <c r="G266" i="28"/>
  <c r="AB265" i="28"/>
  <c r="AA265" i="28"/>
  <c r="G265" i="28"/>
  <c r="AB264" i="28"/>
  <c r="AA264" i="28"/>
  <c r="G264" i="28"/>
  <c r="AB263" i="28"/>
  <c r="AA263" i="28"/>
  <c r="G263" i="28"/>
  <c r="AB262" i="28"/>
  <c r="AA262" i="28"/>
  <c r="G262" i="28"/>
  <c r="AB261" i="28"/>
  <c r="AA261" i="28"/>
  <c r="G261" i="28"/>
  <c r="AB260" i="28"/>
  <c r="AA260" i="28"/>
  <c r="G260" i="28"/>
  <c r="AB259" i="28"/>
  <c r="AA259" i="28"/>
  <c r="G259" i="28"/>
  <c r="AB258" i="28"/>
  <c r="AA258" i="28"/>
  <c r="G258" i="28"/>
  <c r="AB257" i="28"/>
  <c r="AA257" i="28"/>
  <c r="G257" i="28"/>
  <c r="AB256" i="28"/>
  <c r="AA256" i="28"/>
  <c r="G256" i="28"/>
  <c r="AB255" i="28"/>
  <c r="AA255" i="28"/>
  <c r="G255" i="28"/>
  <c r="AB254" i="28"/>
  <c r="AA254" i="28"/>
  <c r="G254" i="28"/>
  <c r="AB253" i="28"/>
  <c r="AA253" i="28"/>
  <c r="G253" i="28"/>
  <c r="AB252" i="28"/>
  <c r="AA252" i="28"/>
  <c r="G252" i="28"/>
  <c r="AB251" i="28"/>
  <c r="AA251" i="28"/>
  <c r="G251" i="28"/>
  <c r="AB250" i="28"/>
  <c r="AA250" i="28"/>
  <c r="G250" i="28"/>
  <c r="AB249" i="28"/>
  <c r="AA249" i="28"/>
  <c r="G249" i="28"/>
  <c r="AB248" i="28"/>
  <c r="AA248" i="28"/>
  <c r="G248" i="28"/>
  <c r="AB247" i="28"/>
  <c r="AA247" i="28"/>
  <c r="G247" i="28"/>
  <c r="AB246" i="28"/>
  <c r="AA246" i="28"/>
  <c r="G246" i="28"/>
  <c r="AB245" i="28"/>
  <c r="AA245" i="28"/>
  <c r="G245" i="28"/>
  <c r="AB244" i="28"/>
  <c r="AA244" i="28"/>
  <c r="G244" i="28"/>
  <c r="AB243" i="28"/>
  <c r="AA243" i="28"/>
  <c r="G243" i="28"/>
  <c r="AB242" i="28"/>
  <c r="AA242" i="28"/>
  <c r="G242" i="28"/>
  <c r="AB241" i="28"/>
  <c r="AA241" i="28"/>
  <c r="G241" i="28"/>
  <c r="AB240" i="28"/>
  <c r="AA240" i="28"/>
  <c r="G240" i="28"/>
  <c r="AB239" i="28"/>
  <c r="AA239" i="28"/>
  <c r="G239" i="28"/>
  <c r="AB238" i="28"/>
  <c r="AA238" i="28"/>
  <c r="G238" i="28"/>
  <c r="AB237" i="28"/>
  <c r="AA237" i="28"/>
  <c r="G237" i="28"/>
  <c r="AB236" i="28"/>
  <c r="AA236" i="28"/>
  <c r="G236" i="28"/>
  <c r="AB235" i="28"/>
  <c r="AA235" i="28"/>
  <c r="G235" i="28"/>
  <c r="AB234" i="28"/>
  <c r="AA234" i="28"/>
  <c r="G234" i="28"/>
  <c r="AB233" i="28"/>
  <c r="AA233" i="28"/>
  <c r="G233" i="28"/>
  <c r="AB232" i="28"/>
  <c r="AA232" i="28"/>
  <c r="G232" i="28"/>
  <c r="AB231" i="28"/>
  <c r="AA231" i="28"/>
  <c r="G231" i="28"/>
  <c r="AB230" i="28"/>
  <c r="AA230" i="28"/>
  <c r="G230" i="28"/>
  <c r="AB229" i="28"/>
  <c r="AA229" i="28"/>
  <c r="G229" i="28"/>
  <c r="Y228" i="28"/>
  <c r="AB228" i="28" s="1"/>
  <c r="X228" i="28"/>
  <c r="AA228" i="28" s="1"/>
  <c r="G228" i="28"/>
  <c r="AB227" i="28"/>
  <c r="AA227" i="28"/>
  <c r="G227" i="28"/>
  <c r="AB226" i="28"/>
  <c r="AA226" i="28"/>
  <c r="G226" i="28"/>
  <c r="AB225" i="28"/>
  <c r="AA225" i="28"/>
  <c r="G225" i="28"/>
  <c r="AB224" i="28"/>
  <c r="AA224" i="28"/>
  <c r="G224" i="28"/>
  <c r="AB223" i="28"/>
  <c r="AA223" i="28"/>
  <c r="G223" i="28"/>
  <c r="AB222" i="28"/>
  <c r="AA222" i="28"/>
  <c r="G222" i="28"/>
  <c r="AB221" i="28"/>
  <c r="AA221" i="28"/>
  <c r="G221" i="28"/>
  <c r="AA220" i="28"/>
  <c r="Y220" i="28"/>
  <c r="AB220" i="28" s="1"/>
  <c r="X220" i="28"/>
  <c r="G220" i="28"/>
  <c r="AB219" i="28"/>
  <c r="AA219" i="28"/>
  <c r="G219" i="28"/>
  <c r="AB218" i="28"/>
  <c r="AA218" i="28"/>
  <c r="G218" i="28"/>
  <c r="Y217" i="28"/>
  <c r="AB217" i="28" s="1"/>
  <c r="X217" i="28"/>
  <c r="AA217" i="28" s="1"/>
  <c r="G217" i="28"/>
  <c r="AB216" i="28"/>
  <c r="AA216" i="28"/>
  <c r="Y216" i="28"/>
  <c r="X216" i="28"/>
  <c r="G216" i="28"/>
  <c r="AB215" i="28"/>
  <c r="Y215" i="28"/>
  <c r="X215" i="28"/>
  <c r="AA215" i="28" s="1"/>
  <c r="G215" i="28"/>
  <c r="AB214" i="28"/>
  <c r="AA214" i="28"/>
  <c r="G214" i="28"/>
  <c r="AB213" i="28"/>
  <c r="AA213" i="28"/>
  <c r="Y213" i="28"/>
  <c r="X213" i="28"/>
  <c r="G213" i="28"/>
  <c r="Y212" i="28"/>
  <c r="AB212" i="28" s="1"/>
  <c r="X212" i="28"/>
  <c r="AA212" i="28" s="1"/>
  <c r="G212" i="28"/>
  <c r="AB211" i="28"/>
  <c r="AA211" i="28"/>
  <c r="G211" i="28"/>
  <c r="AB210" i="28"/>
  <c r="AA210" i="28"/>
  <c r="G210" i="28"/>
  <c r="AB209" i="28"/>
  <c r="AA209" i="28"/>
  <c r="G209" i="28"/>
  <c r="AA208" i="28"/>
  <c r="Y208" i="28"/>
  <c r="AB208" i="28" s="1"/>
  <c r="X208" i="28"/>
  <c r="G208" i="28"/>
  <c r="AB207" i="28"/>
  <c r="AA207" i="28"/>
  <c r="G207" i="28"/>
  <c r="AB206" i="28"/>
  <c r="AA206" i="28"/>
  <c r="G206" i="28"/>
  <c r="AB205" i="28"/>
  <c r="AA205" i="28"/>
  <c r="G205" i="28"/>
  <c r="AB204" i="28"/>
  <c r="AA204" i="28"/>
  <c r="G204" i="28"/>
  <c r="AB203" i="28"/>
  <c r="AA203" i="28"/>
  <c r="G203" i="28"/>
  <c r="AB202" i="28"/>
  <c r="AA202" i="28"/>
  <c r="G202" i="28"/>
  <c r="AB201" i="28"/>
  <c r="AA201" i="28"/>
  <c r="G201" i="28"/>
  <c r="AB200" i="28"/>
  <c r="AA200" i="28"/>
  <c r="G200" i="28"/>
  <c r="AB199" i="28"/>
  <c r="AA199" i="28"/>
  <c r="G199" i="28"/>
  <c r="AB198" i="28"/>
  <c r="AA198" i="28"/>
  <c r="G198" i="28"/>
  <c r="AB197" i="28"/>
  <c r="AA197" i="28"/>
  <c r="G197" i="28"/>
  <c r="AB196" i="28"/>
  <c r="AA196" i="28"/>
  <c r="G196" i="28"/>
  <c r="AB195" i="28"/>
  <c r="AA195" i="28"/>
  <c r="G195" i="28"/>
  <c r="AB194" i="28"/>
  <c r="AA194" i="28"/>
  <c r="G194" i="28"/>
  <c r="AB193" i="28"/>
  <c r="AA193" i="28"/>
  <c r="G193" i="28"/>
  <c r="AB192" i="28"/>
  <c r="AA192" i="28"/>
  <c r="G192" i="28"/>
  <c r="AB191" i="28"/>
  <c r="AA191" i="28"/>
  <c r="G191" i="28"/>
  <c r="AB190" i="28"/>
  <c r="AA190" i="28"/>
  <c r="G190" i="28"/>
  <c r="AB189" i="28"/>
  <c r="AA189" i="28"/>
  <c r="G189" i="28"/>
  <c r="AB188" i="28"/>
  <c r="AA188" i="28"/>
  <c r="G188" i="28"/>
  <c r="AB187" i="28"/>
  <c r="AA187" i="28"/>
  <c r="G187" i="28"/>
  <c r="AB186" i="28"/>
  <c r="AA186" i="28"/>
  <c r="G186" i="28"/>
  <c r="AB185" i="28"/>
  <c r="AA185" i="28"/>
  <c r="G185" i="28"/>
  <c r="AB184" i="28"/>
  <c r="AA184" i="28"/>
  <c r="G184" i="28"/>
  <c r="AB183" i="28"/>
  <c r="AA183" i="28"/>
  <c r="G183" i="28"/>
  <c r="AB182" i="28"/>
  <c r="AA182" i="28"/>
  <c r="G182" i="28"/>
  <c r="AB181" i="28"/>
  <c r="AA181" i="28"/>
  <c r="G181" i="28"/>
  <c r="AB180" i="28"/>
  <c r="AA180" i="28"/>
  <c r="G180" i="28"/>
  <c r="AB179" i="28"/>
  <c r="AA179" i="28"/>
  <c r="G179" i="28"/>
  <c r="AB178" i="28"/>
  <c r="AA178" i="28"/>
  <c r="G178" i="28"/>
  <c r="AB177" i="28"/>
  <c r="AA177" i="28"/>
  <c r="G177" i="28"/>
  <c r="AB176" i="28"/>
  <c r="AA176" i="28"/>
  <c r="G176" i="28"/>
  <c r="AB175" i="28"/>
  <c r="AA175" i="28"/>
  <c r="G175" i="28"/>
  <c r="AB174" i="28"/>
  <c r="AA174" i="28"/>
  <c r="G174" i="28"/>
  <c r="AB173" i="28"/>
  <c r="AA173" i="28"/>
  <c r="G173" i="28"/>
  <c r="Y172" i="28"/>
  <c r="AB172" i="28" s="1"/>
  <c r="X172" i="28"/>
  <c r="AA172" i="28" s="1"/>
  <c r="G172" i="28"/>
  <c r="AB171" i="28"/>
  <c r="AA171" i="28"/>
  <c r="G171" i="28"/>
  <c r="AB170" i="28"/>
  <c r="AA170" i="28"/>
  <c r="G170" i="28"/>
  <c r="AB169" i="28"/>
  <c r="AA169" i="28"/>
  <c r="G169" i="28"/>
  <c r="AB168" i="28"/>
  <c r="AA168" i="28"/>
  <c r="G168" i="28"/>
  <c r="AB167" i="28"/>
  <c r="AA167" i="28"/>
  <c r="G167" i="28"/>
  <c r="AB166" i="28"/>
  <c r="AA166" i="28"/>
  <c r="G166" i="28"/>
  <c r="AB165" i="28"/>
  <c r="AA165" i="28"/>
  <c r="G165" i="28"/>
  <c r="AB164" i="28"/>
  <c r="AA164" i="28"/>
  <c r="G164" i="28"/>
  <c r="AB163" i="28"/>
  <c r="AA163" i="28"/>
  <c r="G163" i="28"/>
  <c r="AB162" i="28"/>
  <c r="AA162" i="28"/>
  <c r="G162" i="28"/>
  <c r="AB161" i="28"/>
  <c r="AA161" i="28"/>
  <c r="G161" i="28"/>
  <c r="AB160" i="28"/>
  <c r="AA160" i="28"/>
  <c r="G160" i="28"/>
  <c r="AB159" i="28"/>
  <c r="AA159" i="28"/>
  <c r="G159" i="28"/>
  <c r="AB158" i="28"/>
  <c r="AA158" i="28"/>
  <c r="G158" i="28"/>
  <c r="AB157" i="28"/>
  <c r="AA157" i="28"/>
  <c r="G157" i="28"/>
  <c r="AB156" i="28"/>
  <c r="AA156" i="28"/>
  <c r="G156" i="28"/>
  <c r="AB155" i="28"/>
  <c r="AA155" i="28"/>
  <c r="G155" i="28"/>
  <c r="AB154" i="28"/>
  <c r="AA154" i="28"/>
  <c r="G154" i="28"/>
  <c r="AB153" i="28"/>
  <c r="AA153" i="28"/>
  <c r="G153" i="28"/>
  <c r="AB152" i="28"/>
  <c r="AA152" i="28"/>
  <c r="G152" i="28"/>
  <c r="AB151" i="28"/>
  <c r="AA151" i="28"/>
  <c r="G151" i="28"/>
  <c r="AB150" i="28"/>
  <c r="AA150" i="28"/>
  <c r="G150" i="28"/>
  <c r="AB149" i="28"/>
  <c r="AA149" i="28"/>
  <c r="G149" i="28"/>
  <c r="AB148" i="28"/>
  <c r="AA148" i="28"/>
  <c r="G148" i="28"/>
  <c r="AB147" i="28"/>
  <c r="AA147" i="28"/>
  <c r="G147" i="28"/>
  <c r="AB146" i="28"/>
  <c r="AA146" i="28"/>
  <c r="G146" i="28"/>
  <c r="AB145" i="28"/>
  <c r="AA145" i="28"/>
  <c r="G145" i="28"/>
  <c r="AB144" i="28"/>
  <c r="AA144" i="28"/>
  <c r="G144" i="28"/>
  <c r="AB143" i="28"/>
  <c r="AA143" i="28"/>
  <c r="G143" i="28"/>
  <c r="AB142" i="28"/>
  <c r="AA142" i="28"/>
  <c r="G142" i="28"/>
  <c r="AB141" i="28"/>
  <c r="AA141" i="28"/>
  <c r="G141" i="28"/>
  <c r="AB140" i="28"/>
  <c r="AA140" i="28"/>
  <c r="G140" i="28"/>
  <c r="AB139" i="28"/>
  <c r="AA139" i="28"/>
  <c r="G139" i="28"/>
  <c r="AB138" i="28"/>
  <c r="AA138" i="28"/>
  <c r="G138" i="28"/>
  <c r="AB137" i="28"/>
  <c r="AA137" i="28"/>
  <c r="G137" i="28"/>
  <c r="AB136" i="28"/>
  <c r="AA136" i="28"/>
  <c r="G136" i="28"/>
  <c r="AB135" i="28"/>
  <c r="AA135" i="28"/>
  <c r="G135" i="28"/>
  <c r="AB134" i="28"/>
  <c r="AA134" i="28"/>
  <c r="G134" i="28"/>
  <c r="AB133" i="28"/>
  <c r="AA133" i="28"/>
  <c r="G133" i="28"/>
  <c r="AB132" i="28"/>
  <c r="AA132" i="28"/>
  <c r="G132" i="28"/>
  <c r="AB131" i="28"/>
  <c r="AA131" i="28"/>
  <c r="G131" i="28"/>
  <c r="AB130" i="28"/>
  <c r="AA130" i="28"/>
  <c r="G130" i="28"/>
  <c r="AB129" i="28"/>
  <c r="AA129" i="28"/>
  <c r="G129" i="28"/>
  <c r="AB128" i="28"/>
  <c r="AA128" i="28"/>
  <c r="G128" i="28"/>
  <c r="AB127" i="28"/>
  <c r="AA127" i="28"/>
  <c r="G127" i="28"/>
  <c r="AB126" i="28"/>
  <c r="AA126" i="28"/>
  <c r="G126" i="28"/>
  <c r="AB125" i="28"/>
  <c r="AA125" i="28"/>
  <c r="G125" i="28"/>
  <c r="AB124" i="28"/>
  <c r="AA124" i="28"/>
  <c r="G124" i="28"/>
  <c r="AB123" i="28"/>
  <c r="AA123" i="28"/>
  <c r="G123" i="28"/>
  <c r="AB122" i="28"/>
  <c r="AA122" i="28"/>
  <c r="G122" i="28"/>
  <c r="AB121" i="28"/>
  <c r="AA121" i="28"/>
  <c r="G121" i="28"/>
  <c r="AB120" i="28"/>
  <c r="AA120" i="28"/>
  <c r="G120" i="28"/>
  <c r="AB119" i="28"/>
  <c r="AA119" i="28"/>
  <c r="G119" i="28"/>
  <c r="AB118" i="28"/>
  <c r="AA118" i="28"/>
  <c r="G118" i="28"/>
  <c r="AB117" i="28"/>
  <c r="AA117" i="28"/>
  <c r="G117" i="28"/>
  <c r="AB116" i="28"/>
  <c r="AA116" i="28"/>
  <c r="G116" i="28"/>
  <c r="AB115" i="28"/>
  <c r="AA115" i="28"/>
  <c r="G115" i="28"/>
  <c r="AB114" i="28"/>
  <c r="AA114" i="28"/>
  <c r="G114" i="28"/>
  <c r="AB113" i="28"/>
  <c r="AA113" i="28"/>
  <c r="G113" i="28"/>
  <c r="AB112" i="28"/>
  <c r="AA112" i="28"/>
  <c r="G112" i="28"/>
  <c r="AB111" i="28"/>
  <c r="AA111" i="28"/>
  <c r="G111" i="28"/>
  <c r="AB110" i="28"/>
  <c r="AA110" i="28"/>
  <c r="G110" i="28"/>
  <c r="AB109" i="28"/>
  <c r="AA109" i="28"/>
  <c r="G109" i="28"/>
  <c r="AB108" i="28"/>
  <c r="AA108" i="28"/>
  <c r="G108" i="28"/>
  <c r="AB107" i="28"/>
  <c r="AA107" i="28"/>
  <c r="G107" i="28"/>
  <c r="AB106" i="28"/>
  <c r="AA106" i="28"/>
  <c r="G106" i="28"/>
  <c r="AB105" i="28"/>
  <c r="AA105" i="28"/>
  <c r="G105" i="28"/>
  <c r="AB104" i="28"/>
  <c r="AA104" i="28"/>
  <c r="G104" i="28"/>
  <c r="AB103" i="28"/>
  <c r="AA103" i="28"/>
  <c r="G103" i="28"/>
  <c r="AB102" i="28"/>
  <c r="AA102" i="28"/>
  <c r="G102" i="28"/>
  <c r="AB101" i="28"/>
  <c r="AA101" i="28"/>
  <c r="G101" i="28"/>
  <c r="AB100" i="28"/>
  <c r="AA100" i="28"/>
  <c r="G100" i="28"/>
  <c r="AB99" i="28"/>
  <c r="AA99" i="28"/>
  <c r="G99" i="28"/>
  <c r="AB98" i="28"/>
  <c r="AA98" i="28"/>
  <c r="G98" i="28"/>
  <c r="AB97" i="28"/>
  <c r="AA97" i="28"/>
  <c r="G97" i="28"/>
  <c r="AB96" i="28"/>
  <c r="AA96" i="28"/>
  <c r="G96" i="28"/>
  <c r="AB95" i="28"/>
  <c r="AA95" i="28"/>
  <c r="G95" i="28"/>
  <c r="AB94" i="28"/>
  <c r="AA94" i="28"/>
  <c r="G94" i="28"/>
  <c r="AB93" i="28"/>
  <c r="AA93" i="28"/>
  <c r="G93" i="28"/>
  <c r="AB92" i="28"/>
  <c r="AA92" i="28"/>
  <c r="G92" i="28"/>
  <c r="AB91" i="28"/>
  <c r="AA91" i="28"/>
  <c r="G91" i="28"/>
  <c r="AB90" i="28"/>
  <c r="AA90" i="28"/>
  <c r="G90" i="28"/>
  <c r="AB89" i="28"/>
  <c r="AA89" i="28"/>
  <c r="G89" i="28"/>
  <c r="AB88" i="28"/>
  <c r="AA88" i="28"/>
  <c r="G88" i="28"/>
  <c r="AB87" i="28"/>
  <c r="AA87" i="28"/>
  <c r="G87" i="28"/>
  <c r="AB86" i="28"/>
  <c r="AA86" i="28"/>
  <c r="G86" i="28"/>
  <c r="AB85" i="28"/>
  <c r="Y85" i="28"/>
  <c r="X85" i="28"/>
  <c r="AA85" i="28" s="1"/>
  <c r="G85" i="28"/>
  <c r="AB84" i="28"/>
  <c r="AA84" i="28"/>
  <c r="G84" i="28"/>
  <c r="AB83" i="28"/>
  <c r="AA83" i="28"/>
  <c r="G83" i="28"/>
  <c r="AB82" i="28"/>
  <c r="AA82" i="28"/>
  <c r="G82" i="28"/>
  <c r="AB81" i="28"/>
  <c r="AA81" i="28"/>
  <c r="G81" i="28"/>
  <c r="AB80" i="28"/>
  <c r="AA80" i="28"/>
  <c r="G80" i="28"/>
  <c r="AB79" i="28"/>
  <c r="AA79" i="28"/>
  <c r="G79" i="28"/>
  <c r="AB78" i="28"/>
  <c r="AA78" i="28"/>
  <c r="G78" i="28"/>
  <c r="AB77" i="28"/>
  <c r="AA77" i="28"/>
  <c r="G77" i="28"/>
  <c r="AB76" i="28"/>
  <c r="AA76" i="28"/>
  <c r="G76" i="28"/>
  <c r="AB75" i="28"/>
  <c r="AA75" i="28"/>
  <c r="G75" i="28"/>
  <c r="AB74" i="28"/>
  <c r="AA74" i="28"/>
  <c r="G74" i="28"/>
  <c r="AB73" i="28"/>
  <c r="AA73" i="28"/>
  <c r="G73" i="28"/>
  <c r="AB72" i="28"/>
  <c r="AA72" i="28"/>
  <c r="G72" i="28"/>
  <c r="AB71" i="28"/>
  <c r="AA71" i="28"/>
  <c r="G71" i="28"/>
  <c r="AB70" i="28"/>
  <c r="AA70" i="28"/>
  <c r="G70" i="28"/>
  <c r="AB69" i="28"/>
  <c r="AA69" i="28"/>
  <c r="G69" i="28"/>
  <c r="AB68" i="28"/>
  <c r="AA68" i="28"/>
  <c r="G68" i="28"/>
  <c r="AB67" i="28"/>
  <c r="AA67" i="28"/>
  <c r="G67" i="28"/>
  <c r="AB66" i="28"/>
  <c r="AA66" i="28"/>
  <c r="G66" i="28"/>
  <c r="AB65" i="28"/>
  <c r="AA65" i="28"/>
  <c r="G65" i="28"/>
  <c r="AB64" i="28"/>
  <c r="AA64" i="28"/>
  <c r="G64" i="28"/>
  <c r="AB63" i="28"/>
  <c r="AA63" i="28"/>
  <c r="G63" i="28"/>
  <c r="AB62" i="28"/>
  <c r="AA62" i="28"/>
  <c r="G62" i="28"/>
  <c r="AB61" i="28"/>
  <c r="AA61" i="28"/>
  <c r="G61" i="28"/>
  <c r="AB60" i="28"/>
  <c r="AA60" i="28"/>
  <c r="G60" i="28"/>
  <c r="AB59" i="28"/>
  <c r="AA59" i="28"/>
  <c r="G59" i="28"/>
  <c r="AB58" i="28"/>
  <c r="AA58" i="28"/>
  <c r="G58" i="28"/>
  <c r="AB57" i="28"/>
  <c r="AA57" i="28"/>
  <c r="G57" i="28"/>
  <c r="AB56" i="28"/>
  <c r="AA56" i="28"/>
  <c r="G56" i="28"/>
  <c r="AB55" i="28"/>
  <c r="AA55" i="28"/>
  <c r="G55" i="28"/>
  <c r="AB54" i="28"/>
  <c r="AA54" i="28"/>
  <c r="G54" i="28"/>
  <c r="AB53" i="28"/>
  <c r="AA53" i="28"/>
  <c r="G53" i="28"/>
  <c r="AB52" i="28"/>
  <c r="AA52" i="28"/>
  <c r="G52" i="28"/>
  <c r="AB51" i="28"/>
  <c r="Y51" i="28"/>
  <c r="X51" i="28"/>
  <c r="AA51" i="28" s="1"/>
  <c r="G51" i="28"/>
  <c r="AB50" i="28"/>
  <c r="AA50" i="28"/>
  <c r="G50" i="28"/>
  <c r="AB49" i="28"/>
  <c r="AA49" i="28"/>
  <c r="G49" i="28"/>
  <c r="AB48" i="28"/>
  <c r="AA48" i="28"/>
  <c r="G48" i="28"/>
  <c r="AB47" i="28"/>
  <c r="AA47" i="28"/>
  <c r="G47" i="28"/>
  <c r="AB46" i="28"/>
  <c r="AA46" i="28"/>
  <c r="G46" i="28"/>
  <c r="AB45" i="28"/>
  <c r="AA45" i="28"/>
  <c r="G45" i="28"/>
  <c r="AB44" i="28"/>
  <c r="AA44" i="28"/>
  <c r="X44" i="28"/>
  <c r="G44" i="28"/>
  <c r="AB43" i="28"/>
  <c r="AA43" i="28"/>
  <c r="G43" i="28"/>
  <c r="AB42" i="28"/>
  <c r="AA42" i="28"/>
  <c r="G42" i="28"/>
  <c r="AB41" i="28"/>
  <c r="AA41" i="28"/>
  <c r="G41" i="28"/>
  <c r="AB40" i="28"/>
  <c r="AA40" i="28"/>
  <c r="G40" i="28"/>
  <c r="AB39" i="28"/>
  <c r="AA39" i="28"/>
  <c r="G39" i="28"/>
  <c r="AB38" i="28"/>
  <c r="AA38" i="28"/>
  <c r="G38" i="28"/>
  <c r="AB37" i="28"/>
  <c r="AA37" i="28"/>
  <c r="G37" i="28"/>
  <c r="AB36" i="28"/>
  <c r="AA36" i="28"/>
  <c r="G36" i="28"/>
  <c r="AB35" i="28"/>
  <c r="AA35" i="28"/>
  <c r="G35" i="28"/>
  <c r="AB34" i="28"/>
  <c r="AA34" i="28"/>
  <c r="G34" i="28"/>
  <c r="AB33" i="28"/>
  <c r="AA33" i="28"/>
  <c r="G33" i="28"/>
  <c r="AB32" i="28"/>
  <c r="AA32" i="28"/>
  <c r="G32" i="28"/>
  <c r="AB31" i="28"/>
  <c r="AA31" i="28"/>
  <c r="G31" i="28"/>
  <c r="AB30" i="28"/>
  <c r="AA30" i="28"/>
  <c r="G30" i="28"/>
  <c r="AB29" i="28"/>
  <c r="AA29" i="28"/>
  <c r="G29" i="28"/>
  <c r="AB28" i="28"/>
  <c r="AA28" i="28"/>
  <c r="G28" i="28"/>
  <c r="AB27" i="28"/>
  <c r="AA27" i="28"/>
  <c r="G27" i="28"/>
  <c r="AB26" i="28"/>
  <c r="AA26" i="28"/>
  <c r="G26" i="28"/>
  <c r="AB25" i="28"/>
  <c r="AA25" i="28"/>
  <c r="G25" i="28"/>
  <c r="AB24" i="28"/>
  <c r="AA24" i="28"/>
  <c r="G24" i="28"/>
  <c r="AB23" i="28"/>
  <c r="AA23" i="28"/>
  <c r="G23" i="28"/>
  <c r="AB22" i="28"/>
  <c r="AA22" i="28"/>
  <c r="G22" i="28"/>
  <c r="AB21" i="28"/>
  <c r="AA21" i="28"/>
  <c r="G21" i="28"/>
  <c r="AB20" i="28"/>
  <c r="Y20" i="28"/>
  <c r="X20" i="28"/>
  <c r="AA20" i="28" s="1"/>
  <c r="G20" i="28"/>
  <c r="AB19" i="28"/>
  <c r="AA19" i="28"/>
  <c r="G19" i="28"/>
  <c r="AB18" i="28"/>
  <c r="AA18" i="28"/>
  <c r="G18" i="28"/>
  <c r="AB17" i="28"/>
  <c r="AA17" i="28"/>
  <c r="G17" i="28"/>
  <c r="AB16" i="28"/>
  <c r="AA16" i="28"/>
  <c r="G16" i="28"/>
  <c r="AB15" i="28"/>
  <c r="AA15" i="28"/>
  <c r="G15" i="28"/>
  <c r="AB14" i="28"/>
  <c r="AA14" i="28"/>
  <c r="G14" i="28"/>
  <c r="AB13" i="28"/>
  <c r="AA13" i="28"/>
  <c r="G13" i="28"/>
  <c r="AB12" i="28"/>
  <c r="AA12" i="28"/>
  <c r="G12" i="28"/>
  <c r="AB11" i="28"/>
  <c r="AA11" i="28"/>
  <c r="G11" i="28"/>
  <c r="AB10" i="28"/>
  <c r="AA10" i="28"/>
  <c r="G10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A1" authorId="0" shapeId="0" xr:uid="{9C61FD2F-89D5-4135-9A4B-79AAFA3B4E1B}">
      <text>
        <r>
          <rPr>
            <b/>
            <sz val="9"/>
            <color indexed="81"/>
            <rFont val="Segoe UI"/>
            <family val="2"/>
          </rPr>
          <t>HÀ NGUYỄN: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0" authorId="0" shapeId="0" xr:uid="{8D5D3929-3478-4C2A-BCA2-123AFA1ED9BF}">
      <text>
        <r>
          <rPr>
            <b/>
            <sz val="9"/>
            <color indexed="81"/>
            <rFont val="Segoe UI"/>
            <family val="2"/>
          </rPr>
          <t>21/8/2023  :</t>
        </r>
        <r>
          <rPr>
            <sz val="9"/>
            <color indexed="81"/>
            <rFont val="Segoe UI"/>
            <family val="2"/>
          </rPr>
          <t xml:space="preserve">
1000 thùng
23/8/2023
1709 THÙNG
</t>
        </r>
      </text>
    </comment>
    <comment ref="X228" authorId="0" shapeId="0" xr:uid="{B7B52950-B6E1-475F-84C4-272A13622AAD}">
      <text>
        <r>
          <rPr>
            <sz val="9"/>
            <color indexed="81"/>
            <rFont val="Segoe UI"/>
            <family val="2"/>
          </rPr>
          <t xml:space="preserve">150 THÙNG ĐG LÃNH 11/9/2023
</t>
        </r>
      </text>
    </comment>
    <comment ref="X350" authorId="0" shapeId="0" xr:uid="{0267CBAE-05F8-4BE3-A847-17CF3CBF6AE5}">
      <text>
        <r>
          <rPr>
            <sz val="9"/>
            <color indexed="81"/>
            <rFont val="Segoe UI"/>
            <family val="2"/>
          </rPr>
          <t xml:space="preserve">25/8/2023 ;500 thùng dg  26/8/2023 ;500 thùng  28/8/2023 :dg 1670 thùng
</t>
        </r>
      </text>
    </comment>
    <comment ref="F418" authorId="0" shapeId="0" xr:uid="{2AA0CBA5-4953-4A38-812B-AA2B88E2B265}">
      <text>
        <r>
          <rPr>
            <b/>
            <sz val="9"/>
            <color indexed="81"/>
            <rFont val="Segoe UI"/>
            <family val="2"/>
          </rPr>
          <t xml:space="preserve">S 5 THÙNG : M; 5 THÙNG 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418" authorId="0" shapeId="0" xr:uid="{834E8C2B-6146-41E9-9D25-24B29ECDCA12}">
      <text>
        <r>
          <rPr>
            <sz val="9"/>
            <color indexed="81"/>
            <rFont val="Segoe UI"/>
            <family val="2"/>
          </rPr>
          <t xml:space="preserve">S; 10 HỘP M;10 HỘP 
</t>
        </r>
      </text>
    </comment>
    <comment ref="N657" authorId="0" shapeId="0" xr:uid="{51DC0218-7890-49A2-A9C9-FB77073CAECC}">
      <text>
        <r>
          <rPr>
            <b/>
            <sz val="9"/>
            <color indexed="81"/>
            <rFont val="Segoe UI"/>
            <family val="2"/>
          </rPr>
          <t xml:space="preserve">6/10/2023 giao 100 hàng tặng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663" authorId="0" shapeId="0" xr:uid="{C43EC7FE-4D9D-4221-9543-DE93B2E6D7BC}">
      <text>
        <r>
          <rPr>
            <b/>
            <sz val="9"/>
            <color indexed="81"/>
            <rFont val="Segoe UI"/>
            <family val="2"/>
          </rPr>
          <t xml:space="preserve">6/10/2023 giao 50 hàng tặng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X12" authorId="0" shapeId="0" xr:uid="{84F3EED6-1A9B-4E82-A199-F4BA82AE09CD}">
      <text>
        <r>
          <rPr>
            <sz val="9"/>
            <color indexed="81"/>
            <rFont val="Segoe UI"/>
            <family val="2"/>
          </rPr>
          <t xml:space="preserve">dg lãnh 28/10/2023
</t>
        </r>
      </text>
    </comment>
    <comment ref="X13" authorId="0" shapeId="0" xr:uid="{D4C95C97-44BE-459C-9E3D-B086E953EE9D}">
      <text>
        <r>
          <rPr>
            <b/>
            <sz val="9"/>
            <color indexed="81"/>
            <rFont val="Segoe UI"/>
            <family val="2"/>
          </rPr>
          <t xml:space="preserve">31/10/2023 đg :2000 
4/1/2023 dg :1480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9" authorId="0" shapeId="0" xr:uid="{BED3B3B5-1DA3-4F26-AEF3-B6A7DCA5FCCC}">
      <text>
        <r>
          <rPr>
            <sz val="9"/>
            <color indexed="81"/>
            <rFont val="Segoe UI"/>
            <family val="2"/>
          </rPr>
          <t xml:space="preserve">2/11/2023  dg :600 thùng 
</t>
        </r>
      </text>
    </comment>
    <comment ref="X103" authorId="0" shapeId="0" xr:uid="{FF0577DD-3A42-4C7F-BB71-509F698A4F37}">
      <text>
        <r>
          <rPr>
            <sz val="9"/>
            <color indexed="81"/>
            <rFont val="Segoe UI"/>
            <family val="2"/>
          </rPr>
          <t xml:space="preserve">20/10/2023 :3000
28/10/2023:1600+26  tổng 4600+26 thùng chuyển qua long khánh
</t>
        </r>
      </text>
    </comment>
    <comment ref="N194" authorId="0" shapeId="0" xr:uid="{FABAE654-2800-4ABA-98AC-DE9A0E1526E2}">
      <text>
        <r>
          <rPr>
            <sz val="9"/>
            <color indexed="81"/>
            <rFont val="Segoe UI"/>
            <family val="2"/>
          </rPr>
          <t xml:space="preserve">1/12/2023 ncc cho thêm 18 hộp
</t>
        </r>
      </text>
    </comment>
    <comment ref="K197" authorId="0" shapeId="0" xr:uid="{FE36FD8F-FFB4-42A5-9E8F-2737FA0C7F03}">
      <text>
        <r>
          <rPr>
            <b/>
            <sz val="9"/>
            <color indexed="81"/>
            <rFont val="Segoe UI"/>
            <family val="2"/>
          </rPr>
          <t xml:space="preserve">7/11/2023 GIAO 
HÀNG TẶNG 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X19" authorId="0" shapeId="0" xr:uid="{A22EC292-6119-4EC5-B73E-286FA032854C}">
      <text>
        <r>
          <rPr>
            <b/>
            <sz val="9"/>
            <color indexed="81"/>
            <rFont val="Segoe UI"/>
            <family val="2"/>
          </rPr>
          <t xml:space="preserve">100 thùng dg lấy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58" authorId="0" shapeId="0" xr:uid="{F5A70572-8D6A-4B92-9AB3-7F0A2F5E2BB9}">
      <text>
        <r>
          <rPr>
            <b/>
            <sz val="9"/>
            <color indexed="81"/>
            <rFont val="Segoe UI"/>
            <family val="2"/>
          </rPr>
          <t xml:space="preserve">18/11/2023  :2000  
20/11/2023 :1475  đg lãnh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62" authorId="0" shapeId="0" xr:uid="{A05CA9FA-2372-4E74-895F-316837FFB4D5}">
      <text>
        <r>
          <rPr>
            <b/>
            <sz val="9"/>
            <color indexed="81"/>
            <rFont val="Segoe UI"/>
            <family val="2"/>
          </rPr>
          <t xml:space="preserve">1/12/2023 dg lãnh 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72" authorId="0" shapeId="0" xr:uid="{D02C374D-FFAA-4310-B98C-536402A23B88}">
      <text>
        <r>
          <rPr>
            <b/>
            <sz val="9"/>
            <color indexed="81"/>
            <rFont val="Segoe UI"/>
            <family val="2"/>
          </rPr>
          <t xml:space="preserve">22/11/2023 : 3000 dg
24/11/2023 :480  dg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73" authorId="0" shapeId="0" xr:uid="{71EE6600-D665-498D-BD59-36E38320B363}">
      <text>
        <r>
          <rPr>
            <sz val="9"/>
            <color indexed="81"/>
            <rFont val="Segoe UI"/>
            <family val="2"/>
          </rPr>
          <t xml:space="preserve">8/12/2023 giao
</t>
        </r>
      </text>
    </comment>
    <comment ref="X118" authorId="0" shapeId="0" xr:uid="{1D9B2B59-A632-4258-A3C5-B9D98111A368}">
      <text>
        <r>
          <rPr>
            <sz val="9"/>
            <color indexed="81"/>
            <rFont val="Segoe UI"/>
            <family val="2"/>
          </rPr>
          <t xml:space="preserve">23/11/2023 :1090 thùng chuyển lk
</t>
        </r>
      </text>
    </comment>
    <comment ref="X121" authorId="0" shapeId="0" xr:uid="{075A49AE-EEB1-4368-98A2-2E44A00E920B}">
      <text>
        <r>
          <rPr>
            <b/>
            <sz val="9"/>
            <color indexed="81"/>
            <rFont val="Segoe UI"/>
            <family val="2"/>
          </rPr>
          <t>23/11/2023 :1520 thùng chuyển lk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129" authorId="0" shapeId="0" xr:uid="{C295420D-0493-4B0D-A22A-31656EBAA848}">
      <text>
        <r>
          <rPr>
            <b/>
            <sz val="9"/>
            <color indexed="81"/>
            <rFont val="Segoe UI"/>
            <family val="2"/>
          </rPr>
          <t xml:space="preserve">25/11/2023 : 7200 hộp chuyển lk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30" authorId="0" shapeId="0" xr:uid="{7BC84F57-51EB-4680-9686-8372244A7C57}">
      <text>
        <r>
          <rPr>
            <b/>
            <sz val="9"/>
            <color indexed="81"/>
            <rFont val="Segoe UI"/>
            <family val="2"/>
          </rPr>
          <t xml:space="preserve">41+3 thùng giao 1/12/2023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40" authorId="0" shapeId="0" xr:uid="{63E68E76-1801-499E-A93E-E9FEF7145F74}">
      <text>
        <r>
          <rPr>
            <sz val="9"/>
            <color indexed="81"/>
            <rFont val="Segoe UI"/>
            <family val="2"/>
          </rPr>
          <t xml:space="preserve">8 thùng giao ngày 1/12/2023
</t>
        </r>
      </text>
    </comment>
    <comment ref="X200" authorId="0" shapeId="0" xr:uid="{2FCA3321-1674-4720-9F43-2A679E8D9C44}">
      <text>
        <r>
          <rPr>
            <sz val="9"/>
            <color indexed="81"/>
            <rFont val="Segoe UI"/>
            <family val="2"/>
          </rPr>
          <t xml:space="preserve">25/11/2032 : 222
2/12/2023: 
1000 thùng lk
</t>
        </r>
      </text>
    </comment>
    <comment ref="K202" authorId="0" shapeId="0" xr:uid="{95C9968B-FEF6-4DE7-8FA2-57EE7518B5C8}">
      <text>
        <r>
          <rPr>
            <sz val="9"/>
            <color indexed="81"/>
            <rFont val="Segoe UI"/>
            <family val="2"/>
          </rPr>
          <t xml:space="preserve">23/12/2023 :9 THÙNG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X51" authorId="0" shapeId="0" xr:uid="{CB8993E1-8CDF-43FE-92A7-EAA063FC709B}">
      <text>
        <r>
          <rPr>
            <sz val="9"/>
            <color indexed="81"/>
            <rFont val="Segoe UI"/>
            <family val="2"/>
          </rPr>
          <t xml:space="preserve">10/1/2024  2380   13/01/2024 : 150  
dgd lãnh thùng ko   còn hộp
</t>
        </r>
      </text>
    </comment>
    <comment ref="X54" authorId="0" shapeId="0" xr:uid="{050E6E53-E0D4-4453-A11C-DE63AF2E73BF}">
      <text>
        <r>
          <rPr>
            <b/>
            <sz val="9"/>
            <color indexed="81"/>
            <rFont val="Segoe UI"/>
            <family val="2"/>
          </rPr>
          <t xml:space="preserve">13/01/2024 :3700 thùng đg lanh 
thùng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90" authorId="0" shapeId="0" xr:uid="{6DA99551-2B26-400E-A0D8-DCCBF111FF28}">
      <text>
        <r>
          <rPr>
            <b/>
            <sz val="9"/>
            <color indexed="81"/>
            <rFont val="Segoe UI"/>
            <family val="2"/>
          </rPr>
          <t xml:space="preserve">thùng chuyển lk 05/01/2024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96" authorId="0" shapeId="0" xr:uid="{5D547184-6AEF-4EE5-A082-8219FC4229A5}">
      <text>
        <r>
          <rPr>
            <sz val="9"/>
            <color indexed="81"/>
            <rFont val="Segoe UI"/>
            <family val="2"/>
          </rPr>
          <t xml:space="preserve">4/1/2024 :1500 thùng đg lãnh
</t>
        </r>
      </text>
    </comment>
    <comment ref="X197" authorId="0" shapeId="0" xr:uid="{64F4352A-FA31-4423-890B-0949D8762C37}">
      <text>
        <r>
          <rPr>
            <b/>
            <sz val="9"/>
            <color indexed="81"/>
            <rFont val="Segoe UI"/>
            <family val="2"/>
          </rPr>
          <t xml:space="preserve">DG :400 thùng 29/12
</t>
        </r>
      </text>
    </comment>
    <comment ref="Y197" authorId="0" shapeId="0" xr:uid="{48F6A6AE-C3D7-4F4E-AA0F-FE45CE7A7E0B}">
      <text>
        <r>
          <rPr>
            <b/>
            <sz val="9"/>
            <color indexed="81"/>
            <rFont val="Segoe UI"/>
            <family val="2"/>
          </rPr>
          <t xml:space="preserve">1600  lên 
 hộp ko lên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98" authorId="0" shapeId="0" xr:uid="{AB13DCC8-3E74-43F9-9A82-E4722EA5D442}">
      <text>
        <r>
          <rPr>
            <b/>
            <sz val="9"/>
            <color indexed="81"/>
            <rFont val="Segoe UI"/>
            <family val="2"/>
          </rPr>
          <t xml:space="preserve">dg:400 thùng 29/12/2023
</t>
        </r>
      </text>
    </comment>
    <comment ref="Y198" authorId="0" shapeId="0" xr:uid="{51DB723A-453E-40ED-99F0-8DADD29C77EA}">
      <text>
        <r>
          <rPr>
            <sz val="9"/>
            <color indexed="81"/>
            <rFont val="Segoe UI"/>
            <family val="2"/>
          </rPr>
          <t xml:space="preserve">
1600 lên hộp không lên thùng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Y15" authorId="0" shapeId="0" xr:uid="{DD625053-32A4-45B0-BF31-EFE8D33CADED}">
      <text>
        <r>
          <rPr>
            <b/>
            <sz val="9"/>
            <color indexed="81"/>
            <rFont val="Segoe UI"/>
            <family val="2"/>
          </rPr>
          <t xml:space="preserve">31/1/2024 chuyển lk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31" authorId="0" shapeId="0" xr:uid="{3D8CC6D9-2368-47D8-A166-586672E3EF4D}">
      <text>
        <r>
          <rPr>
            <b/>
            <sz val="9"/>
            <color indexed="81"/>
            <rFont val="Segoe UI"/>
            <family val="2"/>
          </rPr>
          <t>17/2/2024 ddg lãnh thùng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3" authorId="0" shapeId="0" xr:uid="{FA0795E7-68DE-4DE5-8C05-597B3D1532AD}">
      <text>
        <r>
          <rPr>
            <b/>
            <sz val="9"/>
            <color indexed="81"/>
            <rFont val="Segoe UI"/>
            <family val="2"/>
          </rPr>
          <t xml:space="preserve">hàng tặng giao ngày 15/01/2024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4" authorId="0" shapeId="0" xr:uid="{F21C5414-13A5-4399-A341-AD33F1651991}">
      <text>
        <r>
          <rPr>
            <b/>
            <sz val="9"/>
            <color indexed="81"/>
            <rFont val="Segoe UI"/>
            <family val="2"/>
          </rPr>
          <t xml:space="preserve">230 hộp giao  18/01/2024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8" authorId="0" shapeId="0" xr:uid="{287B956B-4474-4589-B989-9675FE29005A}">
      <text>
        <r>
          <rPr>
            <sz val="9"/>
            <color indexed="81"/>
            <rFont val="Segoe UI"/>
            <family val="2"/>
          </rPr>
          <t xml:space="preserve">hàng tặng giao 15/01/2024
</t>
        </r>
      </text>
    </comment>
    <comment ref="J53" authorId="0" shapeId="0" xr:uid="{BE9EABCA-EF7E-46A0-A3FA-8086AC59CDFA}">
      <text>
        <r>
          <rPr>
            <b/>
            <sz val="9"/>
            <color indexed="81"/>
            <rFont val="Segoe UI"/>
            <family val="2"/>
          </rPr>
          <t>HÀ NGUYỄN:</t>
        </r>
        <r>
          <rPr>
            <sz val="9"/>
            <color indexed="81"/>
            <rFont val="Segoe UI"/>
            <family val="2"/>
          </rPr>
          <t xml:space="preserve">547 thùng lk nhận </t>
        </r>
      </text>
    </comment>
    <comment ref="N59" authorId="0" shapeId="0" xr:uid="{A5E57187-D454-4F5F-94C2-1C73AAFC3CC0}">
      <text>
        <r>
          <rPr>
            <sz val="9"/>
            <color indexed="81"/>
            <rFont val="Segoe UI"/>
            <family val="2"/>
          </rPr>
          <t xml:space="preserve">18/1/2024  : 57 HỘP HT
</t>
        </r>
      </text>
    </comment>
    <comment ref="K117" authorId="0" shapeId="0" xr:uid="{012D5EE5-B59F-4ECD-BD36-203696CA2580}">
      <text>
        <r>
          <rPr>
            <b/>
            <sz val="9"/>
            <color indexed="81"/>
            <rFont val="Segoe UI"/>
            <family val="2"/>
          </rPr>
          <t xml:space="preserve">3
 thùng tặng giao ngày 16/1/202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28" authorId="0" shapeId="0" xr:uid="{3F1004BF-27D9-495F-ABFF-4DB693C0F0BA}">
      <text>
        <r>
          <rPr>
            <b/>
            <sz val="9"/>
            <color indexed="81"/>
            <rFont val="Segoe UI"/>
            <family val="2"/>
          </rPr>
          <t xml:space="preserve">16/1/2024 giao 18 thùng hàng tặng 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40" authorId="0" shapeId="0" xr:uid="{B6631279-9585-451E-944A-EFD82E6EFD34}">
      <text>
        <r>
          <rPr>
            <b/>
            <sz val="9"/>
            <color indexed="81"/>
            <rFont val="Segoe UI"/>
            <family val="2"/>
          </rPr>
          <t xml:space="preserve"> 15 thùng giao ngày 31/01/2024
</t>
        </r>
      </text>
    </comment>
    <comment ref="X152" authorId="0" shapeId="0" xr:uid="{05C43683-A707-4CB0-95BC-E3EF0028A37D}">
      <text>
        <r>
          <rPr>
            <sz val="9"/>
            <color indexed="81"/>
            <rFont val="Segoe UI"/>
            <family val="2"/>
          </rPr>
          <t xml:space="preserve">27/02/2024 đg lãnh thùng
</t>
        </r>
      </text>
    </comment>
    <comment ref="X154" authorId="0" shapeId="0" xr:uid="{3D215213-382C-4FCF-9E3F-8C3F2B579B88}">
      <text>
        <r>
          <rPr>
            <b/>
            <sz val="9"/>
            <color indexed="81"/>
            <rFont val="Segoe UI"/>
            <family val="2"/>
          </rPr>
          <t xml:space="preserve">dg lãnh thùng ngày 21/2/2024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56" authorId="0" shapeId="0" xr:uid="{D9955AAB-AE75-4524-BF38-44A59F7A4233}">
      <text>
        <r>
          <rPr>
            <b/>
            <sz val="9"/>
            <color indexed="81"/>
            <rFont val="Segoe UI"/>
            <family val="2"/>
          </rPr>
          <t xml:space="preserve">1/3/2024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68" authorId="0" shapeId="0" xr:uid="{408C4F59-FE72-4ABA-8BE9-0156E3416381}">
      <text>
        <r>
          <rPr>
            <b/>
            <sz val="9"/>
            <color indexed="81"/>
            <rFont val="Segoe UI"/>
            <family val="2"/>
          </rPr>
          <t xml:space="preserve">5/2/2024 lk chuyển qua 432+6  thùng đã làm kiểm nghiệm
</t>
        </r>
      </text>
    </comment>
    <comment ref="X175" authorId="0" shapeId="0" xr:uid="{68391816-71E5-49A0-9AD9-97154900D69E}">
      <text>
        <r>
          <rPr>
            <sz val="9"/>
            <color indexed="81"/>
            <rFont val="Segoe UI"/>
            <family val="2"/>
          </rPr>
          <t xml:space="preserve">thùng đg lãnh ngày 27/01/2024
</t>
        </r>
      </text>
    </comment>
    <comment ref="X177" authorId="0" shapeId="0" xr:uid="{BF2CFAF4-B1CD-4B71-B8BF-94F4079AD476}">
      <text>
        <r>
          <rPr>
            <sz val="9"/>
            <color indexed="81"/>
            <rFont val="Segoe UI"/>
            <family val="2"/>
          </rPr>
          <t xml:space="preserve">đg lãnh thùng 27/01/2024
</t>
        </r>
      </text>
    </comment>
    <comment ref="K195" authorId="0" shapeId="0" xr:uid="{C8FA81FB-77E4-4CF9-B8B9-BD906B9B61A9}">
      <text>
        <r>
          <rPr>
            <b/>
            <sz val="9"/>
            <color indexed="81"/>
            <rFont val="Segoe UI"/>
            <family val="2"/>
          </rPr>
          <t xml:space="preserve">12 thùng giao ngày 31/01/2024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12" authorId="0" shapeId="0" xr:uid="{01CD1E6A-364B-41DC-9DB7-A60D3A6845B9}">
      <text>
        <r>
          <rPr>
            <b/>
            <sz val="9"/>
            <color indexed="81"/>
            <rFont val="Segoe UI"/>
            <family val="2"/>
          </rPr>
          <t xml:space="preserve">2 thùng giao ngày 20/2/2024  ht ko làm kn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63" authorId="0" shapeId="0" xr:uid="{DF572D7F-3F0D-4DB1-8D07-7697E822E9D6}">
      <text>
        <r>
          <rPr>
            <b/>
            <sz val="9"/>
            <color indexed="81"/>
            <rFont val="Segoe UI"/>
            <family val="2"/>
          </rPr>
          <t xml:space="preserve">438 giao 26/1/2024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72" authorId="0" shapeId="0" xr:uid="{236BA68F-006E-481C-AB9D-3B91652E8942}">
      <text>
        <r>
          <rPr>
            <b/>
            <sz val="9"/>
            <color indexed="81"/>
            <rFont val="Segoe UI"/>
            <family val="2"/>
          </rPr>
          <t xml:space="preserve">624 thùng đg </t>
        </r>
        <r>
          <rPr>
            <sz val="9"/>
            <color indexed="81"/>
            <rFont val="Segoe UI"/>
            <family val="2"/>
          </rPr>
          <t xml:space="preserve"> ko lãnh kho báo phế
</t>
        </r>
      </text>
    </comment>
    <comment ref="X273" authorId="0" shapeId="0" xr:uid="{0836B020-F41F-4C26-97D4-430DD754F4C2}">
      <text>
        <r>
          <rPr>
            <b/>
            <sz val="9"/>
            <color indexed="81"/>
            <rFont val="Segoe UI"/>
            <family val="2"/>
          </rPr>
          <t xml:space="preserve">666 thùng ko lãnh kho báo phế
</t>
        </r>
      </text>
    </comment>
    <comment ref="X274" authorId="0" shapeId="0" xr:uid="{00AD3515-740D-46E7-94E5-ACACD7530BFB}">
      <text>
        <r>
          <rPr>
            <b/>
            <sz val="9"/>
            <color indexed="81"/>
            <rFont val="Segoe UI"/>
            <family val="2"/>
          </rPr>
          <t xml:space="preserve">123 thùng đg ko lãnh kho báo phế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35" authorId="0" shapeId="0" xr:uid="{6FB380E7-4460-4E6A-8C38-15FE71C76D43}">
      <text>
        <r>
          <rPr>
            <b/>
            <sz val="9"/>
            <color indexed="81"/>
            <rFont val="Segoe UI"/>
            <family val="2"/>
          </rPr>
          <t xml:space="preserve">21/3/2024 giao 5+2 thùng ht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335" authorId="0" shapeId="0" xr:uid="{32E56432-02F7-446E-8126-7C1BFFC7D3FC}">
      <text>
        <r>
          <rPr>
            <sz val="9"/>
            <color indexed="81"/>
            <rFont val="Segoe UI"/>
            <family val="2"/>
          </rPr>
          <t xml:space="preserve"> thùng kéo lên chuyền 
2/3/2024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K74" authorId="0" shapeId="0" xr:uid="{5F999264-CF8C-41AE-B091-6A3762A5B6A2}">
      <text>
        <r>
          <rPr>
            <b/>
            <sz val="9"/>
            <color indexed="81"/>
            <rFont val="Segoe UI"/>
            <family val="2"/>
          </rPr>
          <t xml:space="preserve">20 thùng giao 24/2/2024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17" authorId="0" shapeId="0" xr:uid="{18B484E1-3792-4999-BB17-2BC41E069944}">
      <text>
        <r>
          <rPr>
            <b/>
            <sz val="9"/>
            <color indexed="81"/>
            <rFont val="Segoe UI"/>
            <family val="2"/>
          </rPr>
          <t>ht giao 
16/3/2024  :200</t>
        </r>
        <r>
          <rPr>
            <sz val="9"/>
            <color indexed="81"/>
            <rFont val="Segoe UI"/>
            <family val="2"/>
          </rPr>
          <t xml:space="preserve">
21/3/2024 :30
</t>
        </r>
      </text>
    </comment>
    <comment ref="X120" authorId="0" shapeId="0" xr:uid="{9B39D1B2-AE2B-4EB7-84C4-4E7886930C96}">
      <text>
        <r>
          <rPr>
            <b/>
            <sz val="9"/>
            <color indexed="81"/>
            <rFont val="Segoe UI"/>
            <family val="2"/>
          </rPr>
          <t>15/3/2024 đg lãnh thùng: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23" authorId="0" shapeId="0" xr:uid="{1842A21B-9812-411D-97B2-4F047ECAAB10}">
      <text>
        <r>
          <rPr>
            <b/>
            <sz val="9"/>
            <color indexed="81"/>
            <rFont val="Segoe UI"/>
            <family val="2"/>
          </rPr>
          <t xml:space="preserve">dg lãnh thùng 20/3/2024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66" authorId="0" shapeId="0" xr:uid="{D731923A-6FD0-469C-9EE2-AE353669201B}">
      <text>
        <r>
          <rPr>
            <b/>
            <sz val="9"/>
            <color indexed="81"/>
            <rFont val="Segoe UI"/>
            <family val="2"/>
          </rPr>
          <t xml:space="preserve">27/3/2024  giao 4 thùng ht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44" authorId="0" shapeId="0" xr:uid="{132961F4-7CB6-465A-8A6B-36C9115C7C40}">
      <text>
        <r>
          <rPr>
            <b/>
            <sz val="9"/>
            <color indexed="81"/>
            <rFont val="Segoe UI"/>
            <family val="2"/>
          </rPr>
          <t xml:space="preserve">ht giao 15/3/2024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66" authorId="0" shapeId="0" xr:uid="{5A5DD37A-94C3-440D-A17F-EA4C2F8330B8}">
      <text>
        <r>
          <rPr>
            <sz val="9"/>
            <color indexed="81"/>
            <rFont val="Segoe UI"/>
            <family val="2"/>
          </rPr>
          <t xml:space="preserve"> ht giao 29/2/2024
</t>
        </r>
      </text>
    </comment>
    <comment ref="N277" authorId="0" shapeId="0" xr:uid="{FAC614F1-00DD-48CC-80AD-650913CDB978}">
      <text>
        <r>
          <rPr>
            <b/>
            <sz val="9"/>
            <color indexed="81"/>
            <rFont val="Segoe UI"/>
            <family val="2"/>
          </rPr>
          <t xml:space="preserve">100 HỘP DT giao 27/3/2024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95" authorId="0" shapeId="0" xr:uid="{9FE2212F-085B-4115-92C8-3424F79656B2}">
      <text>
        <r>
          <rPr>
            <b/>
            <sz val="9"/>
            <color indexed="81"/>
            <rFont val="Segoe UI"/>
            <family val="2"/>
          </rPr>
          <t xml:space="preserve">80 hộp giao 7/3/2024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03" authorId="0" shapeId="0" xr:uid="{D6CC821D-163C-4159-9A8A-B76DB69BB44E}">
      <text>
        <r>
          <rPr>
            <b/>
            <sz val="9"/>
            <color indexed="81"/>
            <rFont val="Segoe UI"/>
            <family val="2"/>
          </rPr>
          <t xml:space="preserve">3 THÙNG HT GIAO 18
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K83" authorId="0" shapeId="0" xr:uid="{B92BE866-A296-45F9-8763-EC2E14A61DF2}">
      <text>
        <r>
          <rPr>
            <b/>
            <sz val="9"/>
            <color indexed="81"/>
            <rFont val="Segoe UI"/>
            <family val="2"/>
          </rPr>
          <t>5 thùng giao 11/4
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12" authorId="0" shapeId="0" xr:uid="{0F2FC3B2-7326-4A75-8A37-A4F03063A43C}">
      <text>
        <r>
          <rPr>
            <b/>
            <sz val="9"/>
            <color indexed="81"/>
            <rFont val="Segoe UI"/>
            <family val="2"/>
          </rPr>
          <t xml:space="preserve">10 thùng giao 19/3/2024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15" authorId="0" shapeId="0" xr:uid="{9C5E6A07-E4A4-40AB-ABEE-1E0715B9A6C9}">
      <text>
        <r>
          <rPr>
            <b/>
            <sz val="9"/>
            <color indexed="81"/>
            <rFont val="Segoe UI"/>
            <family val="2"/>
          </rPr>
          <t xml:space="preserve">9 THÙNG GIAO 16/03/2024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18" authorId="0" shapeId="0" xr:uid="{A9EF2FD1-D0CA-462F-A41C-5D00B8052F4A}">
      <text>
        <r>
          <rPr>
            <b/>
            <sz val="9"/>
            <color indexed="81"/>
            <rFont val="Segoe UI"/>
            <family val="2"/>
          </rPr>
          <t>11 THÙNG nhận 16/03/2024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21" authorId="0" shapeId="0" xr:uid="{827A9AAC-4AF3-465E-B0F2-19AD460C4105}">
      <text>
        <r>
          <rPr>
            <b/>
            <sz val="9"/>
            <color indexed="81"/>
            <rFont val="Segoe UI"/>
            <family val="2"/>
          </rPr>
          <t xml:space="preserve">10 thùng nhận ngày 16/3/2024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24" authorId="0" shapeId="0" xr:uid="{C2F02E36-EDD1-4606-8FED-0C9A40C1C56D}">
      <text>
        <r>
          <rPr>
            <b/>
            <sz val="9"/>
            <color indexed="81"/>
            <rFont val="Segoe UI"/>
            <family val="2"/>
          </rPr>
          <t>22/4/2024 giao thêm 40 thùng ht: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24" authorId="0" shapeId="0" xr:uid="{B250B3EB-9B89-4080-A5EE-B641113D529C}">
      <text>
        <r>
          <rPr>
            <b/>
            <sz val="9"/>
            <color indexed="81"/>
            <rFont val="Segoe UI"/>
            <family val="2"/>
          </rPr>
          <t xml:space="preserve">3/4/2024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51" authorId="0" shapeId="0" xr:uid="{4F46A9BA-F501-441A-940C-4084832F4A69}">
      <text>
        <r>
          <rPr>
            <b/>
            <sz val="9"/>
            <color indexed="81"/>
            <rFont val="Segoe UI"/>
            <family val="2"/>
          </rPr>
          <t xml:space="preserve">91 thùng lk chuyển qua nbr 26/3/2024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69" authorId="0" shapeId="0" xr:uid="{68538816-6641-4D5D-AFE5-02E1EFE4C406}">
      <text>
        <r>
          <rPr>
            <sz val="9"/>
            <color indexed="81"/>
            <rFont val="Segoe UI"/>
            <family val="2"/>
          </rPr>
          <t xml:space="preserve">834 thùng lk chuyển qua 
</t>
        </r>
      </text>
    </comment>
    <comment ref="M169" authorId="0" shapeId="0" xr:uid="{24B980E8-3181-4920-A012-F1B4BE256C72}">
      <text>
        <r>
          <rPr>
            <b/>
            <sz val="9"/>
            <color indexed="81"/>
            <rFont val="Segoe UI"/>
            <family val="2"/>
          </rPr>
          <t xml:space="preserve">5004  hộp lk chuyển qua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77" authorId="0" shapeId="0" xr:uid="{6C638E52-222D-4459-8EA6-A5C5159AB16F}">
      <text>
        <r>
          <rPr>
            <b/>
            <sz val="9"/>
            <color indexed="81"/>
            <rFont val="Segoe UI"/>
            <family val="2"/>
          </rPr>
          <t>15/3/2024 giao ht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31" authorId="0" shapeId="0" xr:uid="{8E41E3BA-0AA3-48BC-9169-A1859E17179C}">
      <text>
        <r>
          <rPr>
            <b/>
            <sz val="9"/>
            <color indexed="81"/>
            <rFont val="Segoe UI"/>
            <family val="2"/>
          </rPr>
          <t xml:space="preserve">16
 thùng ncc giao 23/4/2024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59" authorId="0" shapeId="0" xr:uid="{A4BF8209-AE00-477D-91BB-3AC925181F98}">
      <text>
        <r>
          <rPr>
            <b/>
            <sz val="9"/>
            <color indexed="81"/>
            <rFont val="Segoe UI"/>
            <family val="2"/>
          </rPr>
          <t xml:space="preserve">6/4/2024 chuyển thùng  qua lk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66" authorId="0" shapeId="0" xr:uid="{E35D1B01-8B3F-4815-A3A5-87E7DEBB0FC2}">
      <text>
        <r>
          <rPr>
            <b/>
            <sz val="9"/>
            <color indexed="81"/>
            <rFont val="Segoe UI"/>
            <family val="2"/>
          </rPr>
          <t xml:space="preserve">18 thùng giao 11/4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K30" authorId="0" shapeId="0" xr:uid="{E62BA609-C029-4DD3-A57A-E7925ACA527A}">
      <text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
13/4/2024 giao 3+9 thùng
</t>
        </r>
      </text>
    </comment>
    <comment ref="K54" authorId="0" shapeId="0" xr:uid="{AF5DDF51-DC76-4AA5-9DBB-D2C0F9B9097C}">
      <text>
        <r>
          <rPr>
            <b/>
            <sz val="9"/>
            <color indexed="81"/>
            <rFont val="Segoe UI"/>
            <family val="2"/>
          </rPr>
          <t xml:space="preserve">19 THÙNG GIAO 14/5/2024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54" authorId="0" shapeId="0" xr:uid="{DBE9DAC6-D2D2-46D4-A3B5-C17EEEB52597}">
      <text>
        <r>
          <rPr>
            <b/>
            <sz val="9"/>
            <color indexed="81"/>
            <rFont val="Segoe UI"/>
            <family val="2"/>
          </rPr>
          <t xml:space="preserve">7/5/2024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57" authorId="0" shapeId="0" xr:uid="{4733A0BE-0E5C-4CA1-AD96-FDD7A63723AB}">
      <text>
        <r>
          <rPr>
            <b/>
            <sz val="9"/>
            <color indexed="81"/>
            <rFont val="Segoe UI"/>
            <family val="2"/>
          </rPr>
          <t xml:space="preserve">20 THÙNG GIAO 14/5/2024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58" authorId="0" shapeId="0" xr:uid="{C0F4A3D6-1365-4832-943E-6736DDDABDF6}">
      <text>
        <r>
          <rPr>
            <b/>
            <sz val="9"/>
            <color indexed="81"/>
            <rFont val="Segoe UI"/>
            <family val="2"/>
          </rPr>
          <t xml:space="preserve">15 THÙNG GIAO 14/5/2024
</t>
        </r>
      </text>
    </comment>
    <comment ref="N58" authorId="0" shapeId="0" xr:uid="{CCF77B2A-6070-4A1E-A605-F6A2F67979F5}">
      <text>
        <r>
          <rPr>
            <b/>
            <sz val="9"/>
            <color indexed="81"/>
            <rFont val="Segoe UI"/>
            <family val="2"/>
          </rPr>
          <t xml:space="preserve">ht giao 17/4/2024 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58" authorId="0" shapeId="0" xr:uid="{881D1121-40C9-44F8-864D-0D13AF5617D3}">
      <text>
        <r>
          <rPr>
            <b/>
            <sz val="9"/>
            <color indexed="81"/>
            <rFont val="Segoe UI"/>
            <family val="2"/>
          </rPr>
          <t xml:space="preserve">11/5/2024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66" authorId="0" shapeId="0" xr:uid="{4A3FBA69-7079-40EE-A7AE-A18C0BE9F33F}">
      <text>
        <r>
          <rPr>
            <sz val="9"/>
            <color indexed="81"/>
            <rFont val="Segoe UI"/>
            <family val="2"/>
          </rPr>
          <t xml:space="preserve">24/4/2024 giao ht
</t>
        </r>
      </text>
    </comment>
    <comment ref="N73" authorId="0" shapeId="0" xr:uid="{DD5C60F4-FE48-48DF-A488-46438B22C687}">
      <text>
        <r>
          <rPr>
            <b/>
            <sz val="9"/>
            <color indexed="81"/>
            <rFont val="Segoe UI"/>
            <family val="2"/>
          </rPr>
          <t>16/4/2024  GIAO HT 180+20</t>
        </r>
      </text>
    </comment>
    <comment ref="K110" authorId="0" shapeId="0" xr:uid="{74D70F2D-770F-47B3-9B59-DA5B357EAD15}">
      <text>
        <r>
          <rPr>
            <sz val="9"/>
            <color indexed="81"/>
            <rFont val="Segoe UI"/>
            <family val="2"/>
          </rPr>
          <t xml:space="preserve">13 thùng ngày 29/4/2024
</t>
        </r>
      </text>
    </comment>
    <comment ref="K170" authorId="0" shapeId="0" xr:uid="{94C4EEA6-42BD-43CB-9804-380450E13C9A}">
      <text>
        <r>
          <rPr>
            <b/>
            <sz val="9"/>
            <color indexed="81"/>
            <rFont val="Segoe UI"/>
            <family val="2"/>
          </rPr>
          <t xml:space="preserve">7 thùng giao 29/4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74" authorId="0" shapeId="0" xr:uid="{BF6701B7-0F71-4B31-B5E4-AB39F8E68329}">
      <text>
        <r>
          <rPr>
            <b/>
            <sz val="9"/>
            <color indexed="81"/>
            <rFont val="Segoe UI"/>
            <family val="2"/>
          </rPr>
          <t xml:space="preserve">23/4/2024 giao 10700+50 dư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34" authorId="0" shapeId="0" xr:uid="{F070C8B1-D674-428E-AC0E-A2249124DBFB}">
      <text>
        <r>
          <rPr>
            <b/>
            <sz val="9"/>
            <color indexed="81"/>
            <rFont val="Segoe UI"/>
            <family val="2"/>
          </rPr>
          <t xml:space="preserve">HT GIAO 14/5/2024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58" authorId="0" shapeId="0" xr:uid="{0F805186-5142-48F3-8465-3E50587A1C93}">
      <text>
        <r>
          <rPr>
            <b/>
            <sz val="9"/>
            <color indexed="81"/>
            <rFont val="Segoe UI"/>
            <family val="2"/>
          </rPr>
          <t>18/6 dg  lãnh thùng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59" authorId="0" shapeId="0" xr:uid="{E77E5834-BA01-4FB8-907C-1A8481D04069}">
      <text>
        <r>
          <rPr>
            <b/>
            <sz val="9"/>
            <color indexed="81"/>
            <rFont val="Segoe UI"/>
            <family val="2"/>
          </rPr>
          <t xml:space="preserve">18/6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0" authorId="0" shapeId="0" xr:uid="{99D62DF1-30B8-4E67-A3C3-AB46BF61256E}">
      <text>
        <r>
          <rPr>
            <b/>
            <sz val="9"/>
            <color indexed="81"/>
            <rFont val="Segoe UI"/>
            <family val="2"/>
          </rPr>
          <t>dg lãnh thùng 24/5/2024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1" authorId="0" shapeId="0" xr:uid="{0AFABF5C-0518-482D-B918-5B27BD3783B4}">
      <text>
        <r>
          <rPr>
            <b/>
            <sz val="9"/>
            <color indexed="81"/>
            <rFont val="Segoe UI"/>
            <family val="2"/>
          </rPr>
          <t xml:space="preserve">24/5/2024 đg lãnh 1160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4" authorId="0" shapeId="0" xr:uid="{BEDF982A-285F-4A23-B663-A30287770F76}">
      <text>
        <r>
          <rPr>
            <b/>
            <sz val="9"/>
            <color indexed="81"/>
            <rFont val="Segoe UI"/>
            <family val="2"/>
          </rPr>
          <t>1/7/2024 dgd lãnh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5" authorId="0" shapeId="0" xr:uid="{239D84AE-B192-46B5-B3A8-7EA41B78728C}">
      <text>
        <r>
          <rPr>
            <b/>
            <sz val="9"/>
            <color indexed="81"/>
            <rFont val="Segoe UI"/>
            <family val="2"/>
          </rPr>
          <t>2/7/2024 dgd lãnh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6" authorId="0" shapeId="0" xr:uid="{167FB024-D9C1-4F41-B6E7-8A40F5AC57AA}">
      <text>
        <r>
          <rPr>
            <b/>
            <sz val="9"/>
            <color indexed="81"/>
            <rFont val="Segoe UI"/>
            <family val="2"/>
          </rPr>
          <t xml:space="preserve">dg lãnh thùng 7/6/2024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77" authorId="0" shapeId="0" xr:uid="{4D9FBB41-837B-4A26-989B-0059827310E1}">
      <text>
        <r>
          <rPr>
            <b/>
            <sz val="9"/>
            <color indexed="81"/>
            <rFont val="Segoe UI"/>
            <family val="2"/>
          </rPr>
          <t xml:space="preserve">12+1 thùng ncc fn giao 6/5/2024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17" authorId="0" shapeId="0" xr:uid="{A5FBC5F1-6C9E-4528-A627-2AEEB23F500A}">
      <text>
        <r>
          <rPr>
            <b/>
            <sz val="9"/>
            <color indexed="81"/>
            <rFont val="Segoe UI"/>
            <family val="2"/>
          </rPr>
          <t xml:space="preserve">8 thùng giao 16/05/2024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46" authorId="0" shapeId="0" xr:uid="{253775E3-EDFB-4F0E-9899-668706BF7137}">
      <text>
        <r>
          <rPr>
            <b/>
            <sz val="9"/>
            <color indexed="81"/>
            <rFont val="Segoe UI"/>
            <family val="2"/>
          </rPr>
          <t xml:space="preserve">7 thùng ncc fn giao 30/5/2024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<sst xmlns="http://schemas.openxmlformats.org/spreadsheetml/2006/main" count="25149" uniqueCount="3945">
  <si>
    <t>ĐƠNHÀNG</t>
  </si>
  <si>
    <t>TÊNKH</t>
  </si>
  <si>
    <t>BANIN</t>
  </si>
  <si>
    <t>LOT</t>
  </si>
  <si>
    <t>PTĐG</t>
  </si>
  <si>
    <t>SIZE</t>
  </si>
  <si>
    <t>SLTthùng</t>
  </si>
  <si>
    <t>SLTHộp</t>
  </si>
  <si>
    <t>NNThùng</t>
  </si>
  <si>
    <t>SLThùng</t>
  </si>
  <si>
    <t>SLDƯThùng</t>
  </si>
  <si>
    <t>NCCThùng</t>
  </si>
  <si>
    <t>CTTMThùng</t>
  </si>
  <si>
    <t>SCTThùng</t>
  </si>
  <si>
    <t>NNHộp</t>
  </si>
  <si>
    <t>SLHộp</t>
  </si>
  <si>
    <t>SLDƯHộp</t>
  </si>
  <si>
    <t>NCChộp</t>
  </si>
  <si>
    <t>CTTMHộp</t>
  </si>
  <si>
    <t>SCTHộp</t>
  </si>
  <si>
    <t>NPBB</t>
  </si>
  <si>
    <t>BP lanh</t>
  </si>
  <si>
    <t>Tồn Thùng</t>
  </si>
  <si>
    <t>Tồn Hộp</t>
  </si>
  <si>
    <t>MDS</t>
  </si>
  <si>
    <t>UM33-14</t>
  </si>
  <si>
    <t>BF308353332</t>
  </si>
  <si>
    <t>S</t>
  </si>
  <si>
    <t>FN</t>
  </si>
  <si>
    <t>8500058992</t>
  </si>
  <si>
    <t>50007082865000737132</t>
  </si>
  <si>
    <t>07/07/2023</t>
  </si>
  <si>
    <t>8500059024</t>
  </si>
  <si>
    <t>5000704283</t>
  </si>
  <si>
    <t>27.7.2023</t>
  </si>
  <si>
    <t>#4</t>
  </si>
  <si>
    <t>T8</t>
  </si>
  <si>
    <t>L</t>
  </si>
  <si>
    <t>07/07/202315/07/2023</t>
  </si>
  <si>
    <t>50007044005000737132</t>
  </si>
  <si>
    <t>10/07/2023</t>
  </si>
  <si>
    <t>5000716462</t>
  </si>
  <si>
    <t>28/07/2023</t>
  </si>
  <si>
    <t>#3+#11</t>
  </si>
  <si>
    <t>UM3-14</t>
  </si>
  <si>
    <t>BF308353333</t>
  </si>
  <si>
    <t>M</t>
  </si>
  <si>
    <t>8500058998</t>
  </si>
  <si>
    <t>5000704401</t>
  </si>
  <si>
    <t>12/07/202313/07/2023</t>
  </si>
  <si>
    <t>5000727504</t>
  </si>
  <si>
    <t>85000590255000728115</t>
  </si>
  <si>
    <t>25/07/202328/07/2023</t>
  </si>
  <si>
    <t>#9#12#9+#12</t>
  </si>
  <si>
    <t>BF308353334</t>
  </si>
  <si>
    <t>8500059000</t>
  </si>
  <si>
    <t>5000708326</t>
  </si>
  <si>
    <t>5000727505</t>
  </si>
  <si>
    <t>85000590265000728132</t>
  </si>
  <si>
    <t>29.7.2023</t>
  </si>
  <si>
    <t>BF308353335</t>
  </si>
  <si>
    <t>08/07/2023</t>
  </si>
  <si>
    <t>8500059002</t>
  </si>
  <si>
    <t>5000708325</t>
  </si>
  <si>
    <t>07/07/202313/07/2023</t>
  </si>
  <si>
    <t>8500059027</t>
  </si>
  <si>
    <t>5000704281</t>
  </si>
  <si>
    <t>10/07/202313/07/2023</t>
  </si>
  <si>
    <t>50007163945000728133</t>
  </si>
  <si>
    <t>31/07/2023</t>
  </si>
  <si>
    <t>#3#11</t>
  </si>
  <si>
    <t>BF308353336</t>
  </si>
  <si>
    <t>8500059004</t>
  </si>
  <si>
    <t>50007043785000737105</t>
  </si>
  <si>
    <t>8500059028</t>
  </si>
  <si>
    <t>5000707600</t>
  </si>
  <si>
    <t/>
  </si>
  <si>
    <t>5000716464</t>
  </si>
  <si>
    <t>BF308353337</t>
  </si>
  <si>
    <t>8500059007</t>
  </si>
  <si>
    <t>5000708322</t>
  </si>
  <si>
    <t>8500059029</t>
  </si>
  <si>
    <t>5000704284</t>
  </si>
  <si>
    <t>5000704379</t>
  </si>
  <si>
    <t>5000716411</t>
  </si>
  <si>
    <t>UM3-17</t>
  </si>
  <si>
    <t>BF308353338</t>
  </si>
  <si>
    <t>IN7</t>
  </si>
  <si>
    <t>8500059010</t>
  </si>
  <si>
    <t>5000714930</t>
  </si>
  <si>
    <t>85000590098500059009</t>
  </si>
  <si>
    <t>50006887755000688775</t>
  </si>
  <si>
    <t>BF308353339</t>
  </si>
  <si>
    <t>8500059014</t>
  </si>
  <si>
    <t>5000704405</t>
  </si>
  <si>
    <t>8500059031</t>
  </si>
  <si>
    <t>5000704280</t>
  </si>
  <si>
    <t>50007323735000737133</t>
  </si>
  <si>
    <t>5000716433</t>
  </si>
  <si>
    <t>BF308353340</t>
  </si>
  <si>
    <t>8500059012</t>
  </si>
  <si>
    <t>5000708305</t>
  </si>
  <si>
    <t>8500059033</t>
  </si>
  <si>
    <t>5000707037</t>
  </si>
  <si>
    <t>13.7.2023</t>
  </si>
  <si>
    <t>5000728138</t>
  </si>
  <si>
    <t>8500058986</t>
  </si>
  <si>
    <t>50007083035000737134</t>
  </si>
  <si>
    <t>8500059023</t>
  </si>
  <si>
    <t>5000708347</t>
  </si>
  <si>
    <t>BF308353342</t>
  </si>
  <si>
    <t>8500058988</t>
  </si>
  <si>
    <t>5000708330</t>
  </si>
  <si>
    <t>8500059021</t>
  </si>
  <si>
    <t>5000708351</t>
  </si>
  <si>
    <t>5000704409</t>
  </si>
  <si>
    <t>5000716419</t>
  </si>
  <si>
    <t>8500058990</t>
  </si>
  <si>
    <t>5000714935</t>
  </si>
  <si>
    <t>8500058969</t>
  </si>
  <si>
    <t>5000704253</t>
  </si>
  <si>
    <t>BF308353343</t>
  </si>
  <si>
    <t>8500058994</t>
  </si>
  <si>
    <t>5000708327</t>
  </si>
  <si>
    <t>8500059022</t>
  </si>
  <si>
    <t>5000707603</t>
  </si>
  <si>
    <t>5000708354</t>
  </si>
  <si>
    <t>BF308353344</t>
  </si>
  <si>
    <t>8500058996</t>
  </si>
  <si>
    <t>5000708297</t>
  </si>
  <si>
    <t>07/07/202308/07/202313.7.2023</t>
  </si>
  <si>
    <t>850005903085000590305000728155</t>
  </si>
  <si>
    <t>500070428250007042828500059030</t>
  </si>
  <si>
    <t>10/07/202313.7.2023</t>
  </si>
  <si>
    <t>85000590305000728155</t>
  </si>
  <si>
    <t>50007164488500059030</t>
  </si>
  <si>
    <t>SANICEN</t>
  </si>
  <si>
    <t>ES22-05</t>
  </si>
  <si>
    <t>29/06/2023</t>
  </si>
  <si>
    <t>YFY</t>
  </si>
  <si>
    <t>8500058899</t>
  </si>
  <si>
    <t>5000672573</t>
  </si>
  <si>
    <t>30/06/2023</t>
  </si>
  <si>
    <t>wl</t>
  </si>
  <si>
    <t>8500058898</t>
  </si>
  <si>
    <t>5000679828</t>
  </si>
  <si>
    <t>XL</t>
  </si>
  <si>
    <t>5000679823</t>
  </si>
  <si>
    <t>28/06/2023</t>
  </si>
  <si>
    <t>5000668305</t>
  </si>
  <si>
    <t>8500058897</t>
  </si>
  <si>
    <t>5000672605</t>
  </si>
  <si>
    <t>WL</t>
  </si>
  <si>
    <t>8500058596</t>
  </si>
  <si>
    <t>5000680020</t>
  </si>
  <si>
    <t>5000679822</t>
  </si>
  <si>
    <t>5000672580</t>
  </si>
  <si>
    <t>ASAHI</t>
  </si>
  <si>
    <t>AA04-03/5</t>
  </si>
  <si>
    <t>23H23919</t>
  </si>
  <si>
    <t>Y F Y</t>
  </si>
  <si>
    <t>8500059574</t>
  </si>
  <si>
    <t>5000731834</t>
  </si>
  <si>
    <t>20/07/2023</t>
  </si>
  <si>
    <t>WEILUNG</t>
  </si>
  <si>
    <t>8500059573</t>
  </si>
  <si>
    <t>5000761642</t>
  </si>
  <si>
    <t>22.7.2023</t>
  </si>
  <si>
    <t>5000769358</t>
  </si>
  <si>
    <t>Y FY</t>
  </si>
  <si>
    <t>5000761457</t>
  </si>
  <si>
    <t>5000765406</t>
  </si>
  <si>
    <t>AA04-04/5</t>
  </si>
  <si>
    <t>8500059576</t>
  </si>
  <si>
    <t>5000761458</t>
  </si>
  <si>
    <t>8500059575</t>
  </si>
  <si>
    <t>5000765409</t>
  </si>
  <si>
    <t>5000761649</t>
  </si>
  <si>
    <t>BUNZL</t>
  </si>
  <si>
    <t>UB01-06/1</t>
  </si>
  <si>
    <t>19/07/2023</t>
  </si>
  <si>
    <t>8500059497</t>
  </si>
  <si>
    <t>5000757104</t>
  </si>
  <si>
    <t>29/07/2023</t>
  </si>
  <si>
    <t>8500059496</t>
  </si>
  <si>
    <t>5000796585</t>
  </si>
  <si>
    <t>24/07/2023</t>
  </si>
  <si>
    <t>5000778449</t>
  </si>
  <si>
    <t>25/07/2023</t>
  </si>
  <si>
    <t>5000782043</t>
  </si>
  <si>
    <t>UB01-05/1</t>
  </si>
  <si>
    <t>17/07/2023</t>
  </si>
  <si>
    <t>8500059462</t>
  </si>
  <si>
    <t>5000748732</t>
  </si>
  <si>
    <t>8500059461</t>
  </si>
  <si>
    <t>5000795499</t>
  </si>
  <si>
    <t>5000779719</t>
  </si>
  <si>
    <t>#14ab1</t>
  </si>
  <si>
    <t>13/7/2023</t>
  </si>
  <si>
    <t>FOUR NINE</t>
  </si>
  <si>
    <t>5000729128</t>
  </si>
  <si>
    <t>8500059460</t>
  </si>
  <si>
    <t>8500059459</t>
  </si>
  <si>
    <t>5000795497</t>
  </si>
  <si>
    <t>5000748743</t>
  </si>
  <si>
    <t>5000779716</t>
  </si>
  <si>
    <t xml:space="preserve">29.7.2023 </t>
  </si>
  <si>
    <t>8500059640</t>
  </si>
  <si>
    <t>Global Medics</t>
  </si>
  <si>
    <t>EG73-01/2</t>
  </si>
  <si>
    <t>11/07/2023</t>
  </si>
  <si>
    <t>8500059275</t>
  </si>
  <si>
    <t>5000723291</t>
  </si>
  <si>
    <t>8500059274</t>
  </si>
  <si>
    <t>5000761685</t>
  </si>
  <si>
    <t>5000761680</t>
  </si>
  <si>
    <t>8500059277</t>
  </si>
  <si>
    <t>5000723292</t>
  </si>
  <si>
    <t>8500059276</t>
  </si>
  <si>
    <t>5000761689</t>
  </si>
  <si>
    <t>8500059279</t>
  </si>
  <si>
    <t>5000723268</t>
  </si>
  <si>
    <t>8500059278</t>
  </si>
  <si>
    <t>5000761695</t>
  </si>
  <si>
    <t>8500059281</t>
  </si>
  <si>
    <t>5000723269</t>
  </si>
  <si>
    <t>8500059280</t>
  </si>
  <si>
    <t>5000761702</t>
  </si>
  <si>
    <t xml:space="preserve">EG73-01/2 </t>
  </si>
  <si>
    <t>8500059283</t>
  </si>
  <si>
    <t>50007232675000753047</t>
  </si>
  <si>
    <t>8500059282</t>
  </si>
  <si>
    <t>5000761700</t>
  </si>
  <si>
    <t>85000592835000736953</t>
  </si>
  <si>
    <t>5000723267</t>
  </si>
  <si>
    <t>EG73-02/1</t>
  </si>
  <si>
    <t>8500059285</t>
  </si>
  <si>
    <t>5000723251</t>
  </si>
  <si>
    <t>8500059284</t>
  </si>
  <si>
    <t>5000761703</t>
  </si>
  <si>
    <t>KAWANISHI</t>
  </si>
  <si>
    <t>AK04-28</t>
  </si>
  <si>
    <t>KW05230530</t>
  </si>
  <si>
    <t>XS</t>
  </si>
  <si>
    <t>BBT</t>
  </si>
  <si>
    <t>AK04-44</t>
  </si>
  <si>
    <t>YS23062201</t>
  </si>
  <si>
    <t>8500059451</t>
  </si>
  <si>
    <t>50007614535000761451</t>
  </si>
  <si>
    <t>8500059450</t>
  </si>
  <si>
    <t>5000778468</t>
  </si>
  <si>
    <t>YS23062202</t>
  </si>
  <si>
    <t>8500059439</t>
  </si>
  <si>
    <t>5000762737</t>
  </si>
  <si>
    <t>UTS</t>
  </si>
  <si>
    <t>AU01-29</t>
  </si>
  <si>
    <t>23I23778001</t>
  </si>
  <si>
    <t>8500059303</t>
  </si>
  <si>
    <t>5000761481</t>
  </si>
  <si>
    <t>8500059302</t>
  </si>
  <si>
    <t>5000761584</t>
  </si>
  <si>
    <t>14/07/2023</t>
  </si>
  <si>
    <t>5000761455</t>
  </si>
  <si>
    <t>8500059307</t>
  </si>
  <si>
    <t>5000761456</t>
  </si>
  <si>
    <t>8500059306</t>
  </si>
  <si>
    <t>5000761565</t>
  </si>
  <si>
    <t>#9</t>
  </si>
  <si>
    <t>5000761484</t>
  </si>
  <si>
    <t>23I23778002</t>
  </si>
  <si>
    <t>8500059305</t>
  </si>
  <si>
    <t>5000761488</t>
  </si>
  <si>
    <t>8500059304</t>
  </si>
  <si>
    <t>5000761554</t>
  </si>
  <si>
    <t>8500059309</t>
  </si>
  <si>
    <t>5000761487</t>
  </si>
  <si>
    <t>8500059308</t>
  </si>
  <si>
    <t>5000761539</t>
  </si>
  <si>
    <t>5000787558</t>
  </si>
  <si>
    <t>MCKESSON</t>
  </si>
  <si>
    <t>UM40-05</t>
  </si>
  <si>
    <t>VEGC05-35</t>
  </si>
  <si>
    <t>17/07/202319/07/2023</t>
  </si>
  <si>
    <t>8500059466</t>
  </si>
  <si>
    <t>50007452225000753979</t>
  </si>
  <si>
    <t>T7</t>
  </si>
  <si>
    <t>REMESCO</t>
  </si>
  <si>
    <t>E39-07</t>
  </si>
  <si>
    <t>8500059794</t>
  </si>
  <si>
    <t>5000757166</t>
  </si>
  <si>
    <t>8500059792</t>
  </si>
  <si>
    <t>5000757167</t>
  </si>
  <si>
    <t>8500059790</t>
  </si>
  <si>
    <t>5000757169</t>
  </si>
  <si>
    <t>8500059796</t>
  </si>
  <si>
    <t>5000757180</t>
  </si>
  <si>
    <t>IWATSUKI</t>
  </si>
  <si>
    <t>AI04-02</t>
  </si>
  <si>
    <t>23H24024</t>
  </si>
  <si>
    <t>8500059703</t>
  </si>
  <si>
    <t>5000769355</t>
  </si>
  <si>
    <t>8500059702</t>
  </si>
  <si>
    <t>5000769359</t>
  </si>
  <si>
    <t>23H24025</t>
  </si>
  <si>
    <t>8500059705</t>
  </si>
  <si>
    <t>5000769356</t>
  </si>
  <si>
    <t>8500059704</t>
  </si>
  <si>
    <t>5000769371</t>
  </si>
  <si>
    <t>23H24026</t>
  </si>
  <si>
    <t>8500059707</t>
  </si>
  <si>
    <t>5000792510</t>
  </si>
  <si>
    <t>8500059706</t>
  </si>
  <si>
    <t>5000778183</t>
  </si>
  <si>
    <t>26/07/2023</t>
  </si>
  <si>
    <t>5000786544</t>
  </si>
  <si>
    <t>500076374</t>
  </si>
  <si>
    <t>PMUSA</t>
  </si>
  <si>
    <t>AC04-62</t>
  </si>
  <si>
    <t>J-15</t>
  </si>
  <si>
    <t>8500059766</t>
  </si>
  <si>
    <t>5000753085</t>
  </si>
  <si>
    <t>29/07/202331/07/2023</t>
  </si>
  <si>
    <t>85000597658500059765</t>
  </si>
  <si>
    <t>50007968205000807985</t>
  </si>
  <si>
    <t>8500059765</t>
  </si>
  <si>
    <t>5000796820</t>
  </si>
  <si>
    <t>8500059554</t>
  </si>
  <si>
    <t>5000757211</t>
  </si>
  <si>
    <t>8500059768</t>
  </si>
  <si>
    <t>5000753086</t>
  </si>
  <si>
    <t>8500059767</t>
  </si>
  <si>
    <t>5000796821</t>
  </si>
  <si>
    <t>E39-06</t>
  </si>
  <si>
    <t>8500059552</t>
  </si>
  <si>
    <t>5000753064</t>
  </si>
  <si>
    <t>18.7.2023</t>
  </si>
  <si>
    <t>8500059551</t>
  </si>
  <si>
    <t>5000749858</t>
  </si>
  <si>
    <t>ĐG</t>
  </si>
  <si>
    <t>8500059550</t>
  </si>
  <si>
    <t>5000753068</t>
  </si>
  <si>
    <t>8500059549</t>
  </si>
  <si>
    <t>5000749870</t>
  </si>
  <si>
    <t xml:space="preserve"> </t>
  </si>
  <si>
    <t>8500059544</t>
  </si>
  <si>
    <t>8500059543</t>
  </si>
  <si>
    <t>5000749872</t>
  </si>
  <si>
    <t>19/07/202320/07/2023</t>
  </si>
  <si>
    <t>8500059545</t>
  </si>
  <si>
    <t>50007572135000761439</t>
  </si>
  <si>
    <t>8500059553</t>
  </si>
  <si>
    <t>5000749874</t>
  </si>
  <si>
    <t>LANON</t>
  </si>
  <si>
    <t>UL38-04</t>
  </si>
  <si>
    <t>8500059968</t>
  </si>
  <si>
    <t>5000795212</t>
  </si>
  <si>
    <t>8500059967</t>
  </si>
  <si>
    <t>5000807986</t>
  </si>
  <si>
    <t>UL38-05</t>
  </si>
  <si>
    <t>8500059970</t>
  </si>
  <si>
    <t>5000795210</t>
  </si>
  <si>
    <t>8500059969</t>
  </si>
  <si>
    <t>5000807987</t>
  </si>
  <si>
    <t>UL38-06</t>
  </si>
  <si>
    <t>UL38-07</t>
  </si>
  <si>
    <t>XXL</t>
  </si>
  <si>
    <t>UL38-08</t>
  </si>
  <si>
    <t>8500059972</t>
  </si>
  <si>
    <t>5000795168</t>
  </si>
  <si>
    <t>UL38-09</t>
  </si>
  <si>
    <t>8500059974</t>
  </si>
  <si>
    <t>5000795169</t>
  </si>
  <si>
    <t>8500059973</t>
  </si>
  <si>
    <t>5000791944</t>
  </si>
  <si>
    <t>8500059894</t>
  </si>
  <si>
    <t>5000795166</t>
  </si>
  <si>
    <t>8500059893</t>
  </si>
  <si>
    <t>5000807949</t>
  </si>
  <si>
    <t>LIBERTY</t>
  </si>
  <si>
    <t>UL09-01</t>
  </si>
  <si>
    <t>27/07/2023</t>
  </si>
  <si>
    <t>UL09-03</t>
  </si>
  <si>
    <t>FEED</t>
  </si>
  <si>
    <t>AF96-02</t>
  </si>
  <si>
    <t>23H23994</t>
  </si>
  <si>
    <t>8500059799</t>
  </si>
  <si>
    <t>5000786546</t>
  </si>
  <si>
    <t>8500059798</t>
  </si>
  <si>
    <t>5000787072</t>
  </si>
  <si>
    <t>26/07/202327/07/2023</t>
  </si>
  <si>
    <t>50007865465000790831</t>
  </si>
  <si>
    <t>27/07/202329/07/2023</t>
  </si>
  <si>
    <t>50007870725000796822</t>
  </si>
  <si>
    <t>5000792530</t>
  </si>
  <si>
    <t>AF96-04</t>
  </si>
  <si>
    <t>8500059802</t>
  </si>
  <si>
    <t>5000795096</t>
  </si>
  <si>
    <t>8500059801</t>
  </si>
  <si>
    <t>5000786436</t>
  </si>
  <si>
    <t>23H23995</t>
  </si>
  <si>
    <t>8500059806</t>
  </si>
  <si>
    <t>5000792525</t>
  </si>
  <si>
    <t>8500059805</t>
  </si>
  <si>
    <t>5000787073</t>
  </si>
  <si>
    <t>AF96-03</t>
  </si>
  <si>
    <t>8500059808</t>
  </si>
  <si>
    <t>5000786592</t>
  </si>
  <si>
    <t>8500059807</t>
  </si>
  <si>
    <t>5000786494</t>
  </si>
  <si>
    <t>5000792540</t>
  </si>
  <si>
    <t>8500059810</t>
  </si>
  <si>
    <t>5000792546</t>
  </si>
  <si>
    <t>8500059809</t>
  </si>
  <si>
    <t>5000786498</t>
  </si>
  <si>
    <t>UM40-04</t>
  </si>
  <si>
    <t>VEGC08-09</t>
  </si>
  <si>
    <t>8500059667</t>
  </si>
  <si>
    <t>5000778282</t>
  </si>
  <si>
    <t>8500059665</t>
  </si>
  <si>
    <t>5000788069</t>
  </si>
  <si>
    <t>5000761304</t>
  </si>
  <si>
    <t>5000782060</t>
  </si>
  <si>
    <t>26.7.2023</t>
  </si>
  <si>
    <t>#10ab1</t>
  </si>
  <si>
    <t>5000791061</t>
  </si>
  <si>
    <t>10ab2</t>
  </si>
  <si>
    <t>8500059670</t>
  </si>
  <si>
    <t>5000778284</t>
  </si>
  <si>
    <t>8500059668</t>
  </si>
  <si>
    <t>5000786739</t>
  </si>
  <si>
    <t>VEGC08-10</t>
  </si>
  <si>
    <t>8500059681</t>
  </si>
  <si>
    <t>5000778290</t>
  </si>
  <si>
    <t>8500059680</t>
  </si>
  <si>
    <t>5000796587</t>
  </si>
  <si>
    <t>5000761344</t>
  </si>
  <si>
    <t>5000786765</t>
  </si>
  <si>
    <t>5000788073</t>
  </si>
  <si>
    <t>5000792258</t>
  </si>
  <si>
    <t>#10ab2</t>
  </si>
  <si>
    <t>8500059685</t>
  </si>
  <si>
    <t>5000778291</t>
  </si>
  <si>
    <t>8500059682</t>
  </si>
  <si>
    <t>5000786780</t>
  </si>
  <si>
    <t>VEGC08-11</t>
  </si>
  <si>
    <t>8500059693</t>
  </si>
  <si>
    <t>5000778294</t>
  </si>
  <si>
    <t>8500059692</t>
  </si>
  <si>
    <t>5000788078</t>
  </si>
  <si>
    <t>5000761364</t>
  </si>
  <si>
    <t>5000787477</t>
  </si>
  <si>
    <t>5000796574</t>
  </si>
  <si>
    <t>5000792259</t>
  </si>
  <si>
    <t>8500059695</t>
  </si>
  <si>
    <t>5000778295</t>
  </si>
  <si>
    <t>8500059694</t>
  </si>
  <si>
    <t>5000786786</t>
  </si>
  <si>
    <t>VEGC08-12</t>
  </si>
  <si>
    <t>8500059698</t>
  </si>
  <si>
    <t>5000778297</t>
  </si>
  <si>
    <t>8500059697</t>
  </si>
  <si>
    <t>5000787458</t>
  </si>
  <si>
    <t>5000761394</t>
  </si>
  <si>
    <t>5000792261</t>
  </si>
  <si>
    <t>8500059700</t>
  </si>
  <si>
    <t>5000778298</t>
  </si>
  <si>
    <t>8500059699</t>
  </si>
  <si>
    <t>5000787459</t>
  </si>
  <si>
    <t>VEGC08-13</t>
  </si>
  <si>
    <t>8500059721</t>
  </si>
  <si>
    <t>5000778333</t>
  </si>
  <si>
    <t>8500059720</t>
  </si>
  <si>
    <t>5000791069</t>
  </si>
  <si>
    <t>#10AB1</t>
  </si>
  <si>
    <t>8500059723</t>
  </si>
  <si>
    <t>5000778337</t>
  </si>
  <si>
    <t>8500059722</t>
  </si>
  <si>
    <t>5000791081</t>
  </si>
  <si>
    <t>VEGC08-14</t>
  </si>
  <si>
    <t>8500059726</t>
  </si>
  <si>
    <t>5000778355</t>
  </si>
  <si>
    <t>8500059725</t>
  </si>
  <si>
    <t>5000791084</t>
  </si>
  <si>
    <t>5000769352</t>
  </si>
  <si>
    <t>5000792266</t>
  </si>
  <si>
    <t>5000761412</t>
  </si>
  <si>
    <t>8500059728</t>
  </si>
  <si>
    <t>5000778358</t>
  </si>
  <si>
    <t>8500059727</t>
  </si>
  <si>
    <t>5000792310</t>
  </si>
  <si>
    <t>VEGC08-15</t>
  </si>
  <si>
    <t>8500059731</t>
  </si>
  <si>
    <t>5000778391</t>
  </si>
  <si>
    <t>8500059730</t>
  </si>
  <si>
    <t>5000792267</t>
  </si>
  <si>
    <t>5000782221</t>
  </si>
  <si>
    <t>5000761430</t>
  </si>
  <si>
    <t>8500059733</t>
  </si>
  <si>
    <t>5000778393</t>
  </si>
  <si>
    <t>8500059732</t>
  </si>
  <si>
    <t>5000792268</t>
  </si>
  <si>
    <t>VEGC08-16</t>
  </si>
  <si>
    <t>8500059736</t>
  </si>
  <si>
    <t>5000778427</t>
  </si>
  <si>
    <t>5000782223</t>
  </si>
  <si>
    <t>8500059735</t>
  </si>
  <si>
    <t>5000791088</t>
  </si>
  <si>
    <t>24/07/202327/07/2023</t>
  </si>
  <si>
    <t>50007784275000790797</t>
  </si>
  <si>
    <t>5000786542</t>
  </si>
  <si>
    <t>8500059738</t>
  </si>
  <si>
    <t>5000778428</t>
  </si>
  <si>
    <t>8500059737</t>
  </si>
  <si>
    <t>5000792269</t>
  </si>
  <si>
    <t>PACIFIC</t>
  </si>
  <si>
    <t>EP51-01</t>
  </si>
  <si>
    <t>8500059580</t>
  </si>
  <si>
    <t>8500059579</t>
  </si>
  <si>
    <t>5000761661</t>
  </si>
  <si>
    <t>5000786507</t>
  </si>
  <si>
    <t>EP51-02</t>
  </si>
  <si>
    <t>8500059582</t>
  </si>
  <si>
    <t>5000757205</t>
  </si>
  <si>
    <t>8500059581</t>
  </si>
  <si>
    <t>5000761674</t>
  </si>
  <si>
    <t>SAFEDON</t>
  </si>
  <si>
    <t>ES87-03</t>
  </si>
  <si>
    <t>8500059509</t>
  </si>
  <si>
    <t>5000775255</t>
  </si>
  <si>
    <t>21/07/2023</t>
  </si>
  <si>
    <t>8500059508</t>
  </si>
  <si>
    <t>5000765583</t>
  </si>
  <si>
    <t>5000757304</t>
  </si>
  <si>
    <t>5000761613</t>
  </si>
  <si>
    <t>8500059511</t>
  </si>
  <si>
    <t>5000757320</t>
  </si>
  <si>
    <t>8500059510</t>
  </si>
  <si>
    <t>5000761618</t>
  </si>
  <si>
    <t>8500059504</t>
  </si>
  <si>
    <t>5000757321</t>
  </si>
  <si>
    <t>20/07/202321/07/2023</t>
  </si>
  <si>
    <t>85000595038500059508</t>
  </si>
  <si>
    <t>50007616265000765596</t>
  </si>
  <si>
    <t>5000765596</t>
  </si>
  <si>
    <t>8500059507</t>
  </si>
  <si>
    <t>5000757308</t>
  </si>
  <si>
    <t>8500059505</t>
  </si>
  <si>
    <t>5000761633</t>
  </si>
  <si>
    <t>ES87-01</t>
  </si>
  <si>
    <t>8500059518</t>
  </si>
  <si>
    <t>500077464850007864015000787997</t>
  </si>
  <si>
    <t>8500059517</t>
  </si>
  <si>
    <t>5000765626</t>
  </si>
  <si>
    <t>50007746485000787997</t>
  </si>
  <si>
    <t>5000774648</t>
  </si>
  <si>
    <t>8500059520</t>
  </si>
  <si>
    <t>5000774662</t>
  </si>
  <si>
    <t>5000765628</t>
  </si>
  <si>
    <t>13/07/2023</t>
  </si>
  <si>
    <t>Y F Y (21.7</t>
  </si>
  <si>
    <t>8500059491</t>
  </si>
  <si>
    <t>5000731832</t>
  </si>
  <si>
    <t>WL(21.7.</t>
  </si>
  <si>
    <t>8500059490</t>
  </si>
  <si>
    <t>500070100</t>
  </si>
  <si>
    <t>MEDICA</t>
  </si>
  <si>
    <t>EM18-09</t>
  </si>
  <si>
    <t>8500059892</t>
  </si>
  <si>
    <t>5000774477</t>
  </si>
  <si>
    <t>8500059891</t>
  </si>
  <si>
    <t>5000779658</t>
  </si>
  <si>
    <t>85000598928500059892</t>
  </si>
  <si>
    <t>50007654855000774477</t>
  </si>
  <si>
    <t>HTI</t>
  </si>
  <si>
    <t>UA04-01</t>
  </si>
  <si>
    <t>8500059996</t>
  </si>
  <si>
    <t>5000788044</t>
  </si>
  <si>
    <t>8500059995</t>
  </si>
  <si>
    <t>5000791904</t>
  </si>
  <si>
    <t>27/07/202328/07/2023</t>
  </si>
  <si>
    <t>50007875315000791904</t>
  </si>
  <si>
    <t>AK04-40</t>
  </si>
  <si>
    <t>8500059903</t>
  </si>
  <si>
    <t>5000774614</t>
  </si>
  <si>
    <t>AK04-41</t>
  </si>
  <si>
    <t>8500059905</t>
  </si>
  <si>
    <t>5000774610</t>
  </si>
  <si>
    <t>AK04-45</t>
  </si>
  <si>
    <t>8500059907</t>
  </si>
  <si>
    <t>5000795142</t>
  </si>
  <si>
    <t>50007951425000796593</t>
  </si>
  <si>
    <t>CCG</t>
  </si>
  <si>
    <t>AC53-01</t>
  </si>
  <si>
    <t>8500059982</t>
  </si>
  <si>
    <t>5000790840</t>
  </si>
  <si>
    <t>8500059981</t>
  </si>
  <si>
    <t>5000807943</t>
  </si>
  <si>
    <t>5000787542</t>
  </si>
  <si>
    <t>85000599818500059981</t>
  </si>
  <si>
    <t>50007965995000807943</t>
  </si>
  <si>
    <t>AC53-02</t>
  </si>
  <si>
    <t>8500059984</t>
  </si>
  <si>
    <t>5000787544</t>
  </si>
  <si>
    <t>8500059983</t>
  </si>
  <si>
    <t>5000792561</t>
  </si>
  <si>
    <t>28/07/202331/07/2023</t>
  </si>
  <si>
    <t>85000599838500059983</t>
  </si>
  <si>
    <t>50007925615000807945</t>
  </si>
  <si>
    <t>8500059986</t>
  </si>
  <si>
    <t>5000787547</t>
  </si>
  <si>
    <t>8500059985</t>
  </si>
  <si>
    <t>5000807946</t>
  </si>
  <si>
    <t>AC53-03</t>
  </si>
  <si>
    <t>8500059988</t>
  </si>
  <si>
    <t>5000787563</t>
  </si>
  <si>
    <t>8500059987</t>
  </si>
  <si>
    <t>5000796598</t>
  </si>
  <si>
    <t>85000599878500059987</t>
  </si>
  <si>
    <t>50007920525000807947</t>
  </si>
  <si>
    <t>27/07/202326/07/2023</t>
  </si>
  <si>
    <t>50007909405000796594</t>
  </si>
  <si>
    <t>50007965985000807947</t>
  </si>
  <si>
    <t>5000790940</t>
  </si>
  <si>
    <t>PRIMARY</t>
  </si>
  <si>
    <t>UP46-01</t>
  </si>
  <si>
    <t>GH-1160</t>
  </si>
  <si>
    <t>UP46-02</t>
  </si>
  <si>
    <t>8500059956</t>
  </si>
  <si>
    <t>5000808093</t>
  </si>
  <si>
    <t>UP46-03</t>
  </si>
  <si>
    <t>8500059977</t>
  </si>
  <si>
    <t>5000808094</t>
  </si>
  <si>
    <t xml:space="preserve">KIM SƠN THÀNH </t>
  </si>
  <si>
    <t>8500059959
 8500059958</t>
  </si>
  <si>
    <t xml:space="preserve">5000795567 
5000795598 </t>
  </si>
  <si>
    <t>TRONEX</t>
  </si>
  <si>
    <t>UT01-27</t>
  </si>
  <si>
    <t>T74230701</t>
  </si>
  <si>
    <t>8500059994</t>
  </si>
  <si>
    <t>5000792471</t>
  </si>
  <si>
    <t>8500059936</t>
  </si>
  <si>
    <t>5000807916</t>
  </si>
  <si>
    <t>T74230702</t>
  </si>
  <si>
    <t>8500059992</t>
  </si>
  <si>
    <t>5000792474</t>
  </si>
  <si>
    <t>BINGOLD</t>
  </si>
  <si>
    <t>EB09-20</t>
  </si>
  <si>
    <t>08/2023-6000024223</t>
  </si>
  <si>
    <t>8500059964</t>
  </si>
  <si>
    <t>5000788025</t>
  </si>
  <si>
    <t>8500059963</t>
  </si>
  <si>
    <t>5000787515</t>
  </si>
  <si>
    <t>UGHC</t>
  </si>
  <si>
    <t>EU05-28</t>
  </si>
  <si>
    <t>5000787993</t>
  </si>
  <si>
    <t>JINLIN</t>
  </si>
  <si>
    <t>8500059935</t>
  </si>
  <si>
    <t>5000788058</t>
  </si>
  <si>
    <t>85000599368500059936</t>
  </si>
  <si>
    <t>50007924765000807875</t>
  </si>
  <si>
    <t>KOWA</t>
  </si>
  <si>
    <t>AK75-02</t>
  </si>
  <si>
    <t>AK75-06</t>
  </si>
  <si>
    <t>8500060020</t>
  </si>
  <si>
    <t>5000807982</t>
  </si>
  <si>
    <t>8500059919</t>
  </si>
  <si>
    <t>5000795321</t>
  </si>
  <si>
    <t>8500059918</t>
  </si>
  <si>
    <t>5000807983</t>
  </si>
  <si>
    <t>T10</t>
  </si>
  <si>
    <t>8500059921</t>
  </si>
  <si>
    <t>5000795309</t>
  </si>
  <si>
    <t>8500059920</t>
  </si>
  <si>
    <t>5000807984</t>
  </si>
  <si>
    <t>8500059925</t>
  </si>
  <si>
    <t>5000795208</t>
  </si>
  <si>
    <t>8500059927</t>
  </si>
  <si>
    <t>5000795300</t>
  </si>
  <si>
    <t>T74230703</t>
  </si>
  <si>
    <t>31/7/2023</t>
  </si>
  <si>
    <t>8500060098</t>
  </si>
  <si>
    <t>5000807898</t>
  </si>
  <si>
    <t>5000807989</t>
  </si>
  <si>
    <t>T74230704</t>
  </si>
  <si>
    <t>8500060096</t>
  </si>
  <si>
    <t>5000807909</t>
  </si>
  <si>
    <t>5000808090</t>
  </si>
  <si>
    <t>VTHộp</t>
  </si>
  <si>
    <t>ghi chu</t>
  </si>
  <si>
    <t>T9</t>
  </si>
  <si>
    <t>SLNThùng</t>
  </si>
  <si>
    <t>SLNHộp</t>
  </si>
  <si>
    <t>CLINI-LAB</t>
  </si>
  <si>
    <t xml:space="preserve"> EC05-27</t>
  </si>
  <si>
    <t xml:space="preserve">GLOBAL-NZ </t>
  </si>
  <si>
    <t>EG73-01</t>
  </si>
  <si>
    <t xml:space="preserve"> EC05-23</t>
  </si>
  <si>
    <t xml:space="preserve">MCKESSON </t>
  </si>
  <si>
    <t xml:space="preserve">PM             </t>
  </si>
  <si>
    <t>EVGU-30</t>
  </si>
  <si>
    <t xml:space="preserve">UGHC          </t>
  </si>
  <si>
    <t>EU05-29</t>
  </si>
  <si>
    <t xml:space="preserve"> UT01-27</t>
  </si>
  <si>
    <t>UNI-CARE</t>
  </si>
  <si>
    <t>EVGU-20</t>
  </si>
  <si>
    <t xml:space="preserve">UNI-CARE </t>
  </si>
  <si>
    <t>EVGU-21</t>
  </si>
  <si>
    <t>PM</t>
  </si>
  <si>
    <t>EVGU-57</t>
  </si>
  <si>
    <t xml:space="preserve"> ES22-05</t>
  </si>
  <si>
    <t xml:space="preserve">OPAKOVKA </t>
  </si>
  <si>
    <t>EO98-01</t>
  </si>
  <si>
    <t xml:space="preserve"> E39-07</t>
  </si>
  <si>
    <t xml:space="preserve">AMBIDERM </t>
  </si>
  <si>
    <t>UA03-06</t>
  </si>
  <si>
    <t>METRO</t>
  </si>
  <si>
    <t>EM40-08</t>
  </si>
  <si>
    <t>EM40-09</t>
  </si>
  <si>
    <t xml:space="preserve">PMUSA   </t>
  </si>
  <si>
    <t>AC 04-70</t>
  </si>
  <si>
    <t>SHC</t>
  </si>
  <si>
    <t>VN00-11</t>
  </si>
  <si>
    <t xml:space="preserve">M </t>
  </si>
  <si>
    <t>0/7/2023</t>
  </si>
  <si>
    <t>T6</t>
  </si>
  <si>
    <t>EG06-15</t>
  </si>
  <si>
    <t>GARDENING</t>
  </si>
  <si>
    <t>#13</t>
  </si>
  <si>
    <t>#1 D</t>
  </si>
  <si>
    <t>#7b2</t>
  </si>
  <si>
    <t>E42</t>
  </si>
  <si>
    <t>E39</t>
  </si>
  <si>
    <t>01/08/2023</t>
  </si>
  <si>
    <t>D19</t>
  </si>
  <si>
    <t>C26</t>
  </si>
  <si>
    <t>D06</t>
  </si>
  <si>
    <t>A27</t>
  </si>
  <si>
    <t>B17</t>
  </si>
  <si>
    <t>LET</t>
  </si>
  <si>
    <t>B13</t>
  </si>
  <si>
    <t>b26</t>
  </si>
  <si>
    <t>ô1</t>
  </si>
  <si>
    <t>e28</t>
  </si>
  <si>
    <t>E40/41/43/C18</t>
  </si>
  <si>
    <t>D24/22/B19</t>
  </si>
  <si>
    <t>D20</t>
  </si>
  <si>
    <t>D15/16</t>
  </si>
  <si>
    <t>D25/30/B19/A09</t>
  </si>
  <si>
    <t>D30/LET</t>
  </si>
  <si>
    <t>B19/LET</t>
  </si>
  <si>
    <t>D23/LET</t>
  </si>
  <si>
    <t>#7AB1</t>
  </si>
  <si>
    <t>LK chuyển qua</t>
  </si>
  <si>
    <t>02/08/2023</t>
  </si>
  <si>
    <t>đg</t>
  </si>
  <si>
    <t>#12</t>
  </si>
  <si>
    <t>3.8.2023</t>
  </si>
  <si>
    <t>#3+7b2</t>
  </si>
  <si>
    <t>#7</t>
  </si>
  <si>
    <t>#10</t>
  </si>
  <si>
    <t xml:space="preserve"> ĐG</t>
  </si>
  <si>
    <t>IN 7</t>
  </si>
  <si>
    <t>UM33-15</t>
  </si>
  <si>
    <t>BF309460195</t>
  </si>
  <si>
    <t>BF309460196</t>
  </si>
  <si>
    <t>BF309460197</t>
  </si>
  <si>
    <t>BF309460198</t>
  </si>
  <si>
    <t>BF309460199</t>
  </si>
  <si>
    <t>BF309460200</t>
  </si>
  <si>
    <t>BF309460201</t>
  </si>
  <si>
    <t>BF309460202</t>
  </si>
  <si>
    <t>UM33-17</t>
  </si>
  <si>
    <t>UM33-16</t>
  </si>
  <si>
    <t>BF309460203</t>
  </si>
  <si>
    <t>BF309460204</t>
  </si>
  <si>
    <t>BF309460205</t>
  </si>
  <si>
    <t>BF309460206</t>
  </si>
  <si>
    <t>BF309460208</t>
  </si>
  <si>
    <t>BF309460207</t>
  </si>
  <si>
    <t>03/08/2023</t>
  </si>
  <si>
    <t>EB04-01</t>
  </si>
  <si>
    <t>BRENTA</t>
  </si>
  <si>
    <t>EB04-03</t>
  </si>
  <si>
    <t>EB04-04</t>
  </si>
  <si>
    <t>EB04-05</t>
  </si>
  <si>
    <t>EB04-06</t>
  </si>
  <si>
    <t>EB04-07</t>
  </si>
  <si>
    <t>4.8.2023</t>
  </si>
  <si>
    <t>D03</t>
  </si>
  <si>
    <t>B14</t>
  </si>
  <si>
    <t>B10</t>
  </si>
  <si>
    <t>A24</t>
  </si>
  <si>
    <t>A21</t>
  </si>
  <si>
    <t>B16</t>
  </si>
  <si>
    <t>TBD</t>
  </si>
  <si>
    <t>B19</t>
  </si>
  <si>
    <t>B20</t>
  </si>
  <si>
    <t>Ô1</t>
  </si>
  <si>
    <t>#1</t>
  </si>
  <si>
    <t>05/08/2023</t>
  </si>
  <si>
    <t>dg</t>
  </si>
  <si>
    <t>#3ab2</t>
  </si>
  <si>
    <t>#3ab1</t>
  </si>
  <si>
    <t>#11</t>
  </si>
  <si>
    <t>GLOVEMAN</t>
  </si>
  <si>
    <t>EG10-07</t>
  </si>
  <si>
    <t>EG10-08</t>
  </si>
  <si>
    <t>EG10-09</t>
  </si>
  <si>
    <t>HANYANG</t>
  </si>
  <si>
    <t>AH37-02</t>
  </si>
  <si>
    <t>AH37-04</t>
  </si>
  <si>
    <t>lk chuyển qua</t>
  </si>
  <si>
    <t>C24</t>
  </si>
  <si>
    <t>07/08/2023</t>
  </si>
  <si>
    <t>A02</t>
  </si>
  <si>
    <t>KW01230714</t>
  </si>
  <si>
    <t>#2</t>
  </si>
  <si>
    <t>#3</t>
  </si>
  <si>
    <t>08/08/2023</t>
  </si>
  <si>
    <t>A08</t>
  </si>
  <si>
    <t>09/08/2023</t>
  </si>
  <si>
    <t>C27</t>
  </si>
  <si>
    <t>D09</t>
  </si>
  <si>
    <t>C23</t>
  </si>
  <si>
    <t>D08</t>
  </si>
  <si>
    <t>#14AB2</t>
  </si>
  <si>
    <t>DG</t>
  </si>
  <si>
    <t>6000024370-OF43148</t>
  </si>
  <si>
    <t>EG06-14</t>
  </si>
  <si>
    <t>23I24460001</t>
  </si>
  <si>
    <t>AU01-28</t>
  </si>
  <si>
    <t>23I24460002</t>
  </si>
  <si>
    <t>23I24460003</t>
  </si>
  <si>
    <t>23I24457001</t>
  </si>
  <si>
    <t>23I24457002</t>
  </si>
  <si>
    <t>23I24457003</t>
  </si>
  <si>
    <t>10/08/2023</t>
  </si>
  <si>
    <t>23I24453</t>
  </si>
  <si>
    <t>AA04-03</t>
  </si>
  <si>
    <t>AA04-04</t>
  </si>
  <si>
    <t>23I24454</t>
  </si>
  <si>
    <t>23I24455</t>
  </si>
  <si>
    <t>UB01-05</t>
  </si>
  <si>
    <t>UB01-06</t>
  </si>
  <si>
    <t>UB01-04</t>
  </si>
  <si>
    <t>a23</t>
  </si>
  <si>
    <t>ô1b</t>
  </si>
  <si>
    <t>11.8.2023</t>
  </si>
  <si>
    <t>#7ab2</t>
  </si>
  <si>
    <t>#7ab1</t>
  </si>
  <si>
    <t xml:space="preserve">PM </t>
  </si>
  <si>
    <t>12.8.2023</t>
  </si>
  <si>
    <t>pallet</t>
  </si>
  <si>
    <t>B07</t>
  </si>
  <si>
    <t>23H23913</t>
  </si>
  <si>
    <t>NIPRO</t>
  </si>
  <si>
    <t>AN11-02</t>
  </si>
  <si>
    <t>b11</t>
  </si>
  <si>
    <t>a26</t>
  </si>
  <si>
    <t>12/08/2023</t>
  </si>
  <si>
    <t>A26</t>
  </si>
  <si>
    <t>A17/B17</t>
  </si>
  <si>
    <t>1A</t>
  </si>
  <si>
    <t>A17/B16</t>
  </si>
  <si>
    <t>B11</t>
  </si>
  <si>
    <t>NISSIN</t>
  </si>
  <si>
    <t>AN40-04</t>
  </si>
  <si>
    <t>AN40-05</t>
  </si>
  <si>
    <t>AMBIDERM</t>
  </si>
  <si>
    <t>UA03-03</t>
  </si>
  <si>
    <t>#6ab2</t>
  </si>
  <si>
    <t>#6b1</t>
  </si>
  <si>
    <t>#5+11</t>
  </si>
  <si>
    <t xml:space="preserve">ĐG </t>
  </si>
  <si>
    <t>D29</t>
  </si>
  <si>
    <t>14/08/2023</t>
  </si>
  <si>
    <t>let</t>
  </si>
  <si>
    <t>d11</t>
  </si>
  <si>
    <t>d14</t>
  </si>
  <si>
    <t>bbt</t>
  </si>
  <si>
    <t>15/08/2023</t>
  </si>
  <si>
    <t>BSA20230604</t>
  </si>
  <si>
    <t>AK04-51</t>
  </si>
  <si>
    <t>E43/44/D17</t>
  </si>
  <si>
    <t>E37/38</t>
  </si>
  <si>
    <t>D27</t>
  </si>
  <si>
    <t>D26/27</t>
  </si>
  <si>
    <t>D24</t>
  </si>
  <si>
    <t>E32</t>
  </si>
  <si>
    <t>16/08/2023</t>
  </si>
  <si>
    <t xml:space="preserve">TBD </t>
  </si>
  <si>
    <t>E40</t>
  </si>
  <si>
    <t>D28</t>
  </si>
  <si>
    <t>D30</t>
  </si>
  <si>
    <t>16/08/2023 tmbb lấy mỗi size 5 hộp</t>
  </si>
  <si>
    <t xml:space="preserve">lk nhận </t>
  </si>
  <si>
    <t>lết</t>
  </si>
  <si>
    <t>c18</t>
  </si>
  <si>
    <t>c30</t>
  </si>
  <si>
    <t>c29</t>
  </si>
  <si>
    <t>16.8.2023</t>
  </si>
  <si>
    <t>#10b2</t>
  </si>
  <si>
    <t xml:space="preserve">chuyển lk </t>
  </si>
  <si>
    <t>17/08/2023</t>
  </si>
  <si>
    <t>C14</t>
  </si>
  <si>
    <t>#5#11</t>
  </si>
  <si>
    <t>VEGC10-01</t>
  </si>
  <si>
    <t>UM40-01</t>
  </si>
  <si>
    <t>VEGC09-01</t>
  </si>
  <si>
    <t>VEGC10-02</t>
  </si>
  <si>
    <t>VEGC09-03</t>
  </si>
  <si>
    <t>VEGC09-04</t>
  </si>
  <si>
    <t>18/08/2023</t>
  </si>
  <si>
    <t>E36</t>
  </si>
  <si>
    <t>D18</t>
  </si>
  <si>
    <t>E35</t>
  </si>
  <si>
    <t>C20</t>
  </si>
  <si>
    <t>C17</t>
  </si>
  <si>
    <t>#10B2</t>
  </si>
  <si>
    <t>#4/ĐG</t>
  </si>
  <si>
    <t>19/08/2023</t>
  </si>
  <si>
    <t>A23</t>
  </si>
  <si>
    <t>C29</t>
  </si>
  <si>
    <t xml:space="preserve">TẤM LOT </t>
  </si>
  <si>
    <t>KST</t>
  </si>
  <si>
    <t>19/08/2003</t>
  </si>
  <si>
    <t>#3AB2</t>
  </si>
  <si>
    <t>#8</t>
  </si>
  <si>
    <t>#9+12#12</t>
  </si>
  <si>
    <t>dgdgDG</t>
  </si>
  <si>
    <t>07/08/202308/08/2023</t>
  </si>
  <si>
    <t>dgdg</t>
  </si>
  <si>
    <t>08/08/202309/08/202312.8.2023</t>
  </si>
  <si>
    <t>#13dgĐG</t>
  </si>
  <si>
    <t>#14 ab2dg</t>
  </si>
  <si>
    <t>#14ab1dg</t>
  </si>
  <si>
    <t>#14ab2#14ab2</t>
  </si>
  <si>
    <t>07/08/202312/08/2023</t>
  </si>
  <si>
    <t>8500060024</t>
  </si>
  <si>
    <t>5000831283</t>
  </si>
  <si>
    <t>8500060023</t>
  </si>
  <si>
    <t>5000864641</t>
  </si>
  <si>
    <t>8500060026</t>
  </si>
  <si>
    <t>5000831288</t>
  </si>
  <si>
    <t>8500060025</t>
  </si>
  <si>
    <t>5000864645</t>
  </si>
  <si>
    <t>04/08/202308/08/2023</t>
  </si>
  <si>
    <t>8500059437</t>
  </si>
  <si>
    <t>50008191805000838035</t>
  </si>
  <si>
    <t>D07A08</t>
  </si>
  <si>
    <t>#3đg</t>
  </si>
  <si>
    <t>8500059465</t>
  </si>
  <si>
    <t>5000830527</t>
  </si>
  <si>
    <t>15/08/202319/08/2023</t>
  </si>
  <si>
    <t>8500060731</t>
  </si>
  <si>
    <t>5000873149</t>
  </si>
  <si>
    <t>8500060730</t>
  </si>
  <si>
    <t>5000875993</t>
  </si>
  <si>
    <t>8500060733</t>
  </si>
  <si>
    <t>8500060732</t>
  </si>
  <si>
    <t>5000875994</t>
  </si>
  <si>
    <t>8500059971</t>
  </si>
  <si>
    <t>5000829775</t>
  </si>
  <si>
    <t>31/07/202301/08/2023</t>
  </si>
  <si>
    <t>85000598938500059893</t>
  </si>
  <si>
    <t>50008079495000809280</t>
  </si>
  <si>
    <t>8500060285</t>
  </si>
  <si>
    <t>5000812093</t>
  </si>
  <si>
    <t>8500060284</t>
  </si>
  <si>
    <t>5000812075</t>
  </si>
  <si>
    <t>85000597088500060284</t>
  </si>
  <si>
    <t>8500060287</t>
  </si>
  <si>
    <t>5000812097</t>
  </si>
  <si>
    <t>5000812098</t>
  </si>
  <si>
    <t>05/08/202308/08/2023</t>
  </si>
  <si>
    <t>dg#13</t>
  </si>
  <si>
    <t>5000809331</t>
  </si>
  <si>
    <t>5000809335</t>
  </si>
  <si>
    <t>5000809337</t>
  </si>
  <si>
    <t>5000809332</t>
  </si>
  <si>
    <t>5000809339</t>
  </si>
  <si>
    <t>8500059902</t>
  </si>
  <si>
    <t>5000883666</t>
  </si>
  <si>
    <t>8500059904</t>
  </si>
  <si>
    <t>5000856999</t>
  </si>
  <si>
    <t>5000849704</t>
  </si>
  <si>
    <t>8500059906</t>
  </si>
  <si>
    <t>5000823448</t>
  </si>
  <si>
    <t>#14ab1DG/#14AB1</t>
  </si>
  <si>
    <t>#14a2#14A2</t>
  </si>
  <si>
    <t>#6ab2#6AB2</t>
  </si>
  <si>
    <t>8500060174</t>
  </si>
  <si>
    <t>5000823668</t>
  </si>
  <si>
    <t>14/08/202315/08/2023</t>
  </si>
  <si>
    <t>8500060173</t>
  </si>
  <si>
    <t>50008609935000864578</t>
  </si>
  <si>
    <t>d02e31</t>
  </si>
  <si>
    <t>c17e32</t>
  </si>
  <si>
    <t>5000860993</t>
  </si>
  <si>
    <t>8500060176</t>
  </si>
  <si>
    <t>5000823669</t>
  </si>
  <si>
    <t>8500060175</t>
  </si>
  <si>
    <t>5000860994</t>
  </si>
  <si>
    <t>31/07/20234.8.2023</t>
  </si>
  <si>
    <t>Y F YYFY</t>
  </si>
  <si>
    <t>50008080925000823730</t>
  </si>
  <si>
    <t>8500059951</t>
  </si>
  <si>
    <t>5000811637</t>
  </si>
  <si>
    <t>8500059955</t>
  </si>
  <si>
    <t>5000811717</t>
  </si>
  <si>
    <t>8500059993</t>
  </si>
  <si>
    <t>5000819652</t>
  </si>
  <si>
    <t>3.8.202305/08/2023</t>
  </si>
  <si>
    <t>#7#7</t>
  </si>
  <si>
    <t>85000599928500059992</t>
  </si>
  <si>
    <t>50008080915000823501</t>
  </si>
  <si>
    <t>8500059991</t>
  </si>
  <si>
    <t>5000823638</t>
  </si>
  <si>
    <t>11.8.202312.8.2023</t>
  </si>
  <si>
    <t>ĐGĐG</t>
  </si>
  <si>
    <t>28/07/202331/07/20234.8.2023</t>
  </si>
  <si>
    <t>Y F YY F YYFY</t>
  </si>
  <si>
    <t>#2#2</t>
  </si>
  <si>
    <t>8500060021</t>
  </si>
  <si>
    <t>5000819185</t>
  </si>
  <si>
    <t>8500060018</t>
  </si>
  <si>
    <t>5000831268</t>
  </si>
  <si>
    <t>8500060019</t>
  </si>
  <si>
    <t>5000857030</t>
  </si>
  <si>
    <t>8500060017</t>
  </si>
  <si>
    <t>5000823831</t>
  </si>
  <si>
    <t>5000831273</t>
  </si>
  <si>
    <t>5000831277</t>
  </si>
  <si>
    <t>5000857014</t>
  </si>
  <si>
    <t>8500060022</t>
  </si>
  <si>
    <t>5000857016</t>
  </si>
  <si>
    <t>8500060727</t>
  </si>
  <si>
    <t>5000873182</t>
  </si>
  <si>
    <t>8500060726</t>
  </si>
  <si>
    <t>5000875995</t>
  </si>
  <si>
    <t>8500060729</t>
  </si>
  <si>
    <t>5000873202</t>
  </si>
  <si>
    <t>8500060728</t>
  </si>
  <si>
    <t>5000875996</t>
  </si>
  <si>
    <t>8500059924</t>
  </si>
  <si>
    <t>5000829774</t>
  </si>
  <si>
    <t>8500059926</t>
  </si>
  <si>
    <t>5000809287</t>
  </si>
  <si>
    <t>8500060097</t>
  </si>
  <si>
    <t>5000835225</t>
  </si>
  <si>
    <t>08/08/202309/08/2023</t>
  </si>
  <si>
    <t>Ô1b17</t>
  </si>
  <si>
    <t>5000841800</t>
  </si>
  <si>
    <t>8500060095</t>
  </si>
  <si>
    <t>5000842606</t>
  </si>
  <si>
    <t>5000835226</t>
  </si>
  <si>
    <t>5000841774</t>
  </si>
  <si>
    <t>#7b2#3#7AB2</t>
  </si>
  <si>
    <t>Dđg</t>
  </si>
  <si>
    <t>#13#13</t>
  </si>
  <si>
    <t>8500060254</t>
  </si>
  <si>
    <t>50008302835000835200</t>
  </si>
  <si>
    <t>8500060257</t>
  </si>
  <si>
    <t>5000868424</t>
  </si>
  <si>
    <t>8500060256</t>
  </si>
  <si>
    <t>50008609925000864607</t>
  </si>
  <si>
    <t>letE38/D27</t>
  </si>
  <si>
    <t>8500060259</t>
  </si>
  <si>
    <t>5000883598</t>
  </si>
  <si>
    <t>8500060258</t>
  </si>
  <si>
    <t>5000872274</t>
  </si>
  <si>
    <t>08/08/202310/08/202314/08/2023</t>
  </si>
  <si>
    <t>85000602608500060260</t>
  </si>
  <si>
    <t>500083520150008463035000860990</t>
  </si>
  <si>
    <t>ô1b C29</t>
  </si>
  <si>
    <t>#12#12</t>
  </si>
  <si>
    <t>8500060262</t>
  </si>
  <si>
    <t>5000830281</t>
  </si>
  <si>
    <t>8500060265</t>
  </si>
  <si>
    <t>5000865781</t>
  </si>
  <si>
    <t>10/08/202314/08/2023</t>
  </si>
  <si>
    <t>8500060264</t>
  </si>
  <si>
    <t>50008463015000860991</t>
  </si>
  <si>
    <t>ô1d05</t>
  </si>
  <si>
    <t>8500060267</t>
  </si>
  <si>
    <t>5000865775</t>
  </si>
  <si>
    <t>8500060266</t>
  </si>
  <si>
    <t>5000864603</t>
  </si>
  <si>
    <t>8500060195</t>
  </si>
  <si>
    <t>5000868423</t>
  </si>
  <si>
    <t>8500060193</t>
  </si>
  <si>
    <t>5000864605</t>
  </si>
  <si>
    <t>8500060197</t>
  </si>
  <si>
    <t>5000872275</t>
  </si>
  <si>
    <t>8500060216</t>
  </si>
  <si>
    <t>5000871848</t>
  </si>
  <si>
    <t>8500060212</t>
  </si>
  <si>
    <t>8500060224</t>
  </si>
  <si>
    <t>5000857077</t>
  </si>
  <si>
    <t>8500060223</t>
  </si>
  <si>
    <t>5000830282</t>
  </si>
  <si>
    <t>8500060225</t>
  </si>
  <si>
    <t>5000841870</t>
  </si>
  <si>
    <t>8500060228</t>
  </si>
  <si>
    <t>5000871849</t>
  </si>
  <si>
    <t>10/08/202311.8.202317/08/2023</t>
  </si>
  <si>
    <t>85000602278500060227</t>
  </si>
  <si>
    <t>500084615950008496195000872271</t>
  </si>
  <si>
    <t>a23palletB28</t>
  </si>
  <si>
    <t>8500060182</t>
  </si>
  <si>
    <t>8500060180</t>
  </si>
  <si>
    <t>5000864630</t>
  </si>
  <si>
    <t>16/08/202317/08/2023</t>
  </si>
  <si>
    <t>8500060185</t>
  </si>
  <si>
    <t>5000868388</t>
  </si>
  <si>
    <t>8500060184</t>
  </si>
  <si>
    <t>5000868285</t>
  </si>
  <si>
    <t>8500060189</t>
  </si>
  <si>
    <t>5000871846</t>
  </si>
  <si>
    <t>8500060187</t>
  </si>
  <si>
    <t>5000868254</t>
  </si>
  <si>
    <t>8500060191</t>
  </si>
  <si>
    <t>5000872276</t>
  </si>
  <si>
    <t>8500060218</t>
  </si>
  <si>
    <t>5000883595</t>
  </si>
  <si>
    <t>8500060217</t>
  </si>
  <si>
    <t>5000864632</t>
  </si>
  <si>
    <t>8500060220</t>
  </si>
  <si>
    <t>5000883596</t>
  </si>
  <si>
    <t>8500060219</t>
  </si>
  <si>
    <t>50008683205000872272</t>
  </si>
  <si>
    <t>d21+23C15</t>
  </si>
  <si>
    <t>8500060222</t>
  </si>
  <si>
    <t>5000883592</t>
  </si>
  <si>
    <t>8500060221</t>
  </si>
  <si>
    <t>5000872277</t>
  </si>
  <si>
    <t>8500060209</t>
  </si>
  <si>
    <t>5000868389</t>
  </si>
  <si>
    <t>15/08/202316/08/2023</t>
  </si>
  <si>
    <t>85000602088500060208</t>
  </si>
  <si>
    <t>50008646345000868258</t>
  </si>
  <si>
    <t>E34/35d15</t>
  </si>
  <si>
    <t>8500060201</t>
  </si>
  <si>
    <t>5000868386</t>
  </si>
  <si>
    <t>8500060200</t>
  </si>
  <si>
    <t>5000872273</t>
  </si>
  <si>
    <t>8500060206</t>
  </si>
  <si>
    <t>5000883590</t>
  </si>
  <si>
    <t>8500060203</t>
  </si>
  <si>
    <t>5000875990</t>
  </si>
  <si>
    <t>8500060233</t>
  </si>
  <si>
    <t>5000841964</t>
  </si>
  <si>
    <t>8500060231</t>
  </si>
  <si>
    <t>5000831245</t>
  </si>
  <si>
    <t>8500060240</t>
  </si>
  <si>
    <t>5000823763</t>
  </si>
  <si>
    <t>8500060239</t>
  </si>
  <si>
    <t>5000823273</t>
  </si>
  <si>
    <t>8500060243</t>
  </si>
  <si>
    <t>5000823762</t>
  </si>
  <si>
    <t>8500060249</t>
  </si>
  <si>
    <t>5000823249</t>
  </si>
  <si>
    <t>8500060247</t>
  </si>
  <si>
    <t>5000823739</t>
  </si>
  <si>
    <t>8500060246</t>
  </si>
  <si>
    <t>5000823272</t>
  </si>
  <si>
    <t>5000823761</t>
  </si>
  <si>
    <t>8500060248</t>
  </si>
  <si>
    <t>5000823270</t>
  </si>
  <si>
    <t>8500060251</t>
  </si>
  <si>
    <t>5000841970</t>
  </si>
  <si>
    <t>8500060338</t>
  </si>
  <si>
    <t>5000849752</t>
  </si>
  <si>
    <t>8500060337</t>
  </si>
  <si>
    <t>5000857012</t>
  </si>
  <si>
    <t>8500060334</t>
  </si>
  <si>
    <t>5000849728</t>
  </si>
  <si>
    <t>8500060333</t>
  </si>
  <si>
    <t>5000857004</t>
  </si>
  <si>
    <t>8500060336</t>
  </si>
  <si>
    <t>5000830126</t>
  </si>
  <si>
    <t>8500060335</t>
  </si>
  <si>
    <t>5000857010</t>
  </si>
  <si>
    <t>5000841971</t>
  </si>
  <si>
    <t>5000849722</t>
  </si>
  <si>
    <t>5000857929</t>
  </si>
  <si>
    <t>8500060312</t>
  </si>
  <si>
    <t>5000830140</t>
  </si>
  <si>
    <t>8500060311</t>
  </si>
  <si>
    <t>5000841873</t>
  </si>
  <si>
    <t>5000849732</t>
  </si>
  <si>
    <t>8500060314</t>
  </si>
  <si>
    <t>5000830143</t>
  </si>
  <si>
    <t>8500060313</t>
  </si>
  <si>
    <t>5000841876</t>
  </si>
  <si>
    <t>FNFN</t>
  </si>
  <si>
    <t>85000601088500060108</t>
  </si>
  <si>
    <t>50008312965000857063</t>
  </si>
  <si>
    <t>07/08/202312/08/202315/08/2023</t>
  </si>
  <si>
    <t>500083129650008570635000862039</t>
  </si>
  <si>
    <t>8500060108</t>
  </si>
  <si>
    <t>5000857063</t>
  </si>
  <si>
    <t>8500060110</t>
  </si>
  <si>
    <t>50008313175000857069</t>
  </si>
  <si>
    <t>5000831317</t>
  </si>
  <si>
    <t>8500060400</t>
  </si>
  <si>
    <t>5000841958</t>
  </si>
  <si>
    <t>8500060399</t>
  </si>
  <si>
    <t>500060399</t>
  </si>
  <si>
    <t>8500060438</t>
  </si>
  <si>
    <t>5000845839</t>
  </si>
  <si>
    <t>5000846154</t>
  </si>
  <si>
    <t>8500060412</t>
  </si>
  <si>
    <t>5000841960</t>
  </si>
  <si>
    <t>8500060446</t>
  </si>
  <si>
    <t>5000846155</t>
  </si>
  <si>
    <t>8500060440</t>
  </si>
  <si>
    <t>5000849777</t>
  </si>
  <si>
    <t>8500060444</t>
  </si>
  <si>
    <t>5000849771</t>
  </si>
  <si>
    <t>8500060448</t>
  </si>
  <si>
    <t>5000849779</t>
  </si>
  <si>
    <t>8500060426</t>
  </si>
  <si>
    <t>5000845876</t>
  </si>
  <si>
    <t>5000849840</t>
  </si>
  <si>
    <t>5000846157</t>
  </si>
  <si>
    <t>8500060430</t>
  </si>
  <si>
    <t>5000846158</t>
  </si>
  <si>
    <t>8500060434</t>
  </si>
  <si>
    <t>5000841963</t>
  </si>
  <si>
    <t>8500060428</t>
  </si>
  <si>
    <t>5000849812</t>
  </si>
  <si>
    <t>5000846152</t>
  </si>
  <si>
    <t>8500060436</t>
  </si>
  <si>
    <t>5000841962</t>
  </si>
  <si>
    <t>85000604368500060406</t>
  </si>
  <si>
    <t>50008419625000849790</t>
  </si>
  <si>
    <t>8500060406</t>
  </si>
  <si>
    <t>5000845819</t>
  </si>
  <si>
    <t>8500060408</t>
  </si>
  <si>
    <t>5000845830</t>
  </si>
  <si>
    <t>5000849793</t>
  </si>
  <si>
    <t>8500064010</t>
  </si>
  <si>
    <t>5000845866</t>
  </si>
  <si>
    <t>5000845868</t>
  </si>
  <si>
    <t>5000849795</t>
  </si>
  <si>
    <t>8500060414</t>
  </si>
  <si>
    <t>5000849736</t>
  </si>
  <si>
    <t>5000845862</t>
  </si>
  <si>
    <t>5000846153</t>
  </si>
  <si>
    <t>8500060416</t>
  </si>
  <si>
    <t>5000845859</t>
  </si>
  <si>
    <t>5000849739</t>
  </si>
  <si>
    <t>8500060417</t>
  </si>
  <si>
    <t>5000849621</t>
  </si>
  <si>
    <t>8500060419</t>
  </si>
  <si>
    <t>5000849702</t>
  </si>
  <si>
    <t>5000862158</t>
  </si>
  <si>
    <t>8500060756</t>
  </si>
  <si>
    <t>5000850179</t>
  </si>
  <si>
    <t>50008621585000883622</t>
  </si>
  <si>
    <t>8500060367</t>
  </si>
  <si>
    <t>5000857152</t>
  </si>
  <si>
    <t>16/08/202318/08/2023</t>
  </si>
  <si>
    <t>8500060366</t>
  </si>
  <si>
    <t>50008683665000875926</t>
  </si>
  <si>
    <t>d03a2</t>
  </si>
  <si>
    <t>5000868366</t>
  </si>
  <si>
    <t>8500060371</t>
  </si>
  <si>
    <t>5000857160</t>
  </si>
  <si>
    <t>8500060370</t>
  </si>
  <si>
    <t>5000868381</t>
  </si>
  <si>
    <t>8500060369</t>
  </si>
  <si>
    <t>5000857154</t>
  </si>
  <si>
    <t>8500060368</t>
  </si>
  <si>
    <t>5000868384</t>
  </si>
  <si>
    <t>8500060372</t>
  </si>
  <si>
    <t>5000857164</t>
  </si>
  <si>
    <t>5000862097</t>
  </si>
  <si>
    <t>85000603438500060343</t>
  </si>
  <si>
    <t>50008646485000864664</t>
  </si>
  <si>
    <t>E32E40</t>
  </si>
  <si>
    <t>E32D23</t>
  </si>
  <si>
    <t>8500060343</t>
  </si>
  <si>
    <t>5000864664</t>
  </si>
  <si>
    <t>8500060346</t>
  </si>
  <si>
    <t>5000862136</t>
  </si>
  <si>
    <t>8500060345</t>
  </si>
  <si>
    <t>5000864665</t>
  </si>
  <si>
    <t>8500060684</t>
  </si>
  <si>
    <t>5000873139</t>
  </si>
  <si>
    <t>8500060683</t>
  </si>
  <si>
    <t>5000877437</t>
  </si>
  <si>
    <t>5000877435</t>
  </si>
  <si>
    <t>8500060686</t>
  </si>
  <si>
    <t>5000883663</t>
  </si>
  <si>
    <t>8500060685</t>
  </si>
  <si>
    <t>5000877405</t>
  </si>
  <si>
    <t>5000877455</t>
  </si>
  <si>
    <t>8500060710</t>
  </si>
  <si>
    <t>5000875921</t>
  </si>
  <si>
    <t>5000877473</t>
  </si>
  <si>
    <t>5000877451</t>
  </si>
  <si>
    <t>8500060720</t>
  </si>
  <si>
    <t>5000883626</t>
  </si>
  <si>
    <t>8500060717</t>
  </si>
  <si>
    <t>5000877476</t>
  </si>
  <si>
    <t>5000873142</t>
  </si>
  <si>
    <t>5000877432</t>
  </si>
  <si>
    <t>8500060724</t>
  </si>
  <si>
    <t>5000873143</t>
  </si>
  <si>
    <t>8500060668</t>
  </si>
  <si>
    <t>5000873144</t>
  </si>
  <si>
    <t>8500060670</t>
  </si>
  <si>
    <t>5000873146</t>
  </si>
  <si>
    <t>8500060631</t>
  </si>
  <si>
    <t>5000875991</t>
  </si>
  <si>
    <t>8500060633</t>
  </si>
  <si>
    <t>5000875992</t>
  </si>
  <si>
    <t>8.7.2023
15/07/2023</t>
  </si>
  <si>
    <t>07/07/2023
15/07/2023</t>
  </si>
  <si>
    <t>08/07/2023
15/07/2023</t>
  </si>
  <si>
    <t>07/08/2023
12/08/2023</t>
  </si>
  <si>
    <t>11/07/2023
19/07/2023</t>
  </si>
  <si>
    <t>29.7.2023
02/08/2023</t>
  </si>
  <si>
    <t>03/07/2023
07/07/2023</t>
  </si>
  <si>
    <t>06/08/2023 4/8/2023</t>
  </si>
  <si>
    <t>24/07/2023
26/07/2023
27/07/2023</t>
  </si>
  <si>
    <t>24/07/2023
27/07/2023</t>
  </si>
  <si>
    <t>22/07/2023
24/07/2023</t>
  </si>
  <si>
    <t>28/07/2023
29/07/2023</t>
  </si>
  <si>
    <t>03/08/2023
12/08/2023</t>
  </si>
  <si>
    <t>EB09-50</t>
  </si>
  <si>
    <t>EB09-56</t>
  </si>
  <si>
    <t>09/2023-6000024422</t>
  </si>
  <si>
    <t>EB09-51</t>
  </si>
  <si>
    <t>09/2023-6000024606</t>
  </si>
  <si>
    <t>EU76-01</t>
  </si>
  <si>
    <t>EU76-02</t>
  </si>
  <si>
    <t>E41</t>
  </si>
  <si>
    <t>d20</t>
  </si>
  <si>
    <t>e</t>
  </si>
  <si>
    <t>Ô1B</t>
  </si>
  <si>
    <t>A03</t>
  </si>
  <si>
    <t>a20</t>
  </si>
  <si>
    <t>#5#4</t>
  </si>
  <si>
    <t>12.8.2023
18/08/2023 21/08/2023</t>
  </si>
  <si>
    <t xml:space="preserve">12/08/2023 18/08/2023 </t>
  </si>
  <si>
    <t>b22</t>
  </si>
  <si>
    <t>E28</t>
  </si>
  <si>
    <t>E29</t>
  </si>
  <si>
    <t>B23</t>
  </si>
  <si>
    <t xml:space="preserve"> thùng trả ncc  22/8/2023 giao 40+5</t>
  </si>
  <si>
    <t>22/8 giao 8 thùng bù gửi lk</t>
  </si>
  <si>
    <t>EU05-20</t>
  </si>
  <si>
    <t>19/08/2023 22/08/2023</t>
  </si>
  <si>
    <t>3#ab1</t>
  </si>
  <si>
    <t>3#ab2</t>
  </si>
  <si>
    <t>DUNLOP</t>
  </si>
  <si>
    <t>23I24589</t>
  </si>
  <si>
    <t>AD02-11</t>
  </si>
  <si>
    <t>LK chuyển</t>
  </si>
  <si>
    <t>a24</t>
  </si>
  <si>
    <t>a27</t>
  </si>
  <si>
    <t xml:space="preserve">23/8/2023 xuất kho80036775 </t>
  </si>
  <si>
    <t>80036714 xuất kho 21/8/2023</t>
  </si>
  <si>
    <t>xuất kho 21/8/2023</t>
  </si>
  <si>
    <t>PAPERLINE</t>
  </si>
  <si>
    <t>EP24-06</t>
  </si>
  <si>
    <t>A18</t>
  </si>
  <si>
    <t>A20</t>
  </si>
  <si>
    <t>t9</t>
  </si>
  <si>
    <t>18/8/20233</t>
  </si>
  <si>
    <t>18/08/2023
19/08/2023 23/08/2023</t>
  </si>
  <si>
    <t>a02</t>
  </si>
  <si>
    <t>08/08/2023
09/08/2023
17/08/2023</t>
  </si>
  <si>
    <t>15/08/202319/08/2023 22/08/2023 23/08/2023</t>
  </si>
  <si>
    <t>#9DG,DG #9</t>
  </si>
  <si>
    <t xml:space="preserve">18/08/2023 40000+400 tem </t>
  </si>
  <si>
    <t xml:space="preserve">kim sơn thành </t>
  </si>
  <si>
    <t>#14AB1</t>
  </si>
  <si>
    <t>14/08//2023 17/08/2023</t>
  </si>
  <si>
    <t xml:space="preserve">
09/08/2023</t>
  </si>
  <si>
    <t>29/07/2023 02/08/2023</t>
  </si>
  <si>
    <t>04/08/2023 05/08/2023</t>
  </si>
  <si>
    <t>AK04-53</t>
  </si>
  <si>
    <t>a14</t>
  </si>
  <si>
    <t>e41</t>
  </si>
  <si>
    <t>b19</t>
  </si>
  <si>
    <t>d08</t>
  </si>
  <si>
    <t>A17</t>
  </si>
  <si>
    <t>340 hộp hư trả ncc 
 24/8/20223 giao  bù 340</t>
  </si>
  <si>
    <t xml:space="preserve">120 hộp hư trả ncc
 24/8/2023 giao lại 120 </t>
  </si>
  <si>
    <t>5000862158 5000800000</t>
  </si>
  <si>
    <t>S+M</t>
  </si>
  <si>
    <t>23/08/2023 24/08/2023</t>
  </si>
  <si>
    <t>12#</t>
  </si>
  <si>
    <t>27/07/2023 24/08/2023</t>
  </si>
  <si>
    <t>16/08/2023 19/08/2023</t>
  </si>
  <si>
    <t>EC05-18</t>
  </si>
  <si>
    <t>24/08/2023 25/08/2023</t>
  </si>
  <si>
    <t>#5ab1</t>
  </si>
  <si>
    <t>07/08/2023
09/08/2023</t>
  </si>
  <si>
    <t>b13</t>
  </si>
  <si>
    <t>UD37-01</t>
  </si>
  <si>
    <t>DAUPHIN</t>
  </si>
  <si>
    <t xml:space="preserve">lt  nhận </t>
  </si>
  <si>
    <t>UB1-06</t>
  </si>
  <si>
    <t>05/08/2023 26/08/2023</t>
  </si>
  <si>
    <t>22/08/2023 26/08/2023</t>
  </si>
  <si>
    <t>26/8/20223</t>
  </si>
  <si>
    <t>ô1a</t>
  </si>
  <si>
    <t>b14</t>
  </si>
  <si>
    <t>24/08/2023 28/08/2023</t>
  </si>
  <si>
    <t>ô1/a02</t>
  </si>
  <si>
    <t>25/08/2023 28/08/2023</t>
  </si>
  <si>
    <t>LET/b10</t>
  </si>
  <si>
    <t>25/08/2023 26/08/2023</t>
  </si>
  <si>
    <t>JIN LIN</t>
  </si>
  <si>
    <t xml:space="preserve">19/08/202328/08/2023   </t>
  </si>
  <si>
    <t>BBT XUẤT CHUNG 6000023919</t>
  </si>
  <si>
    <t>OKAMOTO</t>
  </si>
  <si>
    <t>AO01-08</t>
  </si>
  <si>
    <t>BBT XUẤT CHUNG 6000024343 PVC</t>
  </si>
  <si>
    <t>b28</t>
  </si>
  <si>
    <t>26/08/2023 29/08/2023</t>
  </si>
  <si>
    <t>28/08/2023 29/08/2023</t>
  </si>
  <si>
    <t>dg/#9 /dg</t>
  </si>
  <si>
    <t xml:space="preserve">ĐG trả kho 586 thùng </t>
  </si>
  <si>
    <t>dg/#8</t>
  </si>
  <si>
    <t>20/08/2023 26/08/2023 30/08/2023</t>
  </si>
  <si>
    <t>#2/dg/dg</t>
  </si>
  <si>
    <t>17/08/2023 30/08/2023</t>
  </si>
  <si>
    <t>#2a/dg</t>
  </si>
  <si>
    <t>#6a1</t>
  </si>
  <si>
    <t>26/08/2023 30/08/2023</t>
  </si>
  <si>
    <t>21/08/2023 30/08/2023</t>
  </si>
  <si>
    <t>sử dụng bb tồn kho</t>
  </si>
  <si>
    <t>23I24739</t>
  </si>
  <si>
    <t>1B</t>
  </si>
  <si>
    <t>c24</t>
  </si>
  <si>
    <t>SAFETY</t>
  </si>
  <si>
    <t>US11-01</t>
  </si>
  <si>
    <t>US11-03</t>
  </si>
  <si>
    <t>6ab2</t>
  </si>
  <si>
    <t>6ab1</t>
  </si>
  <si>
    <t xml:space="preserve">  27/07/2023 24/08/2023 26/08/2023 31/08/2023</t>
  </si>
  <si>
    <t>26/08/2023 31/08/2023</t>
  </si>
  <si>
    <t>#5ab1+11ab2</t>
  </si>
  <si>
    <t>5ab2+11ab1</t>
  </si>
  <si>
    <t>#10a1</t>
  </si>
  <si>
    <t>#14ab2+đg</t>
  </si>
  <si>
    <t>#9#12</t>
  </si>
  <si>
    <t>16/8/2023 26/8/2023 1/09/2023</t>
  </si>
  <si>
    <t>#1a/#7b2</t>
  </si>
  <si>
    <t>30/08/2023 01/09/2023</t>
  </si>
  <si>
    <t>#6b1#6B1/ĐG</t>
  </si>
  <si>
    <t>0/7/20230
01/08/2023</t>
  </si>
  <si>
    <t>KW01230420</t>
  </si>
  <si>
    <t>dg/#9#12</t>
  </si>
  <si>
    <t>#5</t>
  </si>
  <si>
    <t>11/07/2023
14/07/2023</t>
  </si>
  <si>
    <t>13/07/2023  20/07/2023</t>
  </si>
  <si>
    <t>dg/14b1</t>
  </si>
  <si>
    <t>#13/dg</t>
  </si>
  <si>
    <t>#14b1/dg/#14b1</t>
  </si>
  <si>
    <t>01/09/2023 05/09/2023</t>
  </si>
  <si>
    <t>29/08/2023 01/09/2023 05/09/2023</t>
  </si>
  <si>
    <t>#14a1/dg/#14a1</t>
  </si>
  <si>
    <t xml:space="preserve">01/09/2023 05/09/2023 </t>
  </si>
  <si>
    <t>dg/#14ab2</t>
  </si>
  <si>
    <t>14/08/202319/08/2023</t>
  </si>
  <si>
    <t>#11ab1</t>
  </si>
  <si>
    <t>15/08/2023 19/08/2023</t>
  </si>
  <si>
    <t>ghi chú</t>
  </si>
  <si>
    <t xml:space="preserve">  7/9/2023 xuất kho 
80037264</t>
  </si>
  <si>
    <t>AT03-04</t>
  </si>
  <si>
    <t>230823N</t>
  </si>
  <si>
    <t>TORAY</t>
  </si>
  <si>
    <t>PM21928172</t>
  </si>
  <si>
    <t>ED03-17</t>
  </si>
  <si>
    <t>DIDACTIC</t>
  </si>
  <si>
    <t>PM21928173</t>
  </si>
  <si>
    <t>NCC
Thùng</t>
  </si>
  <si>
    <t>CTTM
Thùng</t>
  </si>
  <si>
    <t>SCT
Thùng</t>
  </si>
  <si>
    <t>VS
Thùng</t>
  </si>
  <si>
    <t>SLDƯ
Thùng</t>
  </si>
  <si>
    <t>SLDƯ
Hộp</t>
  </si>
  <si>
    <t>SLN
Hộp</t>
  </si>
  <si>
    <t>SLN
Thùng</t>
  </si>
  <si>
    <t>Ngày Nhận 
Thùng</t>
  </si>
  <si>
    <t xml:space="preserve">Ngày Nhận hộp </t>
  </si>
  <si>
    <t>SLT
thùng</t>
  </si>
  <si>
    <t>SLT
Hộp</t>
  </si>
  <si>
    <t>a18/let/a27</t>
  </si>
  <si>
    <t>24/08/2023 26/08/202307/09/2023</t>
  </si>
  <si>
    <t>31/07/2023
04/08/2023</t>
  </si>
  <si>
    <t>28/07/2023
03/08/2023</t>
  </si>
  <si>
    <t>EM40-03</t>
  </si>
  <si>
    <t>#14b1</t>
  </si>
  <si>
    <t>#14a1</t>
  </si>
  <si>
    <t>#14ab2</t>
  </si>
  <si>
    <t>05/09/2023 08/09/2023</t>
  </si>
  <si>
    <t xml:space="preserve">8/9/2023 dg chuyển chế tạo 38 thùng </t>
  </si>
  <si>
    <t>qc lấy  1  tờ  xác nhận mẫu (100 tem ),3</t>
  </si>
  <si>
    <t>nắp</t>
  </si>
  <si>
    <t>29/08/2023 09/09/2023</t>
  </si>
  <si>
    <t xml:space="preserve"> lết /b16</t>
  </si>
  <si>
    <t>a17</t>
  </si>
  <si>
    <t>C23/d14</t>
  </si>
  <si>
    <t>b15</t>
  </si>
  <si>
    <t>9/9/20223</t>
  </si>
  <si>
    <t>#11ab2</t>
  </si>
  <si>
    <t>06/09/2023 09/09/2023</t>
  </si>
  <si>
    <t>#5 ab2</t>
  </si>
  <si>
    <t xml:space="preserve">hộp khác màu mẫu tmbb báo trả  11/9/2023 giao lại  1580+70 tmbb lấy 10 hộp </t>
  </si>
  <si>
    <t>29/08/2023 30/08/2023</t>
  </si>
  <si>
    <t>30/08/2023 11/09/2023</t>
  </si>
  <si>
    <t>AMZN-07</t>
  </si>
  <si>
    <t>PMTW-02</t>
  </si>
  <si>
    <t>PMTW-03</t>
  </si>
  <si>
    <t>PMTW-05</t>
  </si>
  <si>
    <t>EVGU-47</t>
  </si>
  <si>
    <t>VN00-10</t>
  </si>
  <si>
    <t>3101223M</t>
  </si>
  <si>
    <t>3101223S</t>
  </si>
  <si>
    <t>3101223L</t>
  </si>
  <si>
    <t>3101223XL</t>
  </si>
  <si>
    <t>EC05-22</t>
  </si>
  <si>
    <t>3101222L</t>
  </si>
  <si>
    <t>3101222S</t>
  </si>
  <si>
    <t>3101222M</t>
  </si>
  <si>
    <t xml:space="preserve">06/09/2023 07/09/2023 </t>
  </si>
  <si>
    <t>09/09/2023 11/09/2023</t>
  </si>
  <si>
    <t>dg/#10b2</t>
  </si>
  <si>
    <t>#10a2</t>
  </si>
  <si>
    <t>#10b1</t>
  </si>
  <si>
    <t xml:space="preserve">lt nhận </t>
  </si>
  <si>
    <t>MCL</t>
  </si>
  <si>
    <t>EM50-01</t>
  </si>
  <si>
    <t>EM50-02</t>
  </si>
  <si>
    <t>EM50-03</t>
  </si>
  <si>
    <t>LK CHUYỂN</t>
  </si>
  <si>
    <t>UA03-01</t>
  </si>
  <si>
    <t>UA03-04</t>
  </si>
  <si>
    <t>UA03-07</t>
  </si>
  <si>
    <t>d05</t>
  </si>
  <si>
    <t>c23</t>
  </si>
  <si>
    <t>D05</t>
  </si>
  <si>
    <t>EP51-03</t>
  </si>
  <si>
    <t>D11</t>
  </si>
  <si>
    <t xml:space="preserve">XS </t>
  </si>
  <si>
    <t>d15</t>
  </si>
  <si>
    <t>d09</t>
  </si>
  <si>
    <t>d12</t>
  </si>
  <si>
    <t>E31</t>
  </si>
  <si>
    <t xml:space="preserve">BBX </t>
  </si>
  <si>
    <t>BBX</t>
  </si>
  <si>
    <t>#8a1</t>
  </si>
  <si>
    <t>#8b1ab2</t>
  </si>
  <si>
    <t xml:space="preserve">13/9/2023  đg trả kho </t>
  </si>
  <si>
    <t>13/09/2023 14/09/2023</t>
  </si>
  <si>
    <t>GIOTECH</t>
  </si>
  <si>
    <t>EG84-02</t>
  </si>
  <si>
    <t>B25</t>
  </si>
  <si>
    <t>B26</t>
  </si>
  <si>
    <t>b08</t>
  </si>
  <si>
    <t>a03</t>
  </si>
  <si>
    <t>b17</t>
  </si>
  <si>
    <t>80037499 xuất kho 14/9/2023</t>
  </si>
  <si>
    <t>AJ21-01</t>
  </si>
  <si>
    <t>JMNS</t>
  </si>
  <si>
    <t>14b1</t>
  </si>
  <si>
    <t>e34</t>
  </si>
  <si>
    <t>b10</t>
  </si>
  <si>
    <t>12/09/2023 15/09/2023</t>
  </si>
  <si>
    <t>D08/A21</t>
  </si>
  <si>
    <t>E23</t>
  </si>
  <si>
    <t>d16</t>
  </si>
  <si>
    <t>d03</t>
  </si>
  <si>
    <t>PMTW-01</t>
  </si>
  <si>
    <t>D23</t>
  </si>
  <si>
    <t>d24</t>
  </si>
  <si>
    <t>d23</t>
  </si>
  <si>
    <t>11/09/2023 15/09/2023</t>
  </si>
  <si>
    <t>#7b1a2</t>
  </si>
  <si>
    <t>AK32-08</t>
  </si>
  <si>
    <t>K-CONCEPT</t>
  </si>
  <si>
    <t>AK32-09</t>
  </si>
  <si>
    <t>AK32-10</t>
  </si>
  <si>
    <t>e43</t>
  </si>
  <si>
    <t>let/e43</t>
  </si>
  <si>
    <t>d17</t>
  </si>
  <si>
    <t>14/09/2023 16/09/2023</t>
  </si>
  <si>
    <t>let/c21/e43</t>
  </si>
  <si>
    <t>c18/e43</t>
  </si>
  <si>
    <t xml:space="preserve">LK NHẬN </t>
  </si>
  <si>
    <t>e44</t>
  </si>
  <si>
    <t>#8ab2</t>
  </si>
  <si>
    <t>#8b1</t>
  </si>
  <si>
    <t>13/09/2023 14/09/2023 16/09/2023</t>
  </si>
  <si>
    <t>b23</t>
  </si>
  <si>
    <t>b20</t>
  </si>
  <si>
    <t>12/09/2023 18/09/2023</t>
  </si>
  <si>
    <t>10/2023-6000025233</t>
  </si>
  <si>
    <t>14ab2</t>
  </si>
  <si>
    <t>#6a2</t>
  </si>
  <si>
    <t>#6b2</t>
  </si>
  <si>
    <t>#6ab1</t>
  </si>
  <si>
    <t>S2S</t>
  </si>
  <si>
    <t>UA37-09</t>
  </si>
  <si>
    <t>14/09/2023 19/09/2023</t>
  </si>
  <si>
    <t>a18</t>
  </si>
  <si>
    <t>e40</t>
  </si>
  <si>
    <t>16/09/2023 19/09/2023</t>
  </si>
  <si>
    <t>let/e37</t>
  </si>
  <si>
    <t>let/b17</t>
  </si>
  <si>
    <t>AK04-54</t>
  </si>
  <si>
    <t>#5ab2</t>
  </si>
  <si>
    <t>18/09/2023 19/09/2023</t>
  </si>
  <si>
    <t>let/d30</t>
  </si>
  <si>
    <t>let/b25</t>
  </si>
  <si>
    <t>16/09/2023 20/09/2023</t>
  </si>
  <si>
    <t>18/09/2023 20/09/2023</t>
  </si>
  <si>
    <t>16/09/2023 19/09/2023 20/09/2023</t>
  </si>
  <si>
    <t>e44/let/d27</t>
  </si>
  <si>
    <t>ô1/e34</t>
  </si>
  <si>
    <t>d21</t>
  </si>
  <si>
    <t>e44/b20</t>
  </si>
  <si>
    <t>e41/e31</t>
  </si>
  <si>
    <t>19/09/2023 20/09/2023</t>
  </si>
  <si>
    <t>let/b20</t>
  </si>
  <si>
    <t>D26</t>
  </si>
  <si>
    <t>C25</t>
  </si>
  <si>
    <t>#11AB1</t>
  </si>
  <si>
    <t>DENBIES</t>
  </si>
  <si>
    <t>B22</t>
  </si>
  <si>
    <t>B26+E29</t>
  </si>
  <si>
    <t>9/12/2023  21/9/2023</t>
  </si>
  <si>
    <t>E34</t>
  </si>
  <si>
    <t>E37</t>
  </si>
  <si>
    <t>9/18/2023 21/9/2023</t>
  </si>
  <si>
    <t xml:space="preserve">lk chuyển </t>
  </si>
  <si>
    <t xml:space="preserve">bù 7 thùng lộn size 22/9/2023 giao 9 thùng </t>
  </si>
  <si>
    <t>20/09/2023 22/09/2023</t>
  </si>
  <si>
    <t xml:space="preserve">09/09/2023 22/09/2023 </t>
  </si>
  <si>
    <t>22/09/2023 23/09/2023</t>
  </si>
  <si>
    <t>b07</t>
  </si>
  <si>
    <t>D28/d12</t>
  </si>
  <si>
    <t>18/09/2023 20/09/2023 23/09/2023</t>
  </si>
  <si>
    <t>ô1/b19/d12</t>
  </si>
  <si>
    <t>18/09/2023 19/09/2023 23/09/2023</t>
  </si>
  <si>
    <t># 5ab1</t>
  </si>
  <si>
    <t>#4/dg</t>
  </si>
  <si>
    <t>15/09/2023 19/09/2023 23/09/2023</t>
  </si>
  <si>
    <t>qc tổng đơn thiếu 10 thùng +10 hộp lên cont đg cho bù  thùng số 960 
  ngày 25/9/2023  dg trả  1 thùng  số 921 do lên cont ( đg kiểm cont 24350 có 1 thùng đươn 24351 )</t>
  </si>
  <si>
    <t>b16</t>
  </si>
  <si>
    <t>C21</t>
  </si>
  <si>
    <t>12.7.2023 15/07/2023</t>
  </si>
  <si>
    <r>
      <t>DG+13</t>
    </r>
    <r>
      <rPr>
        <i/>
        <sz val="12"/>
        <color theme="1"/>
        <rFont val="Calibri Light"/>
        <family val="1"/>
        <scheme val="major"/>
      </rPr>
      <t>#</t>
    </r>
  </si>
  <si>
    <r>
      <t>8</t>
    </r>
    <r>
      <rPr>
        <i/>
        <sz val="12"/>
        <color theme="1"/>
        <rFont val="Calibri Light"/>
        <family val="1"/>
        <scheme val="major"/>
      </rPr>
      <t>#</t>
    </r>
  </si>
  <si>
    <t>e35</t>
  </si>
  <si>
    <t>e38</t>
  </si>
  <si>
    <t>b25</t>
  </si>
  <si>
    <t>bao bì lk chuyển qua đã làm kiểm nghiệm</t>
  </si>
  <si>
    <t>lk chuyển</t>
  </si>
  <si>
    <t>26/09 bù lên cont 1 thùng</t>
  </si>
  <si>
    <t>27/9 ĐG trả kho</t>
  </si>
  <si>
    <t>26/09/2023 27/09/2023</t>
  </si>
  <si>
    <t>BENCHMARK</t>
  </si>
  <si>
    <t>UB37-06</t>
  </si>
  <si>
    <t>UB37-03</t>
  </si>
  <si>
    <t>UB37-04</t>
  </si>
  <si>
    <t>UB37-08</t>
  </si>
  <si>
    <t>EVGU-26</t>
  </si>
  <si>
    <t>let/a17</t>
  </si>
  <si>
    <t>21/09/2023 22/09/2023 28/09/2023</t>
  </si>
  <si>
    <t>22/09/2023 28/09/2023</t>
  </si>
  <si>
    <t>c27</t>
  </si>
  <si>
    <t>28/09/2023 29/09/2023</t>
  </si>
  <si>
    <t>3101108L</t>
  </si>
  <si>
    <t>3101108S</t>
  </si>
  <si>
    <t>3101108M</t>
  </si>
  <si>
    <t>3091107L</t>
  </si>
  <si>
    <t>3091107M</t>
  </si>
  <si>
    <t>3091107S</t>
  </si>
  <si>
    <t>e37</t>
  </si>
  <si>
    <t>9/21/2023   30/9/2023</t>
  </si>
  <si>
    <t>EM 40-08</t>
  </si>
  <si>
    <t>02/08/2023 30/09/2023</t>
  </si>
  <si>
    <t>dg/#7ab1</t>
  </si>
  <si>
    <t>12/09/2023 30/09/2023</t>
  </si>
  <si>
    <t>126+39</t>
  </si>
  <si>
    <t>90+195</t>
  </si>
  <si>
    <t>105+53</t>
  </si>
  <si>
    <t xml:space="preserve">tem nhỏ + tem lớn </t>
  </si>
  <si>
    <t>22/09/2023 30/09/2023</t>
  </si>
  <si>
    <t>#6b2/dg</t>
  </si>
  <si>
    <t>a11</t>
  </si>
  <si>
    <t>B29</t>
  </si>
  <si>
    <t>5000953885 
 5001005820</t>
  </si>
  <si>
    <t>28/09/2023 04/10/2023</t>
  </si>
  <si>
    <t>BF311659648</t>
  </si>
  <si>
    <t>BF311659649</t>
  </si>
  <si>
    <t>BF311659650</t>
  </si>
  <si>
    <t>BF311659651</t>
  </si>
  <si>
    <t>BF311659652</t>
  </si>
  <si>
    <t>BF311659653</t>
  </si>
  <si>
    <t>BF311659654</t>
  </si>
  <si>
    <t>BF311659655</t>
  </si>
  <si>
    <t>BF311659656</t>
  </si>
  <si>
    <t>BF311659657</t>
  </si>
  <si>
    <t>BF311659658</t>
  </si>
  <si>
    <t>BF311659659</t>
  </si>
  <si>
    <t>BF311659660</t>
  </si>
  <si>
    <t>BF311659661</t>
  </si>
  <si>
    <t>BF311659662</t>
  </si>
  <si>
    <t>BF311659663</t>
  </si>
  <si>
    <t>BF311659664</t>
  </si>
  <si>
    <t>BF311659665</t>
  </si>
  <si>
    <t>PM21928416</t>
  </si>
  <si>
    <t>PM21928417</t>
  </si>
  <si>
    <t>64NA2314GSP</t>
  </si>
  <si>
    <t>64NA2315GSP</t>
  </si>
  <si>
    <t>EM11-02</t>
  </si>
  <si>
    <t>OF2300754</t>
  </si>
  <si>
    <t>MEDIPROTEC</t>
  </si>
  <si>
    <t>GIẤY THUYẾT MINH</t>
  </si>
  <si>
    <t>OF2300755</t>
  </si>
  <si>
    <t>let/a02</t>
  </si>
  <si>
    <t xml:space="preserve">22/09/2023 28/09/2023 </t>
  </si>
  <si>
    <t>e31</t>
  </si>
  <si>
    <t>05/10/2023 06/10/2023</t>
  </si>
  <si>
    <t xml:space="preserve">pvc </t>
  </si>
  <si>
    <t>0/7/2023
01/08/2023</t>
  </si>
  <si>
    <t>0/7/2023
 01/08/2023</t>
  </si>
  <si>
    <t>let/d23</t>
  </si>
  <si>
    <t>Ô1A</t>
  </si>
  <si>
    <t>Ô1+1B</t>
  </si>
  <si>
    <t>#5ab1/dg</t>
  </si>
  <si>
    <t>05/10/2023 09/10/2023</t>
  </si>
  <si>
    <t>PROFILE</t>
  </si>
  <si>
    <t>1b</t>
  </si>
  <si>
    <t>tem</t>
  </si>
  <si>
    <t xml:space="preserve">tem dán hộp </t>
  </si>
  <si>
    <t>d02</t>
  </si>
  <si>
    <t>#6A1A2</t>
  </si>
  <si>
    <t>#6a1a2</t>
  </si>
  <si>
    <t>AW30-02</t>
  </si>
  <si>
    <t>WEIGAO</t>
  </si>
  <si>
    <t>SAFE-41</t>
  </si>
  <si>
    <t>UA37-08</t>
  </si>
  <si>
    <t>VBWM11-01</t>
  </si>
  <si>
    <t>1C</t>
  </si>
  <si>
    <t>2023-10-07  2023-10-13</t>
  </si>
  <si>
    <t>2023-10-06    2023-10-13</t>
  </si>
  <si>
    <t>ô1/ô1b/D29</t>
  </si>
  <si>
    <t>let/D29</t>
  </si>
  <si>
    <t>11/10/2023 12/10/2023 13/10/2023</t>
  </si>
  <si>
    <t>C28</t>
  </si>
  <si>
    <t>D14</t>
  </si>
  <si>
    <t>#6a1+a2</t>
  </si>
  <si>
    <t>2023-10-13  2023-10-14</t>
  </si>
  <si>
    <t>1C/1A/Ô1</t>
  </si>
  <si>
    <t>lk chyển</t>
  </si>
  <si>
    <t>12/10/2023 16/10/2023</t>
  </si>
  <si>
    <t>10/10/2023 16/10/2023</t>
  </si>
  <si>
    <t>d26</t>
  </si>
  <si>
    <t>14/10/2023 16/10/2023</t>
  </si>
  <si>
    <t>09/10/2023 16/10/2023</t>
  </si>
  <si>
    <t>VEGC11-11</t>
  </si>
  <si>
    <t>VEGC12-08</t>
  </si>
  <si>
    <t>VEGC11-12</t>
  </si>
  <si>
    <t>VEGC11-13</t>
  </si>
  <si>
    <t>VEGC11-14</t>
  </si>
  <si>
    <t>VEGC11-15</t>
  </si>
  <si>
    <t>VEGC11-16</t>
  </si>
  <si>
    <t>AC04-70</t>
  </si>
  <si>
    <t>J-19</t>
  </si>
  <si>
    <t>SAFE-28</t>
  </si>
  <si>
    <t>VN00-08</t>
  </si>
  <si>
    <t>#7ab1/dg</t>
  </si>
  <si>
    <t>#1b</t>
  </si>
  <si>
    <t>1a</t>
  </si>
  <si>
    <t>dg/dg</t>
  </si>
  <si>
    <t xml:space="preserve"> xuất kho ngày 17/10/2023  80038531</t>
  </si>
  <si>
    <t xml:space="preserve"> xuất kho ngày 17/10/2023  80038532</t>
  </si>
  <si>
    <t>chuyển lk</t>
  </si>
  <si>
    <t>1A/Ô1/1a</t>
  </si>
  <si>
    <t>14/10/2023 17/10/2023</t>
  </si>
  <si>
    <t>1c</t>
  </si>
  <si>
    <t>11/10/2023 17/10/2023</t>
  </si>
  <si>
    <t>#10/dg</t>
  </si>
  <si>
    <t>UA41-10</t>
  </si>
  <si>
    <t>APPAREL</t>
  </si>
  <si>
    <t>UA41-12</t>
  </si>
  <si>
    <t>UA41-13</t>
  </si>
  <si>
    <t>STE2303</t>
  </si>
  <si>
    <t>UA41-14</t>
  </si>
  <si>
    <t>17/10/2023 18/10/2023</t>
  </si>
  <si>
    <t>VBWM11-05</t>
  </si>
  <si>
    <t>VBWM11-06</t>
  </si>
  <si>
    <t>dg/#9#12/dg</t>
  </si>
  <si>
    <t>16/10/2023 19/10/2023</t>
  </si>
  <si>
    <t>ES22-06</t>
  </si>
  <si>
    <t>12/10/2023 19/10/2023</t>
  </si>
  <si>
    <t>1B/1C</t>
  </si>
  <si>
    <t>#13/dg/#13</t>
  </si>
  <si>
    <t>18/10/2023 19/10/2023</t>
  </si>
  <si>
    <t>dg/dg/dg</t>
  </si>
  <si>
    <t xml:space="preserve">tem  800+88  giao 8/8/2023 kim sơn thành </t>
  </si>
  <si>
    <t xml:space="preserve">tem 400+55   giao 8/8/2023 kim sơn thành </t>
  </si>
  <si>
    <t>d29</t>
  </si>
  <si>
    <t>1C/1A</t>
  </si>
  <si>
    <t>UT 01-27</t>
  </si>
  <si>
    <t>T74231002</t>
  </si>
  <si>
    <t>18/10/2023 23/10/2023</t>
  </si>
  <si>
    <t>ô1/B16</t>
  </si>
  <si>
    <t>19/10/2023 23/10/2023</t>
  </si>
  <si>
    <t>21/10/2023 23/10/2003</t>
  </si>
  <si>
    <t>EVGU-19</t>
  </si>
  <si>
    <t>đg/dg</t>
  </si>
  <si>
    <t xml:space="preserve"> 21/10/2023 23/10/2023</t>
  </si>
  <si>
    <t xml:space="preserve"> #8/dg</t>
  </si>
  <si>
    <t>T74231003</t>
  </si>
  <si>
    <t>13 thùng lỗi 24/10/2023 giao 13+7</t>
  </si>
  <si>
    <t>1A/1B/1b</t>
  </si>
  <si>
    <t>23/10/2023 24/10/2023</t>
  </si>
  <si>
    <t>1B/1</t>
  </si>
  <si>
    <t>nbr viết số 1-600 lk viết từ 601-2600</t>
  </si>
  <si>
    <t>24/10/2023</t>
  </si>
  <si>
    <t>7ab2</t>
  </si>
  <si>
    <t>EM 40-03</t>
  </si>
  <si>
    <t>25/10/2023 26/10/2023</t>
  </si>
  <si>
    <t>Ô1/a15</t>
  </si>
  <si>
    <t>24/10/2023 26/10/2023</t>
  </si>
  <si>
    <t>1A/b22</t>
  </si>
  <si>
    <t>23/10/2023 26/10/2023</t>
  </si>
  <si>
    <t>D12</t>
  </si>
  <si>
    <t>#2a</t>
  </si>
  <si>
    <t>#2b</t>
  </si>
  <si>
    <t>#9#12/#12</t>
  </si>
  <si>
    <t>#3ab2/dg</t>
  </si>
  <si>
    <t>20/10/2023 26/10/2023</t>
  </si>
  <si>
    <t>1b/a03</t>
  </si>
  <si>
    <t>c26</t>
  </si>
  <si>
    <t>c16</t>
  </si>
  <si>
    <t>cửa</t>
  </si>
  <si>
    <t xml:space="preserve">  1a</t>
  </si>
  <si>
    <t>11/2023-6000026246</t>
  </si>
  <si>
    <t>EB09-35</t>
  </si>
  <si>
    <t>11/2023-6000026247</t>
  </si>
  <si>
    <t>11/2023-6000026248</t>
  </si>
  <si>
    <t>24/10/2023 27/10/2023</t>
  </si>
  <si>
    <t xml:space="preserve">TRONEX </t>
  </si>
  <si>
    <t>T74231004</t>
  </si>
  <si>
    <t>T74231005</t>
  </si>
  <si>
    <t>#8a1a2</t>
  </si>
  <si>
    <t>17/10/2023 27/10/2023</t>
  </si>
  <si>
    <t>17/10/2023 274/10/2023</t>
  </si>
  <si>
    <t xml:space="preserve"> nbr viết số từ 1-500  kho lk viết số từ 501-5100(chuyển qua lk 4600+26 thùng )</t>
  </si>
  <si>
    <t>26/10/2023 28/10/2023</t>
  </si>
  <si>
    <t>16/10/2023 28/10/2023</t>
  </si>
  <si>
    <t>1a/a24</t>
  </si>
  <si>
    <t>20/10/2023 28/10/2023</t>
  </si>
  <si>
    <t>#8b1b2</t>
  </si>
  <si>
    <t>5/10/2023 lên cont size M  phát hiện  có 2 thùng  đơn  6000025138 XL  (số thùng 195/196) dg viết giấy cho bù 2 thùng để lên cont  (ko bù hộp )
  ngày 28/10/2023 đg trả 2 thùng đơn 6000024633 M +10 hộp  
  (số thùng 0989/1065 )</t>
  </si>
  <si>
    <t>28/10/2023 30/10/2023</t>
  </si>
  <si>
    <t>27/10/2023 30/10/2023</t>
  </si>
  <si>
    <t>a17/a23</t>
  </si>
  <si>
    <t>C30</t>
  </si>
  <si>
    <t xml:space="preserve">BINGOLD </t>
  </si>
  <si>
    <t>12/2023-6000026346</t>
  </si>
  <si>
    <t>EB09-52</t>
  </si>
  <si>
    <t>d06</t>
  </si>
  <si>
    <t>UU0324A</t>
  </si>
  <si>
    <t>#8B1B2</t>
  </si>
  <si>
    <t>cửu</t>
  </si>
  <si>
    <t>C18</t>
  </si>
  <si>
    <t>c21</t>
  </si>
  <si>
    <t>cửa/a21</t>
  </si>
  <si>
    <t>UA03-08</t>
  </si>
  <si>
    <t>UA03-09</t>
  </si>
  <si>
    <t>01/11/2023 02/11/2023</t>
  </si>
  <si>
    <t>dg/#3</t>
  </si>
  <si>
    <t>0/7/2023 02/08/2023 02/11/2023</t>
  </si>
  <si>
    <t>30/10/2023 02/11/2023</t>
  </si>
  <si>
    <t>31/10/2023 02/11/2023</t>
  </si>
  <si>
    <t>EVGU-25</t>
  </si>
  <si>
    <t>d30</t>
  </si>
  <si>
    <t>lk/dg/dg</t>
  </si>
  <si>
    <t>D29/b13</t>
  </si>
  <si>
    <t>04/11/2023 06/11/2023</t>
  </si>
  <si>
    <t>3/11/2023 qc tổng đơn thiếu 1 thùng</t>
  </si>
  <si>
    <t>6/11/2023 qc tổng đơn thiếu 01 thùng</t>
  </si>
  <si>
    <t>09/08/2023
11.8.2023</t>
  </si>
  <si>
    <t>31/10/2023 06/11/2023</t>
  </si>
  <si>
    <t>dg/#4</t>
  </si>
  <si>
    <t>03/11/2023 06/11/2023</t>
  </si>
  <si>
    <t>dg/#12</t>
  </si>
  <si>
    <t>30/10/2023 07/11/2023</t>
  </si>
  <si>
    <t>B08</t>
  </si>
  <si>
    <t>VEGC12-15</t>
  </si>
  <si>
    <t>VEGC12-16</t>
  </si>
  <si>
    <t>VEGD01-06</t>
  </si>
  <si>
    <t>6/11/2023 dg trả  kho 140 t</t>
  </si>
  <si>
    <t>7/11/2023 dg trả kho 140 t</t>
  </si>
  <si>
    <t>dg/#9</t>
  </si>
  <si>
    <t>VEGC12-17</t>
  </si>
  <si>
    <t>VEGC12-18</t>
  </si>
  <si>
    <t>VEGC12-19</t>
  </si>
  <si>
    <t>VEGC12-20</t>
  </si>
  <si>
    <t>BF312781504</t>
  </si>
  <si>
    <t>BF312781505</t>
  </si>
  <si>
    <t>BF312781506</t>
  </si>
  <si>
    <t>BF312781507</t>
  </si>
  <si>
    <t>BF312781508</t>
  </si>
  <si>
    <t>BF312781509</t>
  </si>
  <si>
    <t>BF312781510</t>
  </si>
  <si>
    <t>BF312781511</t>
  </si>
  <si>
    <t>BF312781512</t>
  </si>
  <si>
    <t>BF312781513</t>
  </si>
  <si>
    <t>BF312781514</t>
  </si>
  <si>
    <t>BF312781515</t>
  </si>
  <si>
    <t>BF312781516</t>
  </si>
  <si>
    <t>BF312781517</t>
  </si>
  <si>
    <t>BF312781518</t>
  </si>
  <si>
    <t>BF312781519</t>
  </si>
  <si>
    <t>BF312781520</t>
  </si>
  <si>
    <t>BF312781521</t>
  </si>
  <si>
    <t>BF312781522</t>
  </si>
  <si>
    <t>OF2300921</t>
  </si>
  <si>
    <t>OF2300925</t>
  </si>
  <si>
    <t xml:space="preserve">GIẤY TM </t>
  </si>
  <si>
    <t>3111415S</t>
  </si>
  <si>
    <t>3111415M</t>
  </si>
  <si>
    <t>3111415L</t>
  </si>
  <si>
    <t>3111503S</t>
  </si>
  <si>
    <t>3111503M</t>
  </si>
  <si>
    <t>3111503L</t>
  </si>
  <si>
    <t>3111503XL</t>
  </si>
  <si>
    <t>A25</t>
  </si>
  <si>
    <t>OPAKOVKA</t>
  </si>
  <si>
    <t>dg/#13/dg</t>
  </si>
  <si>
    <t>07/11/2023 08/11/2023</t>
  </si>
  <si>
    <t>06/11/2023 08/11/2023</t>
  </si>
  <si>
    <t>4011549L</t>
  </si>
  <si>
    <t>4011549S</t>
  </si>
  <si>
    <t>4011549M</t>
  </si>
  <si>
    <t>4011549XL</t>
  </si>
  <si>
    <t>UL38-03</t>
  </si>
  <si>
    <t>UL38-11</t>
  </si>
  <si>
    <t>UL38-12</t>
  </si>
  <si>
    <t xml:space="preserve">lkchuyển </t>
  </si>
  <si>
    <t>#3#11ab2</t>
  </si>
  <si>
    <t>UP46-05</t>
  </si>
  <si>
    <t>1C1B</t>
  </si>
  <si>
    <t>#1ab</t>
  </si>
  <si>
    <t>d27</t>
  </si>
  <si>
    <t>a08</t>
  </si>
  <si>
    <t>c17</t>
  </si>
  <si>
    <t>EG10-12</t>
  </si>
  <si>
    <t>UA04-02</t>
  </si>
  <si>
    <t>VBWM12-01</t>
  </si>
  <si>
    <t>23K26019001</t>
  </si>
  <si>
    <t>23K26014002</t>
  </si>
  <si>
    <t>23K26004002</t>
  </si>
  <si>
    <t xml:space="preserve"> 1 THÙNG /2TEM/10 TÚI NHỎ/3 TÚI LỚN/1 TẤM NGĂN</t>
  </si>
  <si>
    <t>10/11/2023 11/11/2023</t>
  </si>
  <si>
    <t>dg/11ab2</t>
  </si>
  <si>
    <t>VBWM12-03</t>
  </si>
  <si>
    <t>VBWM12-04</t>
  </si>
  <si>
    <t>VBWM12-05</t>
  </si>
  <si>
    <t>VBWM12-06</t>
  </si>
  <si>
    <t>VBWM12-07</t>
  </si>
  <si>
    <t>VBWM12-08</t>
  </si>
  <si>
    <t xml:space="preserve">tem nhỏ </t>
  </si>
  <si>
    <t xml:space="preserve">tem lớn </t>
  </si>
  <si>
    <t>1c1a</t>
  </si>
  <si>
    <t>lk</t>
  </si>
  <si>
    <t xml:space="preserve">lk </t>
  </si>
  <si>
    <t xml:space="preserve"> bb chuyển lk  làm /viết số </t>
  </si>
  <si>
    <t>790 t  chuyển lk  /lk viết số 1-790</t>
  </si>
  <si>
    <t>300 t chuyển lk  / lk viết số 1-300</t>
  </si>
  <si>
    <t>bb chuyển lk làm / viết số</t>
  </si>
  <si>
    <t>02/11/2023 13/11/2023</t>
  </si>
  <si>
    <t>#8a1a2/dg</t>
  </si>
  <si>
    <t>#6</t>
  </si>
  <si>
    <t>VBWM12-13</t>
  </si>
  <si>
    <t>11/11/2023 14/11/2023</t>
  </si>
  <si>
    <t>23/10/2023 14/11/2023</t>
  </si>
  <si>
    <t>24/10/2023 27/10/2032 14/11/2023</t>
  </si>
  <si>
    <t>tấm ngăn</t>
  </si>
  <si>
    <t>04/11/2023 14/11/2023</t>
  </si>
  <si>
    <t>06/11/2023 09/11/2023 14/11/2023</t>
  </si>
  <si>
    <t>dg/14ab1/dg</t>
  </si>
  <si>
    <t>#10a1/10ab1</t>
  </si>
  <si>
    <t>06/11/2023 07/11/2023 10/11/2023 14/11/2023</t>
  </si>
  <si>
    <t>dg/dg/#5ab1</t>
  </si>
  <si>
    <t xml:space="preserve">24/10/2023 31/10/2023 </t>
  </si>
  <si>
    <t>13/11/2023 14/11/2023</t>
  </si>
  <si>
    <t>dg/dg/#5ab2</t>
  </si>
  <si>
    <t>J-20</t>
  </si>
  <si>
    <t>280+2</t>
  </si>
  <si>
    <t>dg/#14ab1/dg</t>
  </si>
  <si>
    <t>#14</t>
  </si>
  <si>
    <t>13/11/2023 15/11/2023</t>
  </si>
  <si>
    <t>dg/#11ab2</t>
  </si>
  <si>
    <t>BERTOZZI</t>
  </si>
  <si>
    <t>NIT0096082023</t>
  </si>
  <si>
    <t>EB07-10</t>
  </si>
  <si>
    <t>có giấy thuyết minh</t>
  </si>
  <si>
    <t>15/11/2023 16/11/2023</t>
  </si>
  <si>
    <t>let/c27</t>
  </si>
  <si>
    <t>1a1c</t>
  </si>
  <si>
    <t>#11ab1/dg</t>
  </si>
  <si>
    <t>12/2023-6000026607</t>
  </si>
  <si>
    <t>LET/d02</t>
  </si>
  <si>
    <t>04/11/2023 17/11/2023</t>
  </si>
  <si>
    <t>15/11/2023 17/11/2023</t>
  </si>
  <si>
    <t>11/11/2023 17/11/2023</t>
  </si>
  <si>
    <t>24/10/2023 27/10/2023 17/11/2032</t>
  </si>
  <si>
    <t>dg/#5ab2</t>
  </si>
  <si>
    <t>17/11/2032 dg trả kho 260 thùng</t>
  </si>
  <si>
    <t>13/11/2023 14/11/2023 15/11/2023 17/11/2023</t>
  </si>
  <si>
    <t>12/2023-6000026848</t>
  </si>
  <si>
    <t>VBWM12-17</t>
  </si>
  <si>
    <t>VBWM12-20</t>
  </si>
  <si>
    <t>VBWM12-21</t>
  </si>
  <si>
    <t>ECOLINE</t>
  </si>
  <si>
    <t>EE05-01</t>
  </si>
  <si>
    <t>4011600L</t>
  </si>
  <si>
    <t>4011600M</t>
  </si>
  <si>
    <t>4011600S</t>
  </si>
  <si>
    <t>EVGU-55</t>
  </si>
  <si>
    <t>15/11/2023 18/11/2023</t>
  </si>
  <si>
    <t>e32</t>
  </si>
  <si>
    <t>16/11/2023 18/11/2023</t>
  </si>
  <si>
    <t>dg/#10ab2</t>
  </si>
  <si>
    <t>dg/#6</t>
  </si>
  <si>
    <t>1a1b</t>
  </si>
  <si>
    <t>1a /cửa</t>
  </si>
  <si>
    <t>13/11/2023 20/11/2023</t>
  </si>
  <si>
    <t>EVGU-58</t>
  </si>
  <si>
    <t xml:space="preserve">tem+10túi ko bụi /1 thùng </t>
  </si>
  <si>
    <t>10/11/2023 20/11/2023</t>
  </si>
  <si>
    <t>lk /#6</t>
  </si>
  <si>
    <t>1b1c</t>
  </si>
  <si>
    <t>VEGD01-07</t>
  </si>
  <si>
    <t>AK04-36</t>
  </si>
  <si>
    <t>AK04-39</t>
  </si>
  <si>
    <t>AK04-42</t>
  </si>
  <si>
    <t>21/11/2023 22/11/2023</t>
  </si>
  <si>
    <t>shc/d14</t>
  </si>
  <si>
    <t>17/11/2023 22/11/2023</t>
  </si>
  <si>
    <t xml:space="preserve">lkn </t>
  </si>
  <si>
    <t>20/11/12023</t>
  </si>
  <si>
    <t>dg/#11ab1</t>
  </si>
  <si>
    <t>lk chuyên</t>
  </si>
  <si>
    <t>EU05-19</t>
  </si>
  <si>
    <t>24A26238</t>
  </si>
  <si>
    <t>AD02-10</t>
  </si>
  <si>
    <t>09/11/2023 23/11/2023</t>
  </si>
  <si>
    <t>20/11/2023 23/11/2023</t>
  </si>
  <si>
    <t>20/11/2023 21/11/2023 23/11/2023</t>
  </si>
  <si>
    <t>1a/1c</t>
  </si>
  <si>
    <t>18/11/2023 23/11/2023</t>
  </si>
  <si>
    <t>14/11/2023 23/11/2023</t>
  </si>
  <si>
    <t>16/11/2023 23/11/2023</t>
  </si>
  <si>
    <t>679 etm</t>
  </si>
  <si>
    <t>619 tem</t>
  </si>
  <si>
    <t>589 tem</t>
  </si>
  <si>
    <t>lk nhận</t>
  </si>
  <si>
    <t>UA41-11</t>
  </si>
  <si>
    <t>CCL-23145</t>
  </si>
  <si>
    <t>15/11/2023 18/11/2023 24/11/2023</t>
  </si>
  <si>
    <t>UA28-04</t>
  </si>
  <si>
    <t>MEDIMARKET</t>
  </si>
  <si>
    <t>20/11/2023 26/11/2023</t>
  </si>
  <si>
    <t>20/11/2023 24/11/2023</t>
  </si>
  <si>
    <t>1a/b13</t>
  </si>
  <si>
    <t>21/11/2023 24/11/2023</t>
  </si>
  <si>
    <t>06/11/2023 24/11/2023</t>
  </si>
  <si>
    <t>10/11/2023 24/11/2023</t>
  </si>
  <si>
    <t>lk/dg</t>
  </si>
  <si>
    <t>17/11/2023 24/11/2023</t>
  </si>
  <si>
    <t>18/11/2023 25/11/2023</t>
  </si>
  <si>
    <t>dg#10ab1</t>
  </si>
  <si>
    <t>25/10/2023</t>
  </si>
  <si>
    <t xml:space="preserve">JIN LIN </t>
  </si>
  <si>
    <t>25/11/2023</t>
  </si>
  <si>
    <t xml:space="preserve">cửa </t>
  </si>
  <si>
    <t>22/11/2023 24/11/2023</t>
  </si>
  <si>
    <t>#3/dg</t>
  </si>
  <si>
    <t>27/112023</t>
  </si>
  <si>
    <t>01/11/2023 27/11/2023</t>
  </si>
  <si>
    <t>21/11/2023 27/11/2023</t>
  </si>
  <si>
    <t>14/11/2023 15/11/2023 20/11/2023 27/11/2023</t>
  </si>
  <si>
    <t>UB 01-05</t>
  </si>
  <si>
    <t>UB 01-06</t>
  </si>
  <si>
    <t>UB 01-04</t>
  </si>
  <si>
    <t>22/11/2023 27/11/2023</t>
  </si>
  <si>
    <t>AN 11-02</t>
  </si>
  <si>
    <t>(BBT)</t>
  </si>
  <si>
    <t>20/11/2023 27/11/2023</t>
  </si>
  <si>
    <t>27/11/2023 28/11/2023</t>
  </si>
  <si>
    <t>c20</t>
  </si>
  <si>
    <t xml:space="preserve">nắp </t>
  </si>
  <si>
    <t>E43</t>
  </si>
  <si>
    <t>D17</t>
  </si>
  <si>
    <t>12/2023-6000026944</t>
  </si>
  <si>
    <t>LK</t>
  </si>
  <si>
    <t>EP69-01</t>
  </si>
  <si>
    <t>PM0124A</t>
  </si>
  <si>
    <t>PORTWEST</t>
  </si>
  <si>
    <t>EP69-02</t>
  </si>
  <si>
    <t>PMP0224A</t>
  </si>
  <si>
    <t>EP40-04</t>
  </si>
  <si>
    <t>EU05-30</t>
  </si>
  <si>
    <t xml:space="preserve">lk nhận bao bì  nbr nhập sap </t>
  </si>
  <si>
    <t xml:space="preserve">28/11/2023  qc tổng đơn thiếu 1 thùng 959  kho lấy hàng tặng bù cho đủ số lượng </t>
  </si>
  <si>
    <t>Ô11B</t>
  </si>
  <si>
    <t>Ô1/1C</t>
  </si>
  <si>
    <t>UA01-29</t>
  </si>
  <si>
    <t>"003</t>
  </si>
  <si>
    <t>29/112023</t>
  </si>
  <si>
    <t>29/11/20223</t>
  </si>
  <si>
    <t>11/11/2023 29/11/2023</t>
  </si>
  <si>
    <t>28/11/2023 29/11/2023</t>
  </si>
  <si>
    <t>28/11/2023 30/11/2023</t>
  </si>
  <si>
    <t>2000+440</t>
  </si>
  <si>
    <t>shc</t>
  </si>
  <si>
    <t xml:space="preserve">tất cả size  hộp khác mẫu tmbb báo trả 30/12/2023 </t>
  </si>
  <si>
    <t>31/11/2023</t>
  </si>
  <si>
    <t>VBWM12-22</t>
  </si>
  <si>
    <t>07/11/2023 24/11/2023</t>
  </si>
  <si>
    <t>3+18</t>
  </si>
  <si>
    <t>20/11/2023 01/12/2023</t>
  </si>
  <si>
    <t>#10ab2/10ab2</t>
  </si>
  <si>
    <t>dg/lk /#14</t>
  </si>
  <si>
    <t>#5b1</t>
  </si>
  <si>
    <t xml:space="preserve">dg/lk /#14ab1 </t>
  </si>
  <si>
    <t>18/11/2023 23/11/2023 28/11/2023 01/12/2023</t>
  </si>
  <si>
    <t>22/11/2023 23/11/2023 01/12/2023</t>
  </si>
  <si>
    <t>#5a1</t>
  </si>
  <si>
    <t>PM0424A</t>
  </si>
  <si>
    <t>lk:2900</t>
  </si>
  <si>
    <t>chuyển lk 2900 thùng + hộp</t>
  </si>
  <si>
    <t>25/11/2023 2/12/2023</t>
  </si>
  <si>
    <t xml:space="preserve">gd-nbr viết số 1-1540 
 lk viết sô 1541-1672
  2/12/2023 chuyển lk thêm 1000 thùng + hộp 
  số thùng  1-1000 </t>
  </si>
  <si>
    <t>lk/lk/dg</t>
  </si>
  <si>
    <t>D02</t>
  </si>
  <si>
    <t>#3#12</t>
  </si>
  <si>
    <t xml:space="preserve">bao bì lk nhận kho nbr nhập sap chuyển bán </t>
  </si>
  <si>
    <t>7/12/2023 hộp giao lại</t>
  </si>
  <si>
    <t>BF401875049</t>
  </si>
  <si>
    <t>BF401875050</t>
  </si>
  <si>
    <t>BF401875051</t>
  </si>
  <si>
    <t>BF401875052</t>
  </si>
  <si>
    <t>BF401875053</t>
  </si>
  <si>
    <t>BF401875054</t>
  </si>
  <si>
    <t>BF401875055</t>
  </si>
  <si>
    <t>BF401875056</t>
  </si>
  <si>
    <t>BF401875057</t>
  </si>
  <si>
    <t>BF401875058</t>
  </si>
  <si>
    <t>BF401875059</t>
  </si>
  <si>
    <t>BF401875060</t>
  </si>
  <si>
    <t>BF401875061</t>
  </si>
  <si>
    <t>BF401875062</t>
  </si>
  <si>
    <t>BF401875063</t>
  </si>
  <si>
    <t>BF401875064</t>
  </si>
  <si>
    <t>BF401875065</t>
  </si>
  <si>
    <t>BF401875066</t>
  </si>
  <si>
    <t>NIT0143112023</t>
  </si>
  <si>
    <t>7/12/2023 đg trả kho 847 thùng + hộp  (147 thùng ko theo số thứ tự )</t>
  </si>
  <si>
    <t>02/12/2023 7/12/2032</t>
  </si>
  <si>
    <t>#12#3</t>
  </si>
  <si>
    <t>NIT0144112023</t>
  </si>
  <si>
    <t>giấy thuyết minh</t>
  </si>
  <si>
    <t xml:space="preserve">chuyển lk 2000 thùng + hộp lk viết số 2501-4500  8/12/2023 chuyển thêm 700 thùng + hộp (1801-2500) </t>
  </si>
  <si>
    <t>US11-02</t>
  </si>
  <si>
    <t xml:space="preserve">SAFETY </t>
  </si>
  <si>
    <t xml:space="preserve">L thùng lỗi  trả  ncc 8/12/2023 giao lại </t>
  </si>
  <si>
    <t xml:space="preserve">XL  trả ncc  258 thùng lỗi 8/12/2023 giao lại </t>
  </si>
  <si>
    <t>01/2024-6000027184</t>
  </si>
  <si>
    <t>01/2024-6000027364</t>
  </si>
  <si>
    <t>trả ncc 10 hộp  bung keo  8/12/2023 ncc giao lại 22 hộp</t>
  </si>
  <si>
    <t>ô 1/1a</t>
  </si>
  <si>
    <t>25/11/2023 09/12/2023</t>
  </si>
  <si>
    <t>#11ab1/11ab1</t>
  </si>
  <si>
    <t>07/12/2023 09/12/2023</t>
  </si>
  <si>
    <t>#14ab1/#14ab1</t>
  </si>
  <si>
    <t>EC05-29</t>
  </si>
  <si>
    <t>C1</t>
  </si>
  <si>
    <t>1C/B</t>
  </si>
  <si>
    <t>lk/dg/#6ab2</t>
  </si>
  <si>
    <t>#1a</t>
  </si>
  <si>
    <t>#13a1</t>
  </si>
  <si>
    <t>#13b1</t>
  </si>
  <si>
    <t>#13ab2</t>
  </si>
  <si>
    <t>28/11/2023 12/12/2023</t>
  </si>
  <si>
    <t>09/12/2023 12/12/2023</t>
  </si>
  <si>
    <t>tấm lot</t>
  </si>
  <si>
    <t>1230+30</t>
  </si>
  <si>
    <t>E38</t>
  </si>
  <si>
    <t>4011668L</t>
  </si>
  <si>
    <t>4011668M</t>
  </si>
  <si>
    <t>4011668S</t>
  </si>
  <si>
    <t>4021669S</t>
  </si>
  <si>
    <t>4021669M</t>
  </si>
  <si>
    <t>4021669L</t>
  </si>
  <si>
    <t>4021669XL</t>
  </si>
  <si>
    <t>1B/a22</t>
  </si>
  <si>
    <t>11/12/2023 14/12/2023</t>
  </si>
  <si>
    <t>07/12/2023 09/12/2023 13/12/2023</t>
  </si>
  <si>
    <t>12/12/2023 13/12/2023</t>
  </si>
  <si>
    <t>08/12/2023 09/12/2023 13/12/2023</t>
  </si>
  <si>
    <t>240103N</t>
  </si>
  <si>
    <t>NIT0145112023</t>
  </si>
  <si>
    <t>NIT0146112023</t>
  </si>
  <si>
    <t>01/2024-6000027408</t>
  </si>
  <si>
    <t>#4/DG/#4</t>
  </si>
  <si>
    <t>31/10/2023 14/12/2023</t>
  </si>
  <si>
    <t>13/12/2023 14/12/2023</t>
  </si>
  <si>
    <t>12/12/2023 14/12/2023</t>
  </si>
  <si>
    <t xml:space="preserve">LANON </t>
  </si>
  <si>
    <t>EP51-07</t>
  </si>
  <si>
    <t xml:space="preserve"> 21/11/2023 chuyển 380 thùng + hộp qua lk 8/12/2032 lk chuyển lại 380 thùng + hộp</t>
  </si>
  <si>
    <t xml:space="preserve"> 08/12/2023 11/12/2023</t>
  </si>
  <si>
    <t xml:space="preserve"> 08/12/2023</t>
  </si>
  <si>
    <t xml:space="preserve"> 21/11/2023 chuyển bb qua lk 8/12/2023 lk chuyển bao bì lại nbr</t>
  </si>
  <si>
    <t>dg/#3#12</t>
  </si>
  <si>
    <t>D21</t>
  </si>
  <si>
    <t>NẮP</t>
  </si>
  <si>
    <t>let/b10</t>
  </si>
  <si>
    <t>#9b2</t>
  </si>
  <si>
    <t>#7b1</t>
  </si>
  <si>
    <t>#9ab1</t>
  </si>
  <si>
    <t>#9a2</t>
  </si>
  <si>
    <t>dg/#4ab2</t>
  </si>
  <si>
    <t>#7a1</t>
  </si>
  <si>
    <t>VEGD01-26</t>
  </si>
  <si>
    <t>VEGD01-25</t>
  </si>
  <si>
    <t>VEGD01-27</t>
  </si>
  <si>
    <t>VEGD02-03</t>
  </si>
  <si>
    <t>AN40-01</t>
  </si>
  <si>
    <t>16/12/2023 18/12/2023</t>
  </si>
  <si>
    <t>dg/#9b2</t>
  </si>
  <si>
    <t>#3/#5/#5</t>
  </si>
  <si>
    <t>05/12/2023 16/12/2023 18/12/2023</t>
  </si>
  <si>
    <t>16/12/2023 19/12/2023</t>
  </si>
  <si>
    <t>16/12/202 19/12/2023</t>
  </si>
  <si>
    <t>E38/1c</t>
  </si>
  <si>
    <t>E37/ô1</t>
  </si>
  <si>
    <t>25/11/2023 19/12/2023</t>
  </si>
  <si>
    <t xml:space="preserve">lk/#5 </t>
  </si>
  <si>
    <t>28/11/2023 16/12/2023 19/12/2023</t>
  </si>
  <si>
    <t>dg/#4ab2/14ab2</t>
  </si>
  <si>
    <t>11/12/2023 20/12/2023</t>
  </si>
  <si>
    <t>16/12/2023 20/12/2023</t>
  </si>
  <si>
    <t>b13/a20</t>
  </si>
  <si>
    <t>ô1/a24</t>
  </si>
  <si>
    <t>1a/a23</t>
  </si>
  <si>
    <t>19/12/2023 20/12/2023</t>
  </si>
  <si>
    <t>18/12/2023 20/12/2023</t>
  </si>
  <si>
    <t>#6B2</t>
  </si>
  <si>
    <t>30/11/2023 01/12/2023 20/12/2023</t>
  </si>
  <si>
    <t>bao bì long khánh làm kiểm nghiệm</t>
  </si>
  <si>
    <t>lên cont phát hiện 1 thùng 6000026679 xl  (hộp bên trong 26676)  21/12/2032 dgd cho bù 1 thùng 26676 để len cont (st 4324)</t>
  </si>
  <si>
    <t>16/12/2023 21/12/2023</t>
  </si>
  <si>
    <t>18/12/2023 21/12/2023</t>
  </si>
  <si>
    <t>11/12/2023 21/12/2023</t>
  </si>
  <si>
    <t>#9ab2/dg</t>
  </si>
  <si>
    <t>16/12/2023 22/12/2023</t>
  </si>
  <si>
    <t>20/12/2023 22/12/2023</t>
  </si>
  <si>
    <t>22/12/2023 23/12/2023</t>
  </si>
  <si>
    <t>2+3</t>
  </si>
  <si>
    <t>23/12/2023 giao 5 thùng</t>
  </si>
  <si>
    <t>21/12/2023 23/12/2023</t>
  </si>
  <si>
    <t>hộp trả ncc 23/12/2023 giao lại 1636 hộp</t>
  </si>
  <si>
    <t>23/12/2023</t>
  </si>
  <si>
    <t>#12ab1</t>
  </si>
  <si>
    <t>2023-12-22 23/12/2023</t>
  </si>
  <si>
    <t>#9a2/#9a2</t>
  </si>
  <si>
    <t>23/12/2023 25/12/2023</t>
  </si>
  <si>
    <t>16/12/2023 25/12/2023</t>
  </si>
  <si>
    <t>#12b2/#12b2#7a1</t>
  </si>
  <si>
    <t>#5ab2/#12ab#7b1</t>
  </si>
  <si>
    <t>L qc tổng đơn thiếu 5 hộp XL qc tổng đơn dư 5 hộp  qc đã báo chế tạo khui 400 thùng XL phát hiện có 2 hộp L (QC tổng đơn lại L thiếu 3 hộp  XL dư 3 hộp )</t>
  </si>
  <si>
    <t>LK 858 thùng</t>
  </si>
  <si>
    <t xml:space="preserve">lk 397 thùng </t>
  </si>
  <si>
    <t>1a/b07</t>
  </si>
  <si>
    <t>300 thùng +3000 hộp để lại tồn kho (61-360)</t>
  </si>
  <si>
    <t>21/12/2023 26/12/2023</t>
  </si>
  <si>
    <t>20/12/2023 27/12/2023</t>
  </si>
  <si>
    <t>a20/21</t>
  </si>
  <si>
    <t>#6ab2a2</t>
  </si>
  <si>
    <t>1A1B</t>
  </si>
  <si>
    <t>EM11-01</t>
  </si>
  <si>
    <t>OF2301093</t>
  </si>
  <si>
    <t>15/12/2023 27/12/2023</t>
  </si>
  <si>
    <t>d11/A26</t>
  </si>
  <si>
    <t>T2</t>
  </si>
  <si>
    <t>VBWN01-01</t>
  </si>
  <si>
    <t>VBWN01-02</t>
  </si>
  <si>
    <t>VBWN01-03</t>
  </si>
  <si>
    <t>27/12/2023 28/12/2023</t>
  </si>
  <si>
    <t>20/12/2023 28/12/2023</t>
  </si>
  <si>
    <t>"002</t>
  </si>
  <si>
    <t>bao bì long khánh chuyển qua đã  làm kiểm nghiệm</t>
  </si>
  <si>
    <t>lkchuyển</t>
  </si>
  <si>
    <t>15/12/2023 16/12/2023 28/12/2023</t>
  </si>
  <si>
    <t>#4ab2/dg/#8</t>
  </si>
  <si>
    <t>26/12/2023 28/12/2023</t>
  </si>
  <si>
    <t>PM21928910</t>
  </si>
  <si>
    <t>29/12/203</t>
  </si>
  <si>
    <t xml:space="preserve">                                                             </t>
  </si>
  <si>
    <t>let/d17</t>
  </si>
  <si>
    <t>b29</t>
  </si>
  <si>
    <t>27/12/2023 28/12/2023 29/12/2023</t>
  </si>
  <si>
    <t>08/12/2023 29/12/2023</t>
  </si>
  <si>
    <t>lk/DG</t>
  </si>
  <si>
    <t xml:space="preserve">28/12/2023 29/12/2023 </t>
  </si>
  <si>
    <t>#6ab1a2</t>
  </si>
  <si>
    <t>#9ab2</t>
  </si>
  <si>
    <t>#11#13</t>
  </si>
  <si>
    <t>30-12-2023</t>
  </si>
  <si>
    <t>30/12/2023</t>
  </si>
  <si>
    <t>10+100 DT</t>
  </si>
  <si>
    <t>20/11/2023 30/12/2023</t>
  </si>
  <si>
    <t>100 THÙNG ĐG ĐẶT THÊM 8500066108</t>
  </si>
  <si>
    <t>80040862
xuất kho  ngày 30/12/2023</t>
  </si>
  <si>
    <t>29/12/2023 lk chyển lại 320 thùng+hộp</t>
  </si>
  <si>
    <t>lk/#10/dg</t>
  </si>
  <si>
    <t>08/12/2032 19/12/2023 30/12/2023</t>
  </si>
  <si>
    <t>11/12/2023 30/12/2023</t>
  </si>
  <si>
    <t>#1b/1a</t>
  </si>
  <si>
    <t>#1b/dg/1b</t>
  </si>
  <si>
    <t>#1a/1b</t>
  </si>
  <si>
    <t>23/12/2023 26/12/2023 28/12/2023</t>
  </si>
  <si>
    <t>05/12/2023 08/12/2023  29/12/2023</t>
  </si>
  <si>
    <t>lk/lk/dg/#9ab2</t>
  </si>
  <si>
    <t>#11#13#7</t>
  </si>
  <si>
    <t>#3#7</t>
  </si>
  <si>
    <t>30-12-2023 02/12/2023</t>
  </si>
  <si>
    <t>EG10-10</t>
  </si>
  <si>
    <t>#9ab1/9ab1/dg</t>
  </si>
  <si>
    <t>30/12/2023 02/01/2024</t>
  </si>
  <si>
    <t>02/12/2023 06/12/2023 02/01/2024</t>
  </si>
  <si>
    <t>#6ab2/6ab2/5ab2</t>
  </si>
  <si>
    <t>30/12/2023 02/01/2023</t>
  </si>
  <si>
    <t>#4/#4/dg</t>
  </si>
  <si>
    <t>16/12/2023 18/12/2023 23/12/2023 03/01/2024</t>
  </si>
  <si>
    <t>#9/#9/dg/dg</t>
  </si>
  <si>
    <t>02/01/2023 03/01/2024</t>
  </si>
  <si>
    <t>30/12/2023 03/01/2024</t>
  </si>
  <si>
    <t>#12/#12</t>
  </si>
  <si>
    <t>#11#13#7ab2b1</t>
  </si>
  <si>
    <t>4021819S</t>
  </si>
  <si>
    <t>4021819M</t>
  </si>
  <si>
    <t>4021819L</t>
  </si>
  <si>
    <t>4021819XL</t>
  </si>
  <si>
    <t>OF2301059</t>
  </si>
  <si>
    <t>OF2301060</t>
  </si>
  <si>
    <t>BF402961189</t>
  </si>
  <si>
    <t>BF402961190</t>
  </si>
  <si>
    <t>BF402961191</t>
  </si>
  <si>
    <t>BF402961192</t>
  </si>
  <si>
    <t>BF402961193</t>
  </si>
  <si>
    <t>BF402961194</t>
  </si>
  <si>
    <t>BF402961195</t>
  </si>
  <si>
    <t>BF402961196</t>
  </si>
  <si>
    <t>BF402961197</t>
  </si>
  <si>
    <t>BF402961198</t>
  </si>
  <si>
    <t>BF402961199</t>
  </si>
  <si>
    <t>BF402961200</t>
  </si>
  <si>
    <t>BF402961201</t>
  </si>
  <si>
    <t>BF402961202</t>
  </si>
  <si>
    <t>BF402961203</t>
  </si>
  <si>
    <t>BF402961204</t>
  </si>
  <si>
    <t>BF402961205</t>
  </si>
  <si>
    <t>BF402961206</t>
  </si>
  <si>
    <t>3/1/32024</t>
  </si>
  <si>
    <t>03/01/2024 04/01/2024</t>
  </si>
  <si>
    <t>4021820S</t>
  </si>
  <si>
    <t>4021820M</t>
  </si>
  <si>
    <t>4021820L</t>
  </si>
  <si>
    <t>4021820XL</t>
  </si>
  <si>
    <t>24B27698</t>
  </si>
  <si>
    <t>những đơn hàng trên đã xác nhận của nhà máy LK-NBR sản xuất nhé, xin lưu ý và sắp xếp giúp em, xin cám ơn</t>
  </si>
  <si>
    <t>6000027245--&gt;LK-NBR</t>
  </si>
  <si>
    <t>đơn hàng trên xác nhận là đơn của xưởng LK-NBR, nhưng bao bì bản in UA03-03 vui lòng giao qua xưởng GD-NBR giúp em nhé, còn lại giao LK-NBR, xin lưu ý và sắp xếp giúp em, xin cám ơn</t>
  </si>
  <si>
    <t>6000027216--&gt;LK-NBR</t>
  </si>
  <si>
    <t>đơn hàng trên là đơn của xưởng LK-NBR, nhưng bao bì bản in EU05-19 vui lòng giao qua xưởng GD-NBR giúp em nhé, còn lại giao LK-NBR, xin lưu ý và sắp xếp giúp em, xin cám ơn</t>
  </si>
  <si>
    <t>28/12/2023 03/01/2024</t>
  </si>
  <si>
    <t>29/12/2023 03/01/2024</t>
  </si>
  <si>
    <t xml:space="preserve">  lết/a26</t>
  </si>
  <si>
    <t>cửa/a27</t>
  </si>
  <si>
    <t>c26/a26</t>
  </si>
  <si>
    <t>27/12/2023 03/01/2024</t>
  </si>
  <si>
    <t>b10/A02</t>
  </si>
  <si>
    <t>30/12/2023 02/01/2024 04/01/2024</t>
  </si>
  <si>
    <t>#14ab2/dg/#14ab2b1</t>
  </si>
  <si>
    <t>30/12/2023 04/01/2024</t>
  </si>
  <si>
    <t>#8/dg</t>
  </si>
  <si>
    <t>#8ab1/dg/dg</t>
  </si>
  <si>
    <t>04/01/2024 05/01/2024</t>
  </si>
  <si>
    <t>27/12/2023 28/12/2023 05/01/2024</t>
  </si>
  <si>
    <t>1c/c20</t>
  </si>
  <si>
    <t>thùng 5/1/2024 chuyển lk hộp chuyển 2/1/2024</t>
  </si>
  <si>
    <t>64NA2316GSP</t>
  </si>
  <si>
    <t>64NA2317GSP</t>
  </si>
  <si>
    <t>EG84-03</t>
  </si>
  <si>
    <t>64NA2320GSP</t>
  </si>
  <si>
    <t>29/12/2023 05/01/2024</t>
  </si>
  <si>
    <t>1c/E34</t>
  </si>
  <si>
    <t xml:space="preserve"> LET/E34</t>
  </si>
  <si>
    <t>30/12/2023 05/01/2024 06/01/2024</t>
  </si>
  <si>
    <t>#11#13dg/dg</t>
  </si>
  <si>
    <t>03/01/2024 06/01/2024</t>
  </si>
  <si>
    <t>02/01/2023 03/01/2024 06/01/2024</t>
  </si>
  <si>
    <t>dg/dg/#11#13#7ab2b1/#11#13#7ab2b1</t>
  </si>
  <si>
    <t>04/01/2024   05/01/2024 06/01/2024</t>
  </si>
  <si>
    <t>dg/3#7a1/3#7a1</t>
  </si>
  <si>
    <t>02/01/2024  05/01/2024 06/01/2024</t>
  </si>
  <si>
    <t>#9ab2/dg/9ab2/9ab2</t>
  </si>
  <si>
    <t>27/12/2023 05/01/2024 06/01/2024</t>
  </si>
  <si>
    <t>LET/d23</t>
  </si>
  <si>
    <t>1C/d20</t>
  </si>
  <si>
    <t>21/12/2023 05/01/2024</t>
  </si>
  <si>
    <t>dg/lk</t>
  </si>
  <si>
    <t xml:space="preserve"> lk nhận hàng nbr nhập sap</t>
  </si>
  <si>
    <t>sử dụng bb đơn 6000024784</t>
  </si>
  <si>
    <t xml:space="preserve">LT chuyển qua </t>
  </si>
  <si>
    <t>LT chuyển qua</t>
  </si>
  <si>
    <t>d19</t>
  </si>
  <si>
    <t>06/01/2024 08/01/2024</t>
  </si>
  <si>
    <t>let/b08</t>
  </si>
  <si>
    <t>03/01/2024 08/01/2024</t>
  </si>
  <si>
    <t>02/01/2024 08/01/2024</t>
  </si>
  <si>
    <t>dg/#6ab1</t>
  </si>
  <si>
    <t>04/01/2024  05/01/2024 06/01/2024 08/01/2024</t>
  </si>
  <si>
    <t>dg/6#/dg/#14a1</t>
  </si>
  <si>
    <t>05/01/2024 06/01/2024 08/01/2024</t>
  </si>
  <si>
    <t>UUP0424A</t>
  </si>
  <si>
    <t>08/01/2024 09/01/2024</t>
  </si>
  <si>
    <t>d18</t>
  </si>
  <si>
    <t>Dear All</t>
  </si>
  <si>
    <t xml:space="preserve">những đơn hàng trên đã xác nhận địa điểm giao cho LK-NBR nhé, xin lưu ý và sắp xếp giúp e ạ. Xin cảm ơn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</si>
  <si>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</si>
  <si>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06/01/2024 10/01/2024</t>
  </si>
  <si>
    <t>09/01/2024 10/01/2024</t>
  </si>
  <si>
    <t>02/01/2023 03/01/2024 10/01/2024</t>
  </si>
  <si>
    <t>06/01/2024 09/01/2024</t>
  </si>
  <si>
    <t>04/01/2024 09/01/2024</t>
  </si>
  <si>
    <t>#3#7a1</t>
  </si>
  <si>
    <t>#10/10</t>
  </si>
  <si>
    <t>04/01/2024 10/01/2024</t>
  </si>
  <si>
    <t>08/01/2024 10/01/2024</t>
  </si>
  <si>
    <t>dg/#14b1ab2</t>
  </si>
  <si>
    <t xml:space="preserve">qc tổng đơn dư 2 thùng +8 hộp   10/1/2024 lên cont đg bị thiếu thùng cho bù 2 thùng + 8 hộp </t>
  </si>
  <si>
    <t xml:space="preserve"> 10/1/2024 lên cont đg bù 1 thùng +4 hộp  </t>
  </si>
  <si>
    <t>dg/6ab1</t>
  </si>
  <si>
    <t>#5ab1/5ab1#14</t>
  </si>
  <si>
    <t>08/01/2024 11/01/2024</t>
  </si>
  <si>
    <t>dg/#5ab1#4</t>
  </si>
  <si>
    <t>27/12/2023 05/01/2024</t>
  </si>
  <si>
    <t>28/12/2023 29/12/2023 05/01/2024</t>
  </si>
  <si>
    <t>có giấy tm</t>
  </si>
  <si>
    <t xml:space="preserve">L 20/12/2024 chuyển  LK 12/01/2024  LK chyển qua lại gd nbr </t>
  </si>
  <si>
    <t>4021824L</t>
  </si>
  <si>
    <t>4021824S</t>
  </si>
  <si>
    <t>4021824M</t>
  </si>
  <si>
    <t>4021824XL</t>
  </si>
  <si>
    <t>1B/A23</t>
  </si>
  <si>
    <t>03/01/2024 12/01/2024</t>
  </si>
  <si>
    <t>10/01/2024 12/01/2024</t>
  </si>
  <si>
    <t>J-21</t>
  </si>
  <si>
    <t>AMZN-10</t>
  </si>
  <si>
    <t>AMZN-11</t>
  </si>
  <si>
    <t>09/01/2024 13/01/2024</t>
  </si>
  <si>
    <t>b10 /a23</t>
  </si>
  <si>
    <t>1c/d14</t>
  </si>
  <si>
    <t>06/01/2024 13/01/2024</t>
  </si>
  <si>
    <t>let/d14</t>
  </si>
  <si>
    <t>let/c26</t>
  </si>
  <si>
    <t>05/01/2024 06/01/2024 13/01/2024</t>
  </si>
  <si>
    <t>let/c29</t>
  </si>
  <si>
    <t>C24 /c30</t>
  </si>
  <si>
    <t>C21/LET/c29</t>
  </si>
  <si>
    <t>21/12/2023 13/01/2024</t>
  </si>
  <si>
    <t>VEGD02-04</t>
  </si>
  <si>
    <t>VEGD03-01</t>
  </si>
  <si>
    <t>VEGD02-05</t>
  </si>
  <si>
    <t>VEGD02-06</t>
  </si>
  <si>
    <t>VEGD03-02</t>
  </si>
  <si>
    <t>VEGD03-03</t>
  </si>
  <si>
    <t>VEGD03-04</t>
  </si>
  <si>
    <t>08/01/2024 13/01/2024</t>
  </si>
  <si>
    <t>let/e44</t>
  </si>
  <si>
    <t xml:space="preserve">10/1/2024 qc tổng đơn thiếu 1 thùng +4 hộp ngày 13/01/2024 dg cho bù 1 thùng  </t>
  </si>
  <si>
    <t>1a/1b</t>
  </si>
  <si>
    <t>03/01/2024 13/01/2024</t>
  </si>
  <si>
    <t>dg/#7</t>
  </si>
  <si>
    <t>04/01/2024 13/01/2024</t>
  </si>
  <si>
    <t>13/01/2024 13/01/2024</t>
  </si>
  <si>
    <t>#4#5ab1/dg</t>
  </si>
  <si>
    <t>18/12/2023 03/01/2024 13/01/2024</t>
  </si>
  <si>
    <t>dg/dg/#7</t>
  </si>
  <si>
    <t xml:space="preserve">thùng tất cả các size bị lỗi tmbb trả ncc </t>
  </si>
  <si>
    <t>16/12/2023 15/01/2024</t>
  </si>
  <si>
    <t>80041416  xuất kho ngày 15/01/2024</t>
  </si>
  <si>
    <t>23/12/2023 15/01/2024</t>
  </si>
  <si>
    <t>#9b2/dg</t>
  </si>
  <si>
    <t>13/01/2024 13/01/2024 15/01/2024</t>
  </si>
  <si>
    <t>#5ab2/dg/#5ab2</t>
  </si>
  <si>
    <t>18/12/2023 03/01/2024 15/01/2024</t>
  </si>
  <si>
    <t>dg/dg/#4</t>
  </si>
  <si>
    <t>13/01/2024 15/01/2024</t>
  </si>
  <si>
    <t>#10#0</t>
  </si>
  <si>
    <t>UU0524A</t>
  </si>
  <si>
    <t>UUP0524A</t>
  </si>
  <si>
    <t>08/01/2024  15/01/2024</t>
  </si>
  <si>
    <t>13/01/2024 16/01/2024</t>
  </si>
  <si>
    <t>1a/c23</t>
  </si>
  <si>
    <t>T74231201</t>
  </si>
  <si>
    <t>e34/c24</t>
  </si>
  <si>
    <t>09/01/2024 12/01/2024 16/01/2024</t>
  </si>
  <si>
    <t>#9ab2/#14 #9ab2/dg</t>
  </si>
  <si>
    <t>02/01/2024 12/01/2024 16/01/2024</t>
  </si>
  <si>
    <t>#6ab1/6ab1</t>
  </si>
  <si>
    <t>#9ab2#14</t>
  </si>
  <si>
    <t xml:space="preserve">1 thùng /1 tấm ngăn /10 tem nhỏ /10 tem lớn /10 túi nhỏ/3 túi lớn </t>
  </si>
  <si>
    <t>TEM</t>
  </si>
  <si>
    <t>EP51-04</t>
  </si>
  <si>
    <t xml:space="preserve">80041238 xuất kho 10/1/2024 </t>
  </si>
  <si>
    <t>13/1/2024 dg lãnh ngày 16/1/2024 đg trả lại kho</t>
  </si>
  <si>
    <t>VBWN02-02</t>
  </si>
  <si>
    <t>VBWN02-05</t>
  </si>
  <si>
    <t>VBWN02-07</t>
  </si>
  <si>
    <t>VBWN02-14</t>
  </si>
  <si>
    <t>VBWN02-01</t>
  </si>
  <si>
    <t>VBWN02-03</t>
  </si>
  <si>
    <t>VBWN02-04</t>
  </si>
  <si>
    <t>VBWN02-06</t>
  </si>
  <si>
    <t>VBWN02-13</t>
  </si>
  <si>
    <t>b11/b14</t>
  </si>
  <si>
    <t>EB04-02</t>
  </si>
  <si>
    <t xml:space="preserve">1 thùng/2 túi / 2tem </t>
  </si>
  <si>
    <t>0770807939</t>
  </si>
  <si>
    <t>0732507939</t>
  </si>
  <si>
    <t>0674607939</t>
  </si>
  <si>
    <t>0732407939</t>
  </si>
  <si>
    <t>0732807939</t>
  </si>
  <si>
    <t>0732907939</t>
  </si>
  <si>
    <t>0735707939</t>
  </si>
  <si>
    <t>0735807939</t>
  </si>
  <si>
    <t>0735607939</t>
  </si>
  <si>
    <t>EB04-08</t>
  </si>
  <si>
    <r>
      <t xml:space="preserve">KHI </t>
    </r>
    <r>
      <rPr>
        <sz val="10"/>
        <color rgb="FF000000"/>
        <rFont val="CIDFont+F1"/>
      </rPr>
      <t>Đ</t>
    </r>
    <r>
      <rPr>
        <sz val="10"/>
        <color rgb="FF000000"/>
        <rFont val="CIDFont+F2"/>
      </rPr>
      <t>ÓNG H</t>
    </r>
    <r>
      <rPr>
        <sz val="10"/>
        <color rgb="FF000000"/>
        <rFont val="CIDFont+F1"/>
      </rPr>
      <t>Ộ</t>
    </r>
    <r>
      <rPr>
        <sz val="10"/>
        <color rgb="FF000000"/>
        <rFont val="CIDFont+F2"/>
      </rPr>
      <t>P M</t>
    </r>
    <r>
      <rPr>
        <sz val="10"/>
        <color rgb="FF000000"/>
        <rFont val="CIDFont+F1"/>
      </rPr>
      <t>Ỗ</t>
    </r>
    <r>
      <rPr>
        <sz val="10"/>
        <color rgb="FF000000"/>
        <rFont val="CIDFont+F2"/>
      </rPr>
      <t>I H</t>
    </r>
    <r>
      <rPr>
        <sz val="10"/>
        <color rgb="FF000000"/>
        <rFont val="CIDFont+F1"/>
      </rPr>
      <t>Ộ</t>
    </r>
    <r>
      <rPr>
        <sz val="10"/>
        <color rgb="FF000000"/>
        <rFont val="CIDFont+F2"/>
      </rPr>
      <t>P C</t>
    </r>
    <r>
      <rPr>
        <sz val="10"/>
        <color rgb="FF000000"/>
        <rFont val="CIDFont+F1"/>
      </rPr>
      <t>Ầ</t>
    </r>
    <r>
      <rPr>
        <sz val="10"/>
        <color rgb="FF000000"/>
        <rFont val="CIDFont+F2"/>
      </rPr>
      <t>N DÁN 2 MI</t>
    </r>
    <r>
      <rPr>
        <sz val="10"/>
        <color rgb="FF000000"/>
        <rFont val="CIDFont+F1"/>
      </rPr>
      <t>Ế</t>
    </r>
    <r>
      <rPr>
        <sz val="10"/>
        <color rgb="FF000000"/>
        <rFont val="CIDFont+F2"/>
      </rPr>
      <t>NG DÁN TRÒN TRONG SU</t>
    </r>
    <r>
      <rPr>
        <sz val="10"/>
        <color rgb="FF000000"/>
        <rFont val="CIDFont+F1"/>
      </rPr>
      <t>Ố</t>
    </r>
    <r>
      <rPr>
        <sz val="10"/>
        <color rgb="FF000000"/>
        <rFont val="CIDFont+F2"/>
      </rPr>
      <t xml:space="preserve">T </t>
    </r>
    <r>
      <rPr>
        <sz val="10"/>
        <color rgb="FF000000"/>
        <rFont val="CIDFont+F1"/>
      </rPr>
      <t xml:space="preserve">Ở </t>
    </r>
    <r>
      <rPr>
        <sz val="10"/>
        <color rgb="FF000000"/>
        <rFont val="CIDFont+F2"/>
      </rPr>
      <t>N</t>
    </r>
    <r>
      <rPr>
        <sz val="10"/>
        <color rgb="FF000000"/>
        <rFont val="CIDFont+F1"/>
      </rPr>
      <t>Ắ</t>
    </r>
    <r>
      <rPr>
        <sz val="10"/>
        <color rgb="FF000000"/>
        <rFont val="CIDFont+F2"/>
      </rPr>
      <t>P H</t>
    </r>
    <r>
      <rPr>
        <sz val="10"/>
        <color rgb="FF000000"/>
        <rFont val="CIDFont+F1"/>
      </rPr>
      <t>Ộ</t>
    </r>
    <r>
      <rPr>
        <sz val="10"/>
        <color rgb="FF000000"/>
        <rFont val="CIDFont+F2"/>
      </rPr>
      <t>P</t>
    </r>
  </si>
  <si>
    <t>0792907939</t>
  </si>
  <si>
    <t>0793007939</t>
  </si>
  <si>
    <t>0793107939</t>
  </si>
  <si>
    <t>0793207939</t>
  </si>
  <si>
    <t>17/01/2024 18/01/2024</t>
  </si>
  <si>
    <t>ô1/b17</t>
  </si>
  <si>
    <t>12/01/2024 18/01/2024</t>
  </si>
  <si>
    <t xml:space="preserve"> let/a02</t>
  </si>
  <si>
    <t>15/01/2024 18/01/2024</t>
  </si>
  <si>
    <t>D11/a02</t>
  </si>
  <si>
    <t>16/01/2024 18/01/2024</t>
  </si>
  <si>
    <t>21/12/2023 22/12/2023 18/01/2024</t>
  </si>
  <si>
    <t>18/1/2024 ncc bù 16 hộp bị dính dơ</t>
  </si>
  <si>
    <t>03/01/2024 SHC lấy XS 4 T +L 2 T</t>
  </si>
  <si>
    <t xml:space="preserve">03/01/2024 SHC lấy S 5T + L 10T </t>
  </si>
  <si>
    <t>#11a</t>
  </si>
  <si>
    <t>#14#9ab2</t>
  </si>
  <si>
    <t>19/01/2024 19/01/2024</t>
  </si>
  <si>
    <t>#9ab1/dg</t>
  </si>
  <si>
    <t>18/01/2024 19/01/2024</t>
  </si>
  <si>
    <t>1C/</t>
  </si>
  <si>
    <t>EP51-05</t>
  </si>
  <si>
    <t>EP51-06</t>
  </si>
  <si>
    <t>28/12/2023 02/01/2024 19/01/2024</t>
  </si>
  <si>
    <t>08/01/2024 19/01/2024</t>
  </si>
  <si>
    <t>ô1/1b/A02</t>
  </si>
  <si>
    <t>17/01/2024 18/01/2024 19/01/2024</t>
  </si>
  <si>
    <t>18/01/2024 20/01/2024</t>
  </si>
  <si>
    <t>UM40-06</t>
  </si>
  <si>
    <t>VEGD01-12</t>
  </si>
  <si>
    <t>VEGD01-11</t>
  </si>
  <si>
    <t>VEGD02-02</t>
  </si>
  <si>
    <t>PM21929038</t>
  </si>
  <si>
    <t>XS 670 thùng chuyển lk</t>
  </si>
  <si>
    <t>03/2024-6000028180</t>
  </si>
  <si>
    <t xml:space="preserve">LK nhận </t>
  </si>
  <si>
    <t>XS 50 thùng chuyển lk</t>
  </si>
  <si>
    <t>PM21929039</t>
  </si>
  <si>
    <t>19/01/2024 20/01/2024</t>
  </si>
  <si>
    <t>dg/#9ab2#14</t>
  </si>
  <si>
    <t>#4 #9ab1</t>
  </si>
  <si>
    <t>15/01/2024 20/01/2024</t>
  </si>
  <si>
    <t>1a/dg</t>
  </si>
  <si>
    <t>20/01/2024 22/01/2024</t>
  </si>
  <si>
    <t>1B/D23</t>
  </si>
  <si>
    <t>OF2301094</t>
  </si>
  <si>
    <t>e35/e38</t>
  </si>
  <si>
    <t>d26/e37</t>
  </si>
  <si>
    <t>let/C24</t>
  </si>
  <si>
    <t>22/1/2024 giao lại s 800+20</t>
  </si>
  <si>
    <t>22/1/2024 gaio lại 700+20</t>
  </si>
  <si>
    <t>22/1  giao lại  1500+20</t>
  </si>
  <si>
    <t>22/1  giao lại  300+20</t>
  </si>
  <si>
    <t>EVGU-29</t>
  </si>
  <si>
    <t>#11b</t>
  </si>
  <si>
    <t>DG/#5</t>
  </si>
  <si>
    <t>06/01/2024 08/01/2024 10/01/2024 23/01/2024</t>
  </si>
  <si>
    <t>#9ab1/dg/9ab1/#9ab1/dg</t>
  </si>
  <si>
    <t>#4#9ab1</t>
  </si>
  <si>
    <t>02/01/2024 20/01/2024 23/01/2024</t>
  </si>
  <si>
    <t>lk/dg/#10</t>
  </si>
  <si>
    <t>20/01/2024 23/01/2024</t>
  </si>
  <si>
    <t>#2a/2a</t>
  </si>
  <si>
    <t>30/12/2023 17/01/2024</t>
  </si>
  <si>
    <t>23/1/2024 giao lại 1300+20</t>
  </si>
  <si>
    <t>23+24/1 giao lại 800+600+20</t>
  </si>
  <si>
    <t>23/1/2024 giao lại 650+20</t>
  </si>
  <si>
    <t>23/1/2024 giao lại 900+20</t>
  </si>
  <si>
    <t>24/01/2024 giao lại 1800+20</t>
  </si>
  <si>
    <t>23/01/2024 24/01/2024</t>
  </si>
  <si>
    <t>d11/c26</t>
  </si>
  <si>
    <t>24/01/2024 24/01/2024</t>
  </si>
  <si>
    <t>T74231202</t>
  </si>
  <si>
    <t>t3</t>
  </si>
  <si>
    <t>18/01/2024 24/01/2024</t>
  </si>
  <si>
    <t>e30</t>
  </si>
  <si>
    <t>c25</t>
  </si>
  <si>
    <t>E30</t>
  </si>
  <si>
    <t>20/01/2024 24/01/2024</t>
  </si>
  <si>
    <t>23/01/2024 25/01/2024</t>
  </si>
  <si>
    <t>dg chuyển qua ct 150 t</t>
  </si>
  <si>
    <t>19/01/2024 24/01/2024</t>
  </si>
  <si>
    <t>dg/#1b</t>
  </si>
  <si>
    <t>d22</t>
  </si>
  <si>
    <t>ô1/1c</t>
  </si>
  <si>
    <t>24/01/2024 25/01/2024</t>
  </si>
  <si>
    <t>let/d20</t>
  </si>
  <si>
    <t xml:space="preserve">lk chyển </t>
  </si>
  <si>
    <t>25/1/2024 giao lại 2350+20</t>
  </si>
  <si>
    <t>20/01/2024 25/01/2024</t>
  </si>
  <si>
    <t>2380+10</t>
  </si>
  <si>
    <t>17/01/2024 25/01/2024</t>
  </si>
  <si>
    <t>dg/#5</t>
  </si>
  <si>
    <t>547 thùng lk nhận</t>
  </si>
  <si>
    <t>22/01/2024 23/01/2024</t>
  </si>
  <si>
    <t>EB71-02</t>
  </si>
  <si>
    <t>PO107365</t>
  </si>
  <si>
    <t>BASTION</t>
  </si>
  <si>
    <t>EB71-03</t>
  </si>
  <si>
    <t>9 thùng lộn đơn hàng 27/1 ncc  giao bù 10 thùng</t>
  </si>
  <si>
    <t>EG84-04</t>
  </si>
  <si>
    <t>64NN2303GSP</t>
  </si>
  <si>
    <t>64NA2322GSP</t>
  </si>
  <si>
    <t>64NA2323GSP</t>
  </si>
  <si>
    <t>EVGU-38</t>
  </si>
  <si>
    <t>dg/#10</t>
  </si>
  <si>
    <t>#6AB1</t>
  </si>
  <si>
    <t>#6AB2</t>
  </si>
  <si>
    <t>#2A</t>
  </si>
  <si>
    <t>#9AB2#14#5</t>
  </si>
  <si>
    <t>#9AB2#14</t>
  </si>
  <si>
    <t>ô1/a23</t>
  </si>
  <si>
    <r>
      <rPr>
        <b/>
        <sz val="11"/>
        <rFont val="宋体"/>
        <family val="3"/>
        <charset val="134"/>
      </rPr>
      <t>客户</t>
    </r>
  </si>
  <si>
    <r>
      <rPr>
        <b/>
        <sz val="11"/>
        <rFont val="宋体"/>
        <family val="3"/>
        <charset val="134"/>
      </rPr>
      <t>单号</t>
    </r>
  </si>
  <si>
    <r>
      <rPr>
        <b/>
        <sz val="11"/>
        <rFont val="宋体"/>
        <family val="3"/>
        <charset val="134"/>
      </rPr>
      <t>品项</t>
    </r>
  </si>
  <si>
    <r>
      <rPr>
        <b/>
        <sz val="11"/>
        <rFont val="宋体"/>
        <family val="3"/>
        <charset val="134"/>
      </rPr>
      <t>版本号</t>
    </r>
  </si>
  <si>
    <r>
      <rPr>
        <b/>
        <sz val="11"/>
        <rFont val="宋体"/>
        <family val="3"/>
        <charset val="134"/>
      </rPr>
      <t>尺寸</t>
    </r>
  </si>
  <si>
    <r>
      <rPr>
        <b/>
        <sz val="11"/>
        <rFont val="宋体"/>
        <family val="3"/>
        <charset val="134"/>
      </rPr>
      <t>数量</t>
    </r>
    <r>
      <rPr>
        <b/>
        <sz val="11"/>
        <rFont val="Times New Roman"/>
        <family val="1"/>
      </rPr>
      <t>(CS)</t>
    </r>
  </si>
  <si>
    <t>NTF RB-35PF-EU</t>
    <phoneticPr fontId="9" type="noConversion"/>
  </si>
  <si>
    <t>NTF BK-60PF</t>
    <phoneticPr fontId="9" type="noConversion"/>
  </si>
  <si>
    <t>AC53-01</t>
    <phoneticPr fontId="9" type="noConversion"/>
  </si>
  <si>
    <t xml:space="preserve">NTF ORANGE-86PF Diamond Grip </t>
    <phoneticPr fontId="9" type="noConversion"/>
  </si>
  <si>
    <t>AC53-02</t>
    <phoneticPr fontId="9" type="noConversion"/>
  </si>
  <si>
    <t>AC53-02-XL</t>
    <phoneticPr fontId="9" type="noConversion"/>
  </si>
  <si>
    <t xml:space="preserve">SỐ THÙNG </t>
  </si>
  <si>
    <r>
      <rPr>
        <b/>
        <sz val="11"/>
        <rFont val="宋体"/>
        <family val="2"/>
        <charset val="134"/>
      </rPr>
      <t>柜型</t>
    </r>
  </si>
  <si>
    <t>ETD</t>
    <phoneticPr fontId="9" type="noConversion"/>
  </si>
  <si>
    <t>CONT 1</t>
    <phoneticPr fontId="9" type="noConversion"/>
  </si>
  <si>
    <t>CCG</t>
    <phoneticPr fontId="9" type="noConversion"/>
  </si>
  <si>
    <t>S</t>
    <phoneticPr fontId="9" type="noConversion"/>
  </si>
  <si>
    <t>1-124</t>
  </si>
  <si>
    <t>40HQ</t>
    <phoneticPr fontId="9" type="noConversion"/>
  </si>
  <si>
    <t>M</t>
    <phoneticPr fontId="9" type="noConversion"/>
  </si>
  <si>
    <t>1-800  
 1201-1480</t>
  </si>
  <si>
    <t xml:space="preserve">NTF ORANGE-86PF Diamond Grip </t>
  </si>
  <si>
    <t>1-318</t>
  </si>
  <si>
    <t>L</t>
    <phoneticPr fontId="9" type="noConversion"/>
  </si>
  <si>
    <t>1-220</t>
  </si>
  <si>
    <t>AC53-02-XL</t>
  </si>
  <si>
    <t>XL</t>
    <phoneticPr fontId="9" type="noConversion"/>
  </si>
  <si>
    <t>1-929</t>
  </si>
  <si>
    <t>TOTAL:</t>
    <phoneticPr fontId="9" type="noConversion"/>
  </si>
  <si>
    <t>CONT 2</t>
    <phoneticPr fontId="9" type="noConversion"/>
  </si>
  <si>
    <t>NTF BK-60PF</t>
  </si>
  <si>
    <t xml:space="preserve">801-1200
1481-1696  </t>
  </si>
  <si>
    <t>1-2254</t>
  </si>
  <si>
    <t>CONT 3</t>
    <phoneticPr fontId="9" type="noConversion"/>
  </si>
  <si>
    <t>2255-3910</t>
  </si>
  <si>
    <t>AC53-03</t>
    <phoneticPr fontId="9" type="noConversion"/>
  </si>
  <si>
    <t>1-712</t>
  </si>
  <si>
    <t>1-1118</t>
  </si>
  <si>
    <t>CONT 4</t>
    <phoneticPr fontId="9" type="noConversion"/>
  </si>
  <si>
    <t>3911-4380</t>
  </si>
  <si>
    <t>1-2200</t>
  </si>
  <si>
    <t>1-313</t>
  </si>
  <si>
    <t>CONT 5</t>
    <phoneticPr fontId="9" type="noConversion"/>
  </si>
  <si>
    <t>314-2513</t>
  </si>
  <si>
    <t>CONT 6</t>
    <phoneticPr fontId="9" type="noConversion"/>
  </si>
  <si>
    <t>2201-3987</t>
  </si>
  <si>
    <t>CONT 7</t>
    <phoneticPr fontId="9" type="noConversion"/>
  </si>
  <si>
    <t>3988-5937</t>
  </si>
  <si>
    <t>20FT</t>
    <phoneticPr fontId="9" type="noConversion"/>
  </si>
  <si>
    <t>27/01/2024 29/01/2024</t>
  </si>
  <si>
    <t>ES22-07</t>
  </si>
  <si>
    <t>T74231203</t>
  </si>
  <si>
    <t>T74240101</t>
  </si>
  <si>
    <t xml:space="preserve">xl  17 thùng lỗi  </t>
  </si>
  <si>
    <t>EU05-31</t>
  </si>
  <si>
    <t>29/01/2024 30/01/2024</t>
  </si>
  <si>
    <t>b10/1a</t>
  </si>
  <si>
    <t>1b/ô1</t>
  </si>
  <si>
    <t>2a</t>
  </si>
  <si>
    <t>27/01/2024 30/01/2024</t>
  </si>
  <si>
    <t>26/01/2024 30/01/2024</t>
  </si>
  <si>
    <t>LK/dg</t>
  </si>
  <si>
    <t xml:space="preserve">ngày phát bb </t>
  </si>
  <si>
    <t>27/01/2024 
  30/01/2024</t>
  </si>
  <si>
    <t>19/01/2024 30/01/2024</t>
  </si>
  <si>
    <t>#14#15#9ab2</t>
  </si>
  <si>
    <t>30/01/2024 31/001/2024</t>
  </si>
  <si>
    <t>2514-5070</t>
  </si>
  <si>
    <t>dây+ giấy</t>
  </si>
  <si>
    <t>SANICE</t>
  </si>
  <si>
    <t>ES 22-11</t>
  </si>
  <si>
    <t>31/1/2024</t>
  </si>
  <si>
    <t>#11#14b1ab2</t>
  </si>
  <si>
    <t>09/01/2024 31/01/2024</t>
  </si>
  <si>
    <t>dg/#1a</t>
  </si>
  <si>
    <t>27/12/2023 17/01/2024 31/01/2024</t>
  </si>
  <si>
    <t>dg/dg/#1b</t>
  </si>
  <si>
    <t>27/01/2024 31/01/2024</t>
  </si>
  <si>
    <t>#3/#3</t>
  </si>
  <si>
    <t>31/01/2024 01/02/2024</t>
  </si>
  <si>
    <t>1b2a</t>
  </si>
  <si>
    <t xml:space="preserve">lk chuyển bán </t>
  </si>
  <si>
    <t>27/01/2024 29/01/2024 31/01/2024 01/02/2024</t>
  </si>
  <si>
    <t>#12a1a2/#12/dg/dg</t>
  </si>
  <si>
    <t>30/01/2024 01/02/2024</t>
  </si>
  <si>
    <t>02/01/2023 31/01/2024 01/02/2024</t>
  </si>
  <si>
    <t>19/01/2024 01/02/2024</t>
  </si>
  <si>
    <t>31/01/2024 02/02/2024</t>
  </si>
  <si>
    <t>T74240102</t>
  </si>
  <si>
    <t>01/02/2021 02/02/2024</t>
  </si>
  <si>
    <t>01/02/2024 02/02/2024</t>
  </si>
  <si>
    <t>23/01/2024 31/01/2024 02/02/2024</t>
  </si>
  <si>
    <t>2B</t>
  </si>
  <si>
    <t>27/01/2024 02/02/2024</t>
  </si>
  <si>
    <t>1000+1254</t>
  </si>
  <si>
    <t>01/02/2024 02/02/2024 01/02/2024</t>
  </si>
  <si>
    <t>dg/1b/1b</t>
  </si>
  <si>
    <t>có gtm</t>
  </si>
  <si>
    <t xml:space="preserve"> CÓ GIẤT TM</t>
  </si>
  <si>
    <t>6000027677-OF43196</t>
  </si>
  <si>
    <t>01/02/2024 03/02/2024</t>
  </si>
  <si>
    <t>kho/SHC/c30</t>
  </si>
  <si>
    <t>02/02/2024 03/02/2024</t>
  </si>
  <si>
    <t>25/01/2024 03/02/2024</t>
  </si>
  <si>
    <t>dg/#13</t>
  </si>
  <si>
    <t>25/02/2024 
03/02/2024</t>
  </si>
  <si>
    <t>31/01/2024 03/02/2024</t>
  </si>
  <si>
    <t>#8/#8</t>
  </si>
  <si>
    <t>03/02/2024 03/02/2024</t>
  </si>
  <si>
    <t>19/01/2024 31/01/2024 03/02/2024</t>
  </si>
  <si>
    <t>dg/#14a1/#14a1</t>
  </si>
  <si>
    <t>02/02/2024 05/02/2024</t>
  </si>
  <si>
    <t xml:space="preserve">PMUSA </t>
  </si>
  <si>
    <t>K-30</t>
  </si>
  <si>
    <t>SAFE-21</t>
  </si>
  <si>
    <t>SAFE-35</t>
  </si>
  <si>
    <t xml:space="preserve">HANYANG </t>
  </si>
  <si>
    <t>AH 37-01</t>
  </si>
  <si>
    <t>AH 37-03</t>
  </si>
  <si>
    <t>dg/#2b</t>
  </si>
  <si>
    <t>dg/#2a</t>
  </si>
  <si>
    <t>03/02/2024 05/02/2024</t>
  </si>
  <si>
    <t>#11#14b1ab2/#11#04</t>
  </si>
  <si>
    <t>30/01/2024 31/01/2024 05/02/2024</t>
  </si>
  <si>
    <t>dg/#9ab2/#9ab2</t>
  </si>
  <si>
    <t>31/01/2024 05/02/2024</t>
  </si>
  <si>
    <t>#9ab1/#9ab1</t>
  </si>
  <si>
    <t>01/02/2024 05/02/2024</t>
  </si>
  <si>
    <t>03/02/2024 
05/02/2024</t>
  </si>
  <si>
    <t>600+1056</t>
  </si>
  <si>
    <t>6/2/2024 dg trả kho 150 thùng  để  chuyển lên chuyền  #14a1</t>
  </si>
  <si>
    <t>02/02/2024 06/02/2024</t>
  </si>
  <si>
    <t>24/01/2024 06/02/2024</t>
  </si>
  <si>
    <t>UI39-08</t>
  </si>
  <si>
    <t>YONGMEI</t>
  </si>
  <si>
    <t>I-CON</t>
  </si>
  <si>
    <t>03/02/2024 05/02/2024 06/02/2024</t>
  </si>
  <si>
    <t>#12/dg/#12</t>
  </si>
  <si>
    <t xml:space="preserve"> 80042211 xuất kho ngày 7/2/2024</t>
  </si>
  <si>
    <t>80041960  xuất kho 31/1/2024</t>
  </si>
  <si>
    <t>80041961 xuất kho ngày 31/1/2024</t>
  </si>
  <si>
    <t>#11#13#14b1ab2</t>
  </si>
  <si>
    <t>01/02/2024  07/02/2024</t>
  </si>
  <si>
    <t>#13#14#11</t>
  </si>
  <si>
    <t>#5/#5</t>
  </si>
  <si>
    <t>31/01/2024 05/02/2024  11/02/2024</t>
  </si>
  <si>
    <t>#11+13+14b1+ab2</t>
  </si>
  <si>
    <t>07/02/2024 13/02/2024</t>
  </si>
  <si>
    <t>7ab1</t>
  </si>
  <si>
    <t>13/2/2024 dg chuyển qua #3  400 thùng</t>
  </si>
  <si>
    <t>#12#6ab2</t>
  </si>
  <si>
    <t>ES 22-10</t>
  </si>
  <si>
    <t>lk nhận nbr nhập sap</t>
  </si>
  <si>
    <t>8/2/2024 dg trả kho 45 thùng</t>
  </si>
  <si>
    <t>8/2/2024 dg trả kho 35 thùng</t>
  </si>
  <si>
    <t>13/2/2024 dg trả kho  258 thùng( c3)</t>
  </si>
  <si>
    <t xml:space="preserve">13/2/2024 dg trả kho  480 thùng </t>
  </si>
  <si>
    <t>b13/e31</t>
  </si>
  <si>
    <t>b10/let</t>
  </si>
  <si>
    <t>30/01/2024 15/02/2024</t>
  </si>
  <si>
    <t>dg/#14ab1</t>
  </si>
  <si>
    <t>27/1/2024 lên chuyển #12  ngày 16/2 đg trả kho chyển qua lk</t>
  </si>
  <si>
    <t>27/01/2024 03/02/2024  16/02/2024</t>
  </si>
  <si>
    <t>#6ab1/#6ab1/dg</t>
  </si>
  <si>
    <t>#6ab2/#6ab2/6ab2/#6ab1/6ab2/dg</t>
  </si>
  <si>
    <t>03/02/2024 16/02/2024</t>
  </si>
  <si>
    <t>#6ab1/dg</t>
  </si>
  <si>
    <t>01/02/2024 12/02/2024 16/02/2024</t>
  </si>
  <si>
    <t>dg/#6ab1 /lk</t>
  </si>
  <si>
    <t>VEGD03-19</t>
  </si>
  <si>
    <t>VEGD04-05</t>
  </si>
  <si>
    <t>VEGD03-20</t>
  </si>
  <si>
    <t>VEGD03-21</t>
  </si>
  <si>
    <t>VEGD03-22</t>
  </si>
  <si>
    <t>VEGD04-06</t>
  </si>
  <si>
    <t>VEGD03-23</t>
  </si>
  <si>
    <t>VEGD04-07</t>
  </si>
  <si>
    <t>VEGD04-08</t>
  </si>
  <si>
    <t>VEGD03-24</t>
  </si>
  <si>
    <t>VEGD03-25</t>
  </si>
  <si>
    <t>VEGD03-26</t>
  </si>
  <si>
    <t>BF403079534</t>
  </si>
  <si>
    <t>BF403079535</t>
  </si>
  <si>
    <t>BF403079536</t>
  </si>
  <si>
    <t>BF403079537</t>
  </si>
  <si>
    <t>BF403079538</t>
  </si>
  <si>
    <t>BF403079539</t>
  </si>
  <si>
    <t>BF403079540</t>
  </si>
  <si>
    <t>BF403079541</t>
  </si>
  <si>
    <t>BF403079542</t>
  </si>
  <si>
    <t>BF403079543</t>
  </si>
  <si>
    <t>BF403079544</t>
  </si>
  <si>
    <t>BF403079545</t>
  </si>
  <si>
    <t>BF403079546</t>
  </si>
  <si>
    <t>BF403079547</t>
  </si>
  <si>
    <t>BF403079548</t>
  </si>
  <si>
    <t>BF403079549</t>
  </si>
  <si>
    <t>BF403079550</t>
  </si>
  <si>
    <t>05/02/2024 16/02/2024</t>
  </si>
  <si>
    <t>DÂY+ GIẤY</t>
  </si>
  <si>
    <t>03/2024-6000028583</t>
  </si>
  <si>
    <t>tem+ túi</t>
  </si>
  <si>
    <t>VN00-20</t>
  </si>
  <si>
    <t>#4ab1</t>
  </si>
  <si>
    <t>#4ab2</t>
  </si>
  <si>
    <t>31/01/2024 17/02/2024</t>
  </si>
  <si>
    <t>26/01/2024 30/01/2024 31/01/2024 17/02/2024</t>
  </si>
  <si>
    <t>#6a2/dg/dg/lk</t>
  </si>
  <si>
    <t xml:space="preserve">  XL lên cont  5/2/2024    ngày 17/2/2024 trả kho 1 thùng dư</t>
  </si>
  <si>
    <t>XL lên cont  15/2/2024  đg cho bù 1 thùng để lên đủ cont     17/2/2024 dgd bù giấy</t>
  </si>
  <si>
    <t>17/02/2024 19/02/2024</t>
  </si>
  <si>
    <t>19/02/2024 19/02/2024</t>
  </si>
  <si>
    <t>dg/#12#6ab2</t>
  </si>
  <si>
    <t>dg/#7ab2</t>
  </si>
  <si>
    <t>AK04-48</t>
  </si>
  <si>
    <t>PS00071400</t>
  </si>
  <si>
    <t>PS00009821</t>
  </si>
  <si>
    <t>AK04-49</t>
  </si>
  <si>
    <t>ES22-08</t>
  </si>
  <si>
    <t>ES22-09</t>
  </si>
  <si>
    <t>19/02/2024 20/02/2024</t>
  </si>
  <si>
    <t>#6ab1/6ab1b</t>
  </si>
  <si>
    <t>1A/ô1</t>
  </si>
  <si>
    <t>4031886L</t>
  </si>
  <si>
    <t>4031886S</t>
  </si>
  <si>
    <t>4031886M</t>
  </si>
  <si>
    <t>4031886XL</t>
  </si>
  <si>
    <t>4031887L</t>
  </si>
  <si>
    <t>4031887S</t>
  </si>
  <si>
    <t>4031887M</t>
  </si>
  <si>
    <t>4031887XL</t>
  </si>
  <si>
    <t>4031888S</t>
  </si>
  <si>
    <t>4031888M</t>
  </si>
  <si>
    <t>4031888L</t>
  </si>
  <si>
    <t>4031888XL</t>
  </si>
  <si>
    <t>4031884S</t>
  </si>
  <si>
    <t>4031884M</t>
  </si>
  <si>
    <t>4031884L</t>
  </si>
  <si>
    <t>4031884XL</t>
  </si>
  <si>
    <t>4031885S</t>
  </si>
  <si>
    <t>4031885M</t>
  </si>
  <si>
    <t>4031885L</t>
  </si>
  <si>
    <t>4031885XL</t>
  </si>
  <si>
    <t>19/02/2024 19/02/2024 21/02/2024</t>
  </si>
  <si>
    <t>20/02/2024 21/02/2024</t>
  </si>
  <si>
    <t>21/02/2024 21/02/2024</t>
  </si>
  <si>
    <t>19/02/2024 21/02/2024</t>
  </si>
  <si>
    <t>dg/#4ab1#5</t>
  </si>
  <si>
    <t>#11#13/#11#13</t>
  </si>
  <si>
    <t>27/01/2024 02/02/2024 03/02/2024 05/02/2024  16/02/2024 22/02/2024</t>
  </si>
  <si>
    <t>21/02/2024 22/02/2024</t>
  </si>
  <si>
    <t>12/01/2024 22/02/2024</t>
  </si>
  <si>
    <t>KW01240206</t>
  </si>
  <si>
    <t>LK NHẬP KHO</t>
  </si>
  <si>
    <t>22/01/2024 31/01/2024 02/02/2024</t>
  </si>
  <si>
    <t>1ab</t>
  </si>
  <si>
    <t>4ab2</t>
  </si>
  <si>
    <t>18/01/2024 22/02/2024</t>
  </si>
  <si>
    <t xml:space="preserve"> 1 thùng cần  dán  4 tem </t>
  </si>
  <si>
    <t>20/02/2024  21/02/2024 23/02/2024</t>
  </si>
  <si>
    <t>#4ab1#5</t>
  </si>
  <si>
    <t>22/02/2024 24/02/2024</t>
  </si>
  <si>
    <t>VBWN03-06</t>
  </si>
  <si>
    <t>VBWN03-07</t>
  </si>
  <si>
    <t>VBWN03-08</t>
  </si>
  <si>
    <t>VBWN03-09</t>
  </si>
  <si>
    <t>VBWN03-10</t>
  </si>
  <si>
    <t>VBWN03-11</t>
  </si>
  <si>
    <t>VBWN03-12</t>
  </si>
  <si>
    <t>túi</t>
  </si>
  <si>
    <t>#8#4ab2</t>
  </si>
  <si>
    <t>#4ab2#8</t>
  </si>
  <si>
    <t xml:space="preserve"> 23/02/2024 24/02/2024</t>
  </si>
  <si>
    <t>24/02/2024 26/02/2024</t>
  </si>
  <si>
    <t xml:space="preserve"> let/c29</t>
  </si>
  <si>
    <t xml:space="preserve">5000225684    5000230064 </t>
  </si>
  <si>
    <t>ES 87-01</t>
  </si>
  <si>
    <t>#11/#11</t>
  </si>
  <si>
    <t>#8+7ab2</t>
  </si>
  <si>
    <t>dg/2b</t>
  </si>
  <si>
    <t>#13ab1+ab2</t>
  </si>
  <si>
    <t>1c/1a</t>
  </si>
  <si>
    <t>05/02/2024 23/02/2024</t>
  </si>
  <si>
    <t xml:space="preserve">5000157014  5000231517 </t>
  </si>
  <si>
    <t>24/02/2024 27/02/2024</t>
  </si>
  <si>
    <t>5000224898 5000231643</t>
  </si>
  <si>
    <t>02/02/2024 27/02/2024,</t>
  </si>
  <si>
    <t>05/02/2024 27/02/2024</t>
  </si>
  <si>
    <t xml:space="preserve"> KHÔNG VIẾT SỐ THÙNG</t>
  </si>
  <si>
    <t xml:space="preserve"> 23/02/2024 25/02/2024 27/02/2024</t>
  </si>
  <si>
    <t>#3#9ab2</t>
  </si>
  <si>
    <t>26/02/2024 27/02/2024</t>
  </si>
  <si>
    <t>đg/#121#14ab1</t>
  </si>
  <si>
    <t>27/02/2024 28/02/2024</t>
  </si>
  <si>
    <t>LK NHẬN BAO BÌ KHO NBR NHẬP SAP</t>
  </si>
  <si>
    <t>D109</t>
  </si>
  <si>
    <t xml:space="preserve">lk nhập kho </t>
  </si>
  <si>
    <t>#8#7ab1</t>
  </si>
  <si>
    <t>#12#14ab1</t>
  </si>
  <si>
    <t>bb đặt thêm</t>
  </si>
  <si>
    <t>01/02/2024 20/02/2024</t>
  </si>
  <si>
    <t>dg trả  kho 900 thùng  27/2/20224 chuyển qua lk</t>
  </si>
  <si>
    <t xml:space="preserve">16/02/2024 20/02/2024 </t>
  </si>
  <si>
    <t>25/02/2024 29/02/2024</t>
  </si>
  <si>
    <t>27/02/2024 29/02/2024</t>
  </si>
  <si>
    <t>#6ab2/#8</t>
  </si>
  <si>
    <t>29/02/2024 01/03/2024</t>
  </si>
  <si>
    <t>#14#12</t>
  </si>
  <si>
    <t>c25d05</t>
  </si>
  <si>
    <t>let/d11</t>
  </si>
  <si>
    <t>01/03/2024 02/03/2024</t>
  </si>
  <si>
    <t>31/01/2024 02/03/2024</t>
  </si>
  <si>
    <t xml:space="preserve">dg/#6ab1 </t>
  </si>
  <si>
    <t>04/03/2024 05/03/2024</t>
  </si>
  <si>
    <t>26/02/2024 05/03/2024</t>
  </si>
  <si>
    <t>02/03/2024 06/03/2024</t>
  </si>
  <si>
    <t>#2A/dg</t>
  </si>
  <si>
    <t>#2ab</t>
  </si>
  <si>
    <t>24/02/2024 06/03/2024</t>
  </si>
  <si>
    <t>05/03/2024 06/03/2024</t>
  </si>
  <si>
    <t>dg/#3#9ab2</t>
  </si>
  <si>
    <t>#14ab2/dg</t>
  </si>
  <si>
    <t>29/02/2024 02/03/2024 06/03/2024</t>
  </si>
  <si>
    <t>27/01/2024 06/03/2024</t>
  </si>
  <si>
    <t>EC19-07</t>
  </si>
  <si>
    <t>EB01-25</t>
  </si>
  <si>
    <t>BERICAH</t>
  </si>
  <si>
    <t>BLUELEAF</t>
  </si>
  <si>
    <t xml:space="preserve">05/03/2024 LK chyển lại 107 thùng +1070 hộp </t>
  </si>
  <si>
    <t xml:space="preserve">29/2 chyển thùng lk  ngày 5/3/2024  lk chuyển qua lại </t>
  </si>
  <si>
    <t>AK04-56</t>
  </si>
  <si>
    <t>hộp khác màu trả ncc giao lại 7/3/2024</t>
  </si>
  <si>
    <t>1ae37</t>
  </si>
  <si>
    <t>06/03/2024 07/03/2024</t>
  </si>
  <si>
    <t>ô1e40</t>
  </si>
  <si>
    <t>04/03/2024 07/03/2024</t>
  </si>
  <si>
    <t>02/03/2024 07/03/2024</t>
  </si>
  <si>
    <t>c23/e37</t>
  </si>
  <si>
    <t>1a/e37</t>
  </si>
  <si>
    <t>80043002  8/3/2024 xuất kho chuyển bán</t>
  </si>
  <si>
    <t xml:space="preserve">  lên cont</t>
  </si>
  <si>
    <t>06/03/2024 08/03/2024</t>
  </si>
  <si>
    <t>04/2024-6000029075</t>
  </si>
  <si>
    <t>lk nhập</t>
  </si>
  <si>
    <t>4040182L</t>
  </si>
  <si>
    <t>4040182S</t>
  </si>
  <si>
    <t>4040182M</t>
  </si>
  <si>
    <t>4040182XL</t>
  </si>
  <si>
    <t>4040184L</t>
  </si>
  <si>
    <t>4040184S</t>
  </si>
  <si>
    <t>4040184M</t>
  </si>
  <si>
    <t>4040184xl</t>
  </si>
  <si>
    <t>4040183M</t>
  </si>
  <si>
    <t>4040183L</t>
  </si>
  <si>
    <t>4040183XL</t>
  </si>
  <si>
    <t>4040183S</t>
  </si>
  <si>
    <t>4050310S</t>
  </si>
  <si>
    <t>4050310M</t>
  </si>
  <si>
    <t>4050310L</t>
  </si>
  <si>
    <t>4050310XL</t>
  </si>
  <si>
    <t>AU03-05</t>
  </si>
  <si>
    <t>AU03-06</t>
  </si>
  <si>
    <t>EVGU-63</t>
  </si>
  <si>
    <t>1 THÙNG 1 TỜ TM  hợp lệ (10 TEM NHỎ )</t>
  </si>
  <si>
    <t>TEM+TÚI</t>
  </si>
  <si>
    <t>07/03/2024 08/03/2024</t>
  </si>
  <si>
    <t>04/03/2024 08/03/2024</t>
  </si>
  <si>
    <t>PM21929323</t>
  </si>
  <si>
    <t>EG73-02</t>
  </si>
  <si>
    <t>GLOBAL-NZ</t>
  </si>
  <si>
    <t xml:space="preserve">thùng cần dán tem </t>
  </si>
  <si>
    <t xml:space="preserve">tem </t>
  </si>
  <si>
    <t>VEGD04-09</t>
  </si>
  <si>
    <t>VEGD04-10</t>
  </si>
  <si>
    <t>VEGD04-11</t>
  </si>
  <si>
    <t>VEGD04-12</t>
  </si>
  <si>
    <t>VEGD04-13</t>
  </si>
  <si>
    <t>VEGD04-14</t>
  </si>
  <si>
    <t>VEGD04-15</t>
  </si>
  <si>
    <t>VEGD04-16</t>
  </si>
  <si>
    <t>BF404179830</t>
  </si>
  <si>
    <t>BF404179831</t>
  </si>
  <si>
    <t>BF404179832</t>
  </si>
  <si>
    <t>BF404179833</t>
  </si>
  <si>
    <t>BF404179834</t>
  </si>
  <si>
    <t>BF404179835</t>
  </si>
  <si>
    <t>BF404179836</t>
  </si>
  <si>
    <t>BF404179837</t>
  </si>
  <si>
    <t>BF404179838</t>
  </si>
  <si>
    <t>BF405179839</t>
  </si>
  <si>
    <t>BF405179840</t>
  </si>
  <si>
    <t>BF404179841</t>
  </si>
  <si>
    <t>BF404179842</t>
  </si>
  <si>
    <t>BF405179843</t>
  </si>
  <si>
    <t>BF404179845</t>
  </si>
  <si>
    <t>BF405179844</t>
  </si>
  <si>
    <t>BF405179846</t>
  </si>
  <si>
    <t>BF404179847</t>
  </si>
  <si>
    <t>BF404179848</t>
  </si>
  <si>
    <t>BF405179849</t>
  </si>
  <si>
    <t>BF404179850</t>
  </si>
  <si>
    <t>BF405179851</t>
  </si>
  <si>
    <t>VBWN04-04</t>
  </si>
  <si>
    <t>VBWN04-05</t>
  </si>
  <si>
    <t>VBWN04-06</t>
  </si>
  <si>
    <t>VBWN04-07</t>
  </si>
  <si>
    <t>VBWN04-08</t>
  </si>
  <si>
    <t>VBWN04-09</t>
  </si>
  <si>
    <t>VBWN04-10</t>
  </si>
  <si>
    <t>VBWN04-11</t>
  </si>
  <si>
    <t>VBWN04-12</t>
  </si>
  <si>
    <t>VBWN04-13</t>
  </si>
  <si>
    <t>VBWN04-14</t>
  </si>
  <si>
    <t>VBWN04-17</t>
  </si>
  <si>
    <t>VBWN04-18</t>
  </si>
  <si>
    <t>VBWN04-19</t>
  </si>
  <si>
    <t>VBWN04-20</t>
  </si>
  <si>
    <t>ED33-03</t>
  </si>
  <si>
    <t>EVGU-03</t>
  </si>
  <si>
    <t>12 HỘP/1 THÙNG NHỎ/2 THÙNG NHỎ /1 THÙNG LỚN</t>
  </si>
  <si>
    <t>EVGU-54</t>
  </si>
  <si>
    <t>AC04-61</t>
  </si>
  <si>
    <t>PRO-CURE</t>
  </si>
  <si>
    <r>
      <t>s</t>
    </r>
    <r>
      <rPr>
        <sz val="10"/>
        <color rgb="FFFF0000"/>
        <rFont val="CIDFont+F1"/>
      </rPr>
      <t xml:space="preserve">ử </t>
    </r>
    <r>
      <rPr>
        <sz val="10"/>
        <color rgb="FFFF0000"/>
        <rFont val="CIDFont+F2"/>
      </rPr>
      <t>d</t>
    </r>
    <r>
      <rPr>
        <sz val="10"/>
        <color rgb="FFFF0000"/>
        <rFont val="CIDFont+F1"/>
      </rPr>
      <t>ụ</t>
    </r>
    <r>
      <rPr>
        <sz val="10"/>
        <color rgb="FFFF0000"/>
        <rFont val="CIDFont+F2"/>
      </rPr>
      <t>ng t</t>
    </r>
    <r>
      <rPr>
        <sz val="10"/>
        <color rgb="FFFF0000"/>
        <rFont val="CIDFont+F1"/>
      </rPr>
      <t>ồ</t>
    </r>
    <r>
      <rPr>
        <sz val="10"/>
        <color rgb="FFFF0000"/>
        <rFont val="CIDFont+F2"/>
      </rPr>
      <t>n kho 2000001087</t>
    </r>
  </si>
  <si>
    <t>LK/dg/dg</t>
  </si>
  <si>
    <t>15/02/2024 09/03/2024 10/03/2024</t>
  </si>
  <si>
    <r>
      <t xml:space="preserve">PM SI 9H 08/03
</t>
    </r>
    <r>
      <rPr>
        <b/>
        <sz val="13"/>
        <color rgb="FFFF0000"/>
        <rFont val="Times New Roman"/>
        <family val="1"/>
      </rPr>
      <t>2000000957(14) EVGU-19/2 M*500+L*400=900CS
2000001211(2) EVGU-30/3 M*900+L*400=1300CS
2000001212(1) EVGU-30/3 S*700
2000001213(1) EVGU-30/3 S*300
TOTAL:3200CS</t>
    </r>
  </si>
  <si>
    <t>PMP0524A</t>
  </si>
  <si>
    <t>22/02/2024 11/03/2024</t>
  </si>
  <si>
    <t>40thùng khác màu trả hàng 11/3/2024 ncc giao lại 40+1</t>
  </si>
  <si>
    <t>1130 tem</t>
  </si>
  <si>
    <t>08/03/2024 12/03/2024</t>
  </si>
  <si>
    <t>01/03/2024 11/03/2024</t>
  </si>
  <si>
    <t>28/02/2024 11/03/2024</t>
  </si>
  <si>
    <t>#6ab1/#10</t>
  </si>
  <si>
    <t>25/02/2024 27/02/2024 28/02/2024  29/02/2024 04/03/2024 12/03/2024</t>
  </si>
  <si>
    <t>12/03/2024 13/03/2024</t>
  </si>
  <si>
    <t>08/03/2024 13/03/2024</t>
  </si>
  <si>
    <t>09/03/2024 09/03/2024 13/03/2024</t>
  </si>
  <si>
    <t>#8/dg/#8</t>
  </si>
  <si>
    <t>DUMLOP</t>
  </si>
  <si>
    <t>KOVA</t>
  </si>
  <si>
    <t>AK75-04</t>
  </si>
  <si>
    <t>100 nhỏ</t>
  </si>
  <si>
    <t>400 nhỏ</t>
  </si>
  <si>
    <t>001</t>
  </si>
  <si>
    <t>003</t>
  </si>
  <si>
    <t>07/03/2024 14/03/2024</t>
  </si>
  <si>
    <t>LET/A02</t>
  </si>
  <si>
    <t>16/02/2024 14/03/2024</t>
  </si>
  <si>
    <t>11/03/2024 14/03/2024</t>
  </si>
  <si>
    <t>08/03/2024 14/03/2024</t>
  </si>
  <si>
    <t>4040002S</t>
  </si>
  <si>
    <t>4040002M</t>
  </si>
  <si>
    <t>4040002L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</si>
  <si>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</si>
  <si>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02/03/2024 04/03/2024 14/03/2024</t>
  </si>
  <si>
    <t>9ab1/dg/dg</t>
  </si>
  <si>
    <t>12/03/2024 14/03/2024</t>
  </si>
  <si>
    <t>#11/#10</t>
  </si>
  <si>
    <t>OF2400084</t>
  </si>
  <si>
    <t>1 THÙNG/10 TỜ GIẤY TM</t>
  </si>
  <si>
    <t>OF2400086</t>
  </si>
  <si>
    <t xml:space="preserve">26/1/2024 qc tổng đơn dư  99 hộp </t>
  </si>
  <si>
    <t>a21</t>
  </si>
  <si>
    <t>220 tem</t>
  </si>
  <si>
    <t>350 tem</t>
  </si>
  <si>
    <t>195 tem</t>
  </si>
  <si>
    <t>4/3/2024 ncc giao 7470 +75 hộp bù hàng lỗi  15/3/2024 đg lãnh</t>
  </si>
  <si>
    <t>02/02/2024 15/03/2024</t>
  </si>
  <si>
    <t>002</t>
  </si>
  <si>
    <t>AT02-03</t>
  </si>
  <si>
    <t>TOP</t>
  </si>
  <si>
    <t>15/03/2024 16/03/2024</t>
  </si>
  <si>
    <t>nhỏ</t>
  </si>
  <si>
    <t>1b/b07</t>
  </si>
  <si>
    <t>a16</t>
  </si>
  <si>
    <t>#3#9</t>
  </si>
  <si>
    <t xml:space="preserve">1 THÙNG 1 TỜ TM  hợp lệ (10 TEM NHỎ </t>
  </si>
  <si>
    <t>c226</t>
  </si>
  <si>
    <t>15/03/2024 15/03/2024 19/03/2024</t>
  </si>
  <si>
    <t>1b/cửa/a17/a20</t>
  </si>
  <si>
    <t>ES22-12</t>
  </si>
  <si>
    <t>ES22-13</t>
  </si>
  <si>
    <t>c11</t>
  </si>
  <si>
    <t>K-05</t>
  </si>
  <si>
    <t>XS 54 thùng chuyển long  khánh</t>
  </si>
  <si>
    <t>LK CHYỂN BÁN</t>
  </si>
  <si>
    <t>#12ab2</t>
  </si>
  <si>
    <t>VBWN04-02</t>
  </si>
  <si>
    <t>XL chuyển lk 575 thùng</t>
  </si>
  <si>
    <t>24/01/2024 26/01/2024 24/02/2024</t>
  </si>
  <si>
    <t>ES22-14</t>
  </si>
  <si>
    <t>2A</t>
  </si>
  <si>
    <t>1B/2A</t>
  </si>
  <si>
    <t>24E29323</t>
  </si>
  <si>
    <t>A11</t>
  </si>
  <si>
    <t>16/03/2024 18/03/2024 20/03/2024</t>
  </si>
  <si>
    <t>#8/#8/#8#6ab2</t>
  </si>
  <si>
    <t>16/03/2024 16/03/2024 20/03/2024</t>
  </si>
  <si>
    <t>dg/#10/#10#6ab1</t>
  </si>
  <si>
    <t>KN 37</t>
  </si>
  <si>
    <t>6+7</t>
  </si>
  <si>
    <t>có giấy tm hợp lệ</t>
  </si>
  <si>
    <t>#3#7#9</t>
  </si>
  <si>
    <t>04/03/2024 21/03/2024</t>
  </si>
  <si>
    <t>11/03/2024 18/03/2024 22/03/2024</t>
  </si>
  <si>
    <t>8500068889
 8500069055</t>
  </si>
  <si>
    <t xml:space="preserve">5000291365 
 5000342780 </t>
  </si>
  <si>
    <t>21/03/2024 22/03/2024</t>
  </si>
  <si>
    <t>VBWN05-02</t>
  </si>
  <si>
    <t>22/03/2024 23/03/2024</t>
  </si>
  <si>
    <t>#3#9#7#14</t>
  </si>
  <si>
    <t>#6ab1#10</t>
  </si>
  <si>
    <t>#7#3#9#14</t>
  </si>
  <si>
    <t>21/03/2024 23/03/2024</t>
  </si>
  <si>
    <t>#9#3#7/dg</t>
  </si>
  <si>
    <t>#3/dg/dg/#3/dg /#9</t>
  </si>
  <si>
    <t xml:space="preserve">25/3/2024 đg =&gt; #5    40 thùng  </t>
  </si>
  <si>
    <t xml:space="preserve">25/3/2024 đg =&gt;  #5    106 thùng </t>
  </si>
  <si>
    <t>UB37-05</t>
  </si>
  <si>
    <t>LK 500 NBR 300</t>
  </si>
  <si>
    <t>thùng lỗi trả ncc   25/3/2024 giao lại 100+7</t>
  </si>
  <si>
    <t>13/03/2024 22/03/2024</t>
  </si>
  <si>
    <t xml:space="preserve">26/3/2024 đg =&gt; #5    168 thùng </t>
  </si>
  <si>
    <t>#3#7#9#14</t>
  </si>
  <si>
    <t>26/03/2024 27/03/2024</t>
  </si>
  <si>
    <t>12 thùng ht+47 ht chuyển lk</t>
  </si>
  <si>
    <t>20/03/2024 27/03/2024</t>
  </si>
  <si>
    <t>20/03/2024 26/03/2024</t>
  </si>
  <si>
    <t>EVGU-59</t>
  </si>
  <si>
    <t>ĐẶT THÊM</t>
  </si>
  <si>
    <t>VBWN04-01</t>
  </si>
  <si>
    <t>VBWN01-04</t>
  </si>
  <si>
    <t>97+100 DT</t>
  </si>
  <si>
    <t>EVGU-31</t>
  </si>
  <si>
    <t>27/03/2024 28/03/2024</t>
  </si>
  <si>
    <t xml:space="preserve">lk 65 t nbr 35 thùng </t>
  </si>
  <si>
    <t>22/03/2024 27/03/2024</t>
  </si>
  <si>
    <t>#2ab/#2a</t>
  </si>
  <si>
    <t xml:space="preserve">25+27/3/2024 đg =&gt; #5    32 +30thùng   </t>
  </si>
  <si>
    <t>#11ab2a1</t>
  </si>
  <si>
    <t xml:space="preserve"> đáy</t>
  </si>
  <si>
    <t>lk chuyển bán 29/3/2024</t>
  </si>
  <si>
    <t xml:space="preserve">28/3/2024 đg trả kho 20 thùng +200 hộp </t>
  </si>
  <si>
    <t>28/03/2024 29/03/2024</t>
  </si>
  <si>
    <t>80043669 xuất kho  29/3/2024</t>
  </si>
  <si>
    <t>CCL-23150</t>
  </si>
  <si>
    <t>tmbb lấy 2 thùng (191+192)</t>
  </si>
  <si>
    <t>29/03/2024 29/03/2024</t>
  </si>
  <si>
    <t>dg/#2ab</t>
  </si>
  <si>
    <t>26/03/2024 29/03/2024 29/03/2024</t>
  </si>
  <si>
    <t>dg/dg/#3#7#9#14</t>
  </si>
  <si>
    <t>#11a1ab2</t>
  </si>
  <si>
    <t>26/03/2024 30/03/2024</t>
  </si>
  <si>
    <t>29/03/2024 30/03/2024</t>
  </si>
  <si>
    <t>dg/#11a1b1</t>
  </si>
  <si>
    <t xml:space="preserve"> sp</t>
  </si>
  <si>
    <t>sp</t>
  </si>
  <si>
    <t>tmbb lấy 1 thùng ht   1/4/2024 (hiền )</t>
  </si>
  <si>
    <t>24/02/2024 28/02/2024</t>
  </si>
  <si>
    <t xml:space="preserve"> #2</t>
  </si>
  <si>
    <t>#3#7#14</t>
  </si>
  <si>
    <t>dg=&gt;#4   54 thùng 1/4/2024</t>
  </si>
  <si>
    <t>dg=&gt;#4   28 thùng 1/4/2024</t>
  </si>
  <si>
    <t>tmbb lấy   5 hộp  02/04/2024 (châu )</t>
  </si>
  <si>
    <t>EVGU-22</t>
  </si>
  <si>
    <t>2000001308-6000-</t>
  </si>
  <si>
    <t>B09</t>
  </si>
  <si>
    <t xml:space="preserve">lk chuyển bán 30/3/2024  kho lk nhận bao bì chỉ chuyển số lượng đóng gói yêu cầu qua  gd-nbr </t>
  </si>
  <si>
    <t xml:space="preserve">lk chuyển bán 2/4/2024  kho lk nhận bao bì chỉ chuyển số lượng đóng gói yêu cầu qua  gd-nbr </t>
  </si>
  <si>
    <t>lk làm 560</t>
  </si>
  <si>
    <t xml:space="preserve">2/4/2024   đg cho ký lại  phiếu lãnh bb </t>
  </si>
  <si>
    <t>30/03/2024 02/04/2024</t>
  </si>
  <si>
    <t>#12ab2 /#12ab2</t>
  </si>
  <si>
    <t>30/03/2024 02/03/2024</t>
  </si>
  <si>
    <t>#1/#1</t>
  </si>
  <si>
    <t>VEGD05-08</t>
  </si>
  <si>
    <t>VEGD05-09</t>
  </si>
  <si>
    <t>VEGD05-10</t>
  </si>
  <si>
    <t>VEGD05-11</t>
  </si>
  <si>
    <t>2000001300-EVGU-54 sử dụng tồn kho 2000001087(S-200PCS, M-200PCS,
L-480PCS) để đóng
số lượng hộp còn dư S-140PCS+M-460PCS+L-280PCS TOTAL 880PCS để
sử dụng cho đơn hàng  2000001331</t>
  </si>
  <si>
    <t>VEGD05-12</t>
  </si>
  <si>
    <t>VEGD05-13</t>
  </si>
  <si>
    <t>VEGD05-14</t>
  </si>
  <si>
    <t>26/03/2024 03/04/2024</t>
  </si>
  <si>
    <t>#6ab1#10 /#10</t>
  </si>
  <si>
    <t>400 nắp</t>
  </si>
  <si>
    <t>30/03/2024 04/04/2024 04/04/2024</t>
  </si>
  <si>
    <t>#6ab2/6ab2/dg</t>
  </si>
  <si>
    <t>#6ab1/6AB1/dg</t>
  </si>
  <si>
    <t>27/03/2024 05/04/2024</t>
  </si>
  <si>
    <t>28/03/2024 05/04/2024</t>
  </si>
  <si>
    <t>03/04/2024 05/04/2024</t>
  </si>
  <si>
    <t>80043954  xuất kho 6/4/2024</t>
  </si>
  <si>
    <t>80043955 xuất kho ngày 6/4/2024</t>
  </si>
  <si>
    <t>80043956 xuất kho ngày 6/4/2024</t>
  </si>
  <si>
    <t>80043957 xuất kho ngày 6/4/2024</t>
  </si>
  <si>
    <t>80043958 xuất kho ngày 6/4/2024</t>
  </si>
  <si>
    <t>hàng tặng 8 thùng +40 hộp chuyển lk</t>
  </si>
  <si>
    <t xml:space="preserve">#2a </t>
  </si>
  <si>
    <t>#3+7+14</t>
  </si>
  <si>
    <t>04/04/2024 06/04/2024</t>
  </si>
  <si>
    <t xml:space="preserve">#2b </t>
  </si>
  <si>
    <t>#11+12</t>
  </si>
  <si>
    <t>đg/#12ab2</t>
  </si>
  <si>
    <t>03/04/2024 06/04/2024</t>
  </si>
  <si>
    <t xml:space="preserve">5000402467 5000421306 </t>
  </si>
  <si>
    <t xml:space="preserve">đg </t>
  </si>
  <si>
    <t xml:space="preserve">WL </t>
  </si>
  <si>
    <t>B12</t>
  </si>
  <si>
    <t>058/04/2024</t>
  </si>
  <si>
    <t>05/04/2024 08/04/2024</t>
  </si>
  <si>
    <t xml:space="preserve">#4/đg </t>
  </si>
  <si>
    <t>30/03/2024 30/03/2024 09/04/2024</t>
  </si>
  <si>
    <t>5000379174 5000427846</t>
  </si>
  <si>
    <t>28/03/2024 30/03/2024 09/04/2024</t>
  </si>
  <si>
    <t>02/04/2024 09/04/2024</t>
  </si>
  <si>
    <t>5000393473 5000427880</t>
  </si>
  <si>
    <t>27/03/2024 28/03/2024 09/04/2024</t>
  </si>
  <si>
    <t>2024-04-08 2024-04-09</t>
  </si>
  <si>
    <t>đg /11ab2</t>
  </si>
  <si>
    <t>đg/#11ab1#12ab1</t>
  </si>
  <si>
    <t>BF405272278</t>
  </si>
  <si>
    <t>UM33-19</t>
  </si>
  <si>
    <t>BF405272279</t>
  </si>
  <si>
    <t>BF405272281</t>
  </si>
  <si>
    <t>BF405272282</t>
  </si>
  <si>
    <t>BF405272285</t>
  </si>
  <si>
    <t>BF405272287</t>
  </si>
  <si>
    <t>BF405272291</t>
  </si>
  <si>
    <t>BF405272280</t>
  </si>
  <si>
    <t>BF405272283</t>
  </si>
  <si>
    <t>BF405272284</t>
  </si>
  <si>
    <t>BF405272286</t>
  </si>
  <si>
    <t>BF405272288</t>
  </si>
  <si>
    <t>BF405272289</t>
  </si>
  <si>
    <t>BF405272290</t>
  </si>
  <si>
    <t>BF405272292</t>
  </si>
  <si>
    <t>BF405272293</t>
  </si>
  <si>
    <t>BF405272294</t>
  </si>
  <si>
    <t>BF405272295</t>
  </si>
  <si>
    <t>BF405272296</t>
  </si>
  <si>
    <t>BF405272297</t>
  </si>
  <si>
    <t>BF405272298</t>
  </si>
  <si>
    <t>BF405272299</t>
  </si>
  <si>
    <t xml:space="preserve">tồn kho </t>
  </si>
  <si>
    <t>thùng lỗi  trả ncc  28/3/2024 ncc giao lại  350+8 (ht giao 11/4 )</t>
  </si>
  <si>
    <t>thùng lỗi  trả ncc  28/3/2024 ncc giao lại  640+12 (ht giao 11/4 )</t>
  </si>
  <si>
    <t>d14/d15</t>
  </si>
  <si>
    <t>d17/d18</t>
  </si>
  <si>
    <t>#10#6ab1</t>
  </si>
  <si>
    <t>09/04/2024 11/04/2024</t>
  </si>
  <si>
    <t>06/04/2024 11/04/2024</t>
  </si>
  <si>
    <t>AT03-03</t>
  </si>
  <si>
    <t>240430N</t>
  </si>
  <si>
    <t>AT03-06</t>
  </si>
  <si>
    <t>240521N</t>
  </si>
  <si>
    <t>EE05-02</t>
  </si>
  <si>
    <t>EE05-03</t>
  </si>
  <si>
    <t>12/4/2024 lên cont trả dư 1 thùng</t>
  </si>
  <si>
    <t>28/03/2024 12/04/2024</t>
  </si>
  <si>
    <t>27/03/2024 12/04/2024</t>
  </si>
  <si>
    <t>e40/e44</t>
  </si>
  <si>
    <t xml:space="preserve"> L qc tổng đơn 1 thùng hư trả kho nhưng thực tế ko có kho lấy 1 thùng hàng tặng bù cho đủ đơn đã báo qc (11/4/2024)</t>
  </si>
  <si>
    <t>12/04/2024 12/04/2024</t>
  </si>
  <si>
    <t>11/04/2024 12/04/2024</t>
  </si>
  <si>
    <t xml:space="preserve">11/4/2024 lên cont bù 1 thùng </t>
  </si>
  <si>
    <t>04/04/2024 13/04/2024</t>
  </si>
  <si>
    <t>#3#7#5#14</t>
  </si>
  <si>
    <t xml:space="preserve">#6ab1#10 </t>
  </si>
  <si>
    <t>08/04/2024 10/04/2024 13/04/2024</t>
  </si>
  <si>
    <t xml:space="preserve">5/4/2024 qc tổng đơn thiếu 1 thùng </t>
  </si>
  <si>
    <t xml:space="preserve"> 15739.0</t>
  </si>
  <si>
    <t>KW02240208</t>
  </si>
  <si>
    <t>15/4/52024</t>
  </si>
  <si>
    <t>15/04/2024 16/04/2024</t>
  </si>
  <si>
    <t>64NA2401GSP</t>
  </si>
  <si>
    <t>EG84-05</t>
  </si>
  <si>
    <t>16/04/2024 17/04/2024</t>
  </si>
  <si>
    <t>cửa/d05</t>
  </si>
  <si>
    <t>4060576S</t>
  </si>
  <si>
    <t>4060576M</t>
  </si>
  <si>
    <t>4060576L</t>
  </si>
  <si>
    <t>4060576XL</t>
  </si>
  <si>
    <t>4060577S</t>
  </si>
  <si>
    <t>4060577M</t>
  </si>
  <si>
    <t>4060577L</t>
  </si>
  <si>
    <t>4060577XL</t>
  </si>
  <si>
    <t>4060578L</t>
  </si>
  <si>
    <t>4060578S</t>
  </si>
  <si>
    <t>4060578M</t>
  </si>
  <si>
    <t>4060578XL</t>
  </si>
  <si>
    <t>LYBERTY</t>
  </si>
  <si>
    <t>S chuyển lk</t>
  </si>
  <si>
    <t>S+L chuyển lk</t>
  </si>
  <si>
    <t>AMZN-01</t>
  </si>
  <si>
    <t>AMZN-05</t>
  </si>
  <si>
    <t>L :30 thùng LK làm</t>
  </si>
  <si>
    <t>A20A21</t>
  </si>
  <si>
    <t>#4#12</t>
  </si>
  <si>
    <t>499 tem</t>
  </si>
  <si>
    <t>374 tem</t>
  </si>
  <si>
    <t>179 tem</t>
  </si>
  <si>
    <t>đg  tự xuống kho xác nhận kéo lên chuyền (kho nghỉ lễ)</t>
  </si>
  <si>
    <t>17/04/2024 19/04/2024</t>
  </si>
  <si>
    <t>#4#7#3#5</t>
  </si>
  <si>
    <t>POB84903</t>
  </si>
  <si>
    <t>POB84904</t>
  </si>
  <si>
    <t>PMP0724A</t>
  </si>
  <si>
    <t>PM0724A</t>
  </si>
  <si>
    <t>DÂY+GIẤY</t>
  </si>
  <si>
    <t>19/04/2024 22/04/2024</t>
  </si>
  <si>
    <t>5 thùng bị lỗi   22/4  ncc giao bù 5+7 thùng</t>
  </si>
  <si>
    <t>#7#14#3#5</t>
  </si>
  <si>
    <t>#3#5#7#14</t>
  </si>
  <si>
    <t>#7#14#5#3</t>
  </si>
  <si>
    <t>39 thùng  rách 22/4/2024 ncc giao bù 36+4</t>
  </si>
  <si>
    <t>33 thùng bị lỗi  22/4/2024 ncc giao 3 thùng</t>
  </si>
  <si>
    <t>ô1/1b</t>
  </si>
  <si>
    <t>d23/1b/d23</t>
  </si>
  <si>
    <t>EE04-37</t>
  </si>
  <si>
    <t>PM2405094</t>
  </si>
  <si>
    <t>1 THÙNG/1 TỜ TM</t>
  </si>
  <si>
    <t>EUROMEDIS</t>
  </si>
  <si>
    <t>PM2406096</t>
  </si>
  <si>
    <t>PM2406097</t>
  </si>
  <si>
    <t xml:space="preserve">22/4 đg chuyển qua #2a 240 thùng </t>
  </si>
  <si>
    <t>22/4/2024 dg chuyển qua #6ab1 12 thùng</t>
  </si>
  <si>
    <t>19/04/2024 20/04/2024 22/04/2024</t>
  </si>
  <si>
    <t xml:space="preserve">M 23/4 LK chuyển    8500 HỘP </t>
  </si>
  <si>
    <t>1/4/2024 thùng chuyển qua lk ngày 23/4 lk chuyển qua  nbr lại</t>
  </si>
  <si>
    <t>24E29525</t>
  </si>
  <si>
    <t>AK04-29</t>
  </si>
  <si>
    <t>KW24031501</t>
  </si>
  <si>
    <t>PS00000319</t>
  </si>
  <si>
    <t>M thùng   gd-nbr làm kiểm nghiệm   32</t>
  </si>
  <si>
    <t>cửa/d11</t>
  </si>
  <si>
    <t>#3+5+7+13</t>
  </si>
  <si>
    <t>đg =&gt; #9 48 thùng 23/04/2024</t>
  </si>
  <si>
    <t>09/04/2024 23/04/2024</t>
  </si>
  <si>
    <t>#3#5#7#13</t>
  </si>
  <si>
    <t>dg/#4#12</t>
  </si>
  <si>
    <t>AK 04-48</t>
  </si>
  <si>
    <t>PS00009943</t>
  </si>
  <si>
    <t>24E29524</t>
  </si>
  <si>
    <t>AK 04-29</t>
  </si>
  <si>
    <t>YNP01240305</t>
  </si>
  <si>
    <t>23/04/2024 24/04/2024</t>
  </si>
  <si>
    <t>a17+a24</t>
  </si>
  <si>
    <t>EG 10-08</t>
  </si>
  <si>
    <t>344 tem</t>
  </si>
  <si>
    <t>1440tem</t>
  </si>
  <si>
    <t xml:space="preserve">1/4/2024 chuyển hộp lk  ngày 23+25/4 lk chuyển lại qua gd-nbr </t>
  </si>
  <si>
    <t>23/04/2024 25/04/2024</t>
  </si>
  <si>
    <t>BSA20240318A</t>
  </si>
  <si>
    <t>D15</t>
  </si>
  <si>
    <t>KW24041101</t>
  </si>
  <si>
    <t xml:space="preserve">25/4/2024 dg chuyển qua #12    20 thùng </t>
  </si>
  <si>
    <t>15/04/2024 16/04/2024 26/04/2024</t>
  </si>
  <si>
    <t xml:space="preserve">lk nhận gd-nbr nhập sap 
80044557   26/4/2024  xuất kho </t>
  </si>
  <si>
    <t>lên cont bù 1 thùng     ko còn thùng lưa mẫu</t>
  </si>
  <si>
    <t>25/04/2024 26/04/2024</t>
  </si>
  <si>
    <t>22/04/2024 26/04/2024</t>
  </si>
  <si>
    <t>1b/2a/c23</t>
  </si>
  <si>
    <t>a28/a29</t>
  </si>
  <si>
    <t xml:space="preserve">25+26/4/2024 dg chuyển qua #12    14+30 thùng </t>
  </si>
  <si>
    <t xml:space="preserve">25+26/4/2024 dg chuyển qua #12    40+12 thùng </t>
  </si>
  <si>
    <t>e32/e34</t>
  </si>
  <si>
    <t>2b</t>
  </si>
  <si>
    <t xml:space="preserve">1382 hộp lỗi   ngày 27/4/2024 ncc giao  1380 hộp </t>
  </si>
  <si>
    <t>18/03/2024 27/04/2024</t>
  </si>
  <si>
    <t>dg/#3#5#7#13</t>
  </si>
  <si>
    <t>23/04/2024 27/04/2024 27/04/2024</t>
  </si>
  <si>
    <t>đg/dg/#14</t>
  </si>
  <si>
    <t>27/04/2024 17/04/2024</t>
  </si>
  <si>
    <t>27/04/2024 27/04/2024</t>
  </si>
  <si>
    <t>AT98-01</t>
  </si>
  <si>
    <t>24E30572</t>
  </si>
  <si>
    <t>TEIJIN</t>
  </si>
  <si>
    <t xml:space="preserve">26/4/2024 lk chuyển bán </t>
  </si>
  <si>
    <t>24/04/2024 29/04/2024</t>
  </si>
  <si>
    <t>23/04/2024 29/04/2024</t>
  </si>
  <si>
    <t>VBWN05-06</t>
  </si>
  <si>
    <t>09/04/2024 29/04/2024</t>
  </si>
  <si>
    <t>dg /dg</t>
  </si>
  <si>
    <t>VBWN05-05</t>
  </si>
  <si>
    <t>29/4/2024 LK chuyển 500 thùng+5000 hộp  #3#7#13#5</t>
  </si>
  <si>
    <t>VBWN05-08</t>
  </si>
  <si>
    <t>#6AB1#9</t>
  </si>
  <si>
    <t>#1A</t>
  </si>
  <si>
    <t>#2B</t>
  </si>
  <si>
    <t>YNP01240213</t>
  </si>
  <si>
    <t>36 đáy</t>
  </si>
  <si>
    <t>#6#9</t>
  </si>
  <si>
    <t>a22</t>
  </si>
  <si>
    <t>29/04/2024 02/05/2024</t>
  </si>
  <si>
    <t>lk chyển bán</t>
  </si>
  <si>
    <t xml:space="preserve"> bb tặng chuyển lk  2/5/2024</t>
  </si>
  <si>
    <t>02/05/2024 03/05/2024</t>
  </si>
  <si>
    <t>M 3/5/2024 lên cont đg cho bù 1 thùng  không bù hộp</t>
  </si>
  <si>
    <t>27/04/2024 03/05/2024</t>
  </si>
  <si>
    <t>e33</t>
  </si>
  <si>
    <t>E37/D26</t>
  </si>
  <si>
    <t>E44</t>
  </si>
  <si>
    <t xml:space="preserve">2/5/2024 QC TỔNG ĐƠN THIẾU 1 THÙNG  </t>
  </si>
  <si>
    <t>13/04/2024 03/05/2024</t>
  </si>
  <si>
    <t>#9/#9</t>
  </si>
  <si>
    <t>30/04/2024 03/05/2024</t>
  </si>
  <si>
    <t>#3#5/#3#5</t>
  </si>
  <si>
    <t>#4#12/#4</t>
  </si>
  <si>
    <t>29/04/2024 03/05/2024</t>
  </si>
  <si>
    <t>#14/#14</t>
  </si>
  <si>
    <t>lk chuyển bán</t>
  </si>
  <si>
    <t>03/05/2024 04/05/2024</t>
  </si>
  <si>
    <t xml:space="preserve"> M hàng đã xuất 4/5/2024 đg lấy 20 thùng hàng tặng gửi qua lk xử lý thùng hư đơn khác </t>
  </si>
  <si>
    <t>YNP1240401</t>
  </si>
  <si>
    <t>PS00010013</t>
  </si>
  <si>
    <t>YNP1140401</t>
  </si>
  <si>
    <t>24F29836</t>
  </si>
  <si>
    <t>24E29837</t>
  </si>
  <si>
    <t>24F29838</t>
  </si>
  <si>
    <t>UL95-01</t>
  </si>
  <si>
    <t>LIVE HEALTCARE</t>
  </si>
  <si>
    <t>BF405302936</t>
  </si>
  <si>
    <t>EVGU-39</t>
  </si>
  <si>
    <t>16/04/2024 19/04/2024 04/05/2024</t>
  </si>
  <si>
    <t>#2a/#2a/#7</t>
  </si>
  <si>
    <t>#11ab1#6ab1</t>
  </si>
  <si>
    <t>20/04/2024 24/04/2024 27/04/2024 04/05/2024</t>
  </si>
  <si>
    <t>dg/dg/dg/dg</t>
  </si>
  <si>
    <t xml:space="preserve">sử dụng 1 thùng  tồn kho 6000025772  AW30-02/2  +6000030170  S 1 thùng </t>
  </si>
  <si>
    <t>2220 tem</t>
  </si>
  <si>
    <t>670 tem</t>
  </si>
  <si>
    <t>570 tem</t>
  </si>
  <si>
    <t>1330 tem</t>
  </si>
  <si>
    <t>1640 tem</t>
  </si>
  <si>
    <t>500 tem</t>
  </si>
  <si>
    <t>1000 tem</t>
  </si>
  <si>
    <t>1440 tem</t>
  </si>
  <si>
    <t>29/04/2024 06/05/2024</t>
  </si>
  <si>
    <t>23/03/2024 06/05/2024</t>
  </si>
  <si>
    <t>lk /dg</t>
  </si>
  <si>
    <t>22/04/2024 07/05/2024</t>
  </si>
  <si>
    <t>tmbb lấy 20 hộp  7/05/2024</t>
  </si>
  <si>
    <t>A29</t>
  </si>
  <si>
    <t xml:space="preserve">6/5/2024 lk chuyển  qua17 thùng 150 hộp 29 nắp hàng tặng </t>
  </si>
  <si>
    <t>6000029779-OF44034</t>
  </si>
  <si>
    <t>06/05/2024 07/05/2024</t>
  </si>
  <si>
    <t>#1B/dg</t>
  </si>
  <si>
    <t>5 thùng bị lỗi  ncc giao lại 5+2 thùng (24/04/2024)</t>
  </si>
  <si>
    <t>lk nhận 8750 hộp GD-NBR  nhận 250 +80 hộp gửi lk</t>
  </si>
  <si>
    <t>#5#5/lk</t>
  </si>
  <si>
    <t xml:space="preserve"> 1 thùng bị lỗi  ngày 9/5/2024 ncc giao  bù 1+2 thùng</t>
  </si>
  <si>
    <t>#8#6</t>
  </si>
  <si>
    <t>26/04/2024 09/05/2024</t>
  </si>
  <si>
    <t>#14#4#/#4#12</t>
  </si>
  <si>
    <t>lk/#3#5</t>
  </si>
  <si>
    <t>02/05/2024 04/05/2024 07/05/2024 09/05/2024</t>
  </si>
  <si>
    <t>#11ab2/#11ab2/#11ab2</t>
  </si>
  <si>
    <t>04/05/2024 09/05/2024</t>
  </si>
  <si>
    <t xml:space="preserve">#8/#8#6/đg </t>
  </si>
  <si>
    <t>25/04/2024 29/04/2024 09/05/2024</t>
  </si>
  <si>
    <t>dg/dg/đg</t>
  </si>
  <si>
    <t xml:space="preserve">dg/đg </t>
  </si>
  <si>
    <t>EG 10-09</t>
  </si>
  <si>
    <t xml:space="preserve">đg  </t>
  </si>
  <si>
    <t xml:space="preserve">METRO </t>
  </si>
  <si>
    <t xml:space="preserve">1020 nắp </t>
  </si>
  <si>
    <t>AK 04-27</t>
  </si>
  <si>
    <t>KW24031507</t>
  </si>
  <si>
    <t>KW24031502</t>
  </si>
  <si>
    <t>KW24031503</t>
  </si>
  <si>
    <t>KW24031505</t>
  </si>
  <si>
    <t xml:space="preserve">5000572832 5000578180 </t>
  </si>
  <si>
    <t>09/05/2024  11/05/2024</t>
  </si>
  <si>
    <t>b17+d02</t>
  </si>
  <si>
    <t>10/05/2024 11/05/2024</t>
  </si>
  <si>
    <t>11/05/2024 13/05/2024</t>
  </si>
  <si>
    <t>hàng tặng lk chuyển qua lên cont ngày 10/5</t>
  </si>
  <si>
    <t>24E30177002</t>
  </si>
  <si>
    <t>24E30177003</t>
  </si>
  <si>
    <t>24E30175002</t>
  </si>
  <si>
    <t>24E30175003</t>
  </si>
  <si>
    <t>11/05/2024 14/05/2024</t>
  </si>
  <si>
    <t>09/05/2024 13/05/2024</t>
  </si>
  <si>
    <t>lk/#3</t>
  </si>
  <si>
    <t>24E30173002</t>
  </si>
  <si>
    <t>thùng lỗi  trả ncc  14/5/2024 ncc giao lại 170+4</t>
  </si>
  <si>
    <t>2a/cửa</t>
  </si>
  <si>
    <t xml:space="preserve">lk nhạn </t>
  </si>
  <si>
    <t>08/05/2024 13/05/2024</t>
  </si>
  <si>
    <t>08/05/2024 14/05/2024</t>
  </si>
  <si>
    <t>13/05/2024 14/05/2024</t>
  </si>
  <si>
    <t>#10/#10</t>
  </si>
  <si>
    <t>25/04/2024 29/04/2024</t>
  </si>
  <si>
    <t xml:space="preserve">s lên cont lk ko gửi hàng tặng qua </t>
  </si>
  <si>
    <t xml:space="preserve"> hộp M+L  long khánh   ký phiếu giao hàng   </t>
  </si>
  <si>
    <t>hộp sử dụng tồn kho 2000001300</t>
  </si>
  <si>
    <t>hộp sử dụng tồn kho 2000001087</t>
  </si>
  <si>
    <t>15/5/2024 đg chuyển qua #3   148 thùng</t>
  </si>
  <si>
    <t>#10#6</t>
  </si>
  <si>
    <t>tem /bịch</t>
  </si>
  <si>
    <t>07/05/2024 16/05/2024</t>
  </si>
  <si>
    <t>23/4/2024 chyển bb qua lk ngày 17/5/2024 lk chyển lại gd-nbr</t>
  </si>
  <si>
    <t>AK04-26</t>
  </si>
  <si>
    <t>AK04-27</t>
  </si>
  <si>
    <t>AN40-03</t>
  </si>
  <si>
    <t>AK04-46</t>
  </si>
  <si>
    <t>AK04-58</t>
  </si>
  <si>
    <t>#13#7</t>
  </si>
  <si>
    <t>17/5/2004 đg chuyển qua #3  133 thùng</t>
  </si>
  <si>
    <t>15/05/2024 17/05/2024</t>
  </si>
  <si>
    <t>16/05/2024 17/05/2024</t>
  </si>
  <si>
    <t>08/05/2024 17/05/2024</t>
  </si>
  <si>
    <t>16/05/2024 18/05/2024</t>
  </si>
  <si>
    <t>10/05/2024 18/05/2024</t>
  </si>
  <si>
    <t>11/05/2024 17/05/2024 18/05/2024</t>
  </si>
  <si>
    <t>dg/dg/#8</t>
  </si>
  <si>
    <t>#2/#2</t>
  </si>
  <si>
    <t>VI SING PACK</t>
  </si>
  <si>
    <t>20/5/2024 đg chuyển qua #3  30 thùng</t>
  </si>
  <si>
    <t>20/5/2024 đg chuyển qua #3  72 thùng</t>
  </si>
  <si>
    <t>54+10bbt</t>
  </si>
  <si>
    <t>65+10 bbt</t>
  </si>
  <si>
    <t>17/05/2024 21/05/2024</t>
  </si>
  <si>
    <t>29/04/2024 07/05/2024 13/05/2024</t>
  </si>
  <si>
    <t>24E30176002</t>
  </si>
  <si>
    <t>24E30174001</t>
  </si>
  <si>
    <t>24E30178001</t>
  </si>
  <si>
    <t>PS00010079</t>
  </si>
  <si>
    <t>24E30397</t>
  </si>
  <si>
    <t>23/4/2024 chyển bb qua lk ngày 21/5/2024 lk chyển lại gd-nbr</t>
  </si>
  <si>
    <t>21/05/2024 dg  chuyển qua #10#6   138 thùng</t>
  </si>
  <si>
    <t>17+18+21/5/2024 dg chuyển qua #3   36 +44+48</t>
  </si>
  <si>
    <t>22/05/2024 đg chuyển qua #10#6    147 thùng</t>
  </si>
  <si>
    <t>21/05/2024 23/05/2024</t>
  </si>
  <si>
    <t>chuồng chó</t>
  </si>
  <si>
    <t>số lượng còn lại trong đơn lk nhận</t>
  </si>
  <si>
    <t xml:space="preserve"> M</t>
  </si>
  <si>
    <t xml:space="preserve">số lượng còn lại trong đơn kho lk nhận </t>
  </si>
  <si>
    <t>hộp lk nhận  lần 1  gd-nbr  nhận lần 2 ncc giao lại làm kiểm nghiệm  23/05/2024  (dkn 40)</t>
  </si>
  <si>
    <t>JP2024/19</t>
  </si>
  <si>
    <t>NGL-014</t>
  </si>
  <si>
    <t>c/ chó</t>
  </si>
  <si>
    <t>17/05/2024 23/05/2024</t>
  </si>
  <si>
    <t>20/05/2024 24/05/2024</t>
  </si>
  <si>
    <t xml:space="preserve">24/5 đổi qua #10ab1+#6a1a2     1942 thùng </t>
  </si>
  <si>
    <t>#7#13</t>
  </si>
  <si>
    <t>13/04/2024 24/05/2024</t>
  </si>
  <si>
    <t>#12ab1/10ab2</t>
  </si>
  <si>
    <t>thùng lỗi  trả ncc   25/5/2024 ncc giao lại 300+7</t>
  </si>
  <si>
    <t>thùng lỗi  trả ncc   25/5/2024 ncc giao lại 6 t</t>
  </si>
  <si>
    <t>44 thùng bị lỗi 25/05/2024 ncc giao bù 60+2 thùng</t>
  </si>
  <si>
    <t>lk làm 30 thung /gd-nbr làm 75 thùng</t>
  </si>
  <si>
    <t>#6a1a2/#10</t>
  </si>
  <si>
    <t xml:space="preserve">18/05/2024 21/05/2024 </t>
  </si>
  <si>
    <t>18/05/2024 25/05/2024</t>
  </si>
  <si>
    <t>02/05/2024 25/05/2024</t>
  </si>
  <si>
    <t>hộp mất chữ trả ncc  20+25/5/2024 giao lại 15400+1100+150</t>
  </si>
  <si>
    <t>let/d05</t>
  </si>
  <si>
    <t>09/05/2024 27/05/2024</t>
  </si>
  <si>
    <t xml:space="preserve">lk chuyển bán  </t>
  </si>
  <si>
    <t>EB09-42</t>
  </si>
  <si>
    <t>EB09-58</t>
  </si>
  <si>
    <t>21/05/2024 25/05/2024 27/05/2024</t>
  </si>
  <si>
    <t>#6ab1/#6b1b2/6b1b2</t>
  </si>
  <si>
    <t xml:space="preserve">23+27/5/2024 đg chuyển qua #4#12  356 +52thùng </t>
  </si>
  <si>
    <t>23/5/2024 lên cont M bù 1 thùng +10 hộp (qc tổng đơn ngày 9/5 OK  ngày 23/5/2024 tổng đơn lại bị thiếu 1 thùng +10 hộp  )</t>
  </si>
  <si>
    <t>xs lk</t>
  </si>
  <si>
    <t>23/05/2024 29/05/2024</t>
  </si>
  <si>
    <t>295 thùng lk làm</t>
  </si>
  <si>
    <t>30/05/2024</t>
  </si>
  <si>
    <t>16/04/2024 29/05/2024</t>
  </si>
  <si>
    <t>#12ab2/10ab2</t>
  </si>
  <si>
    <t>#4+6</t>
  </si>
  <si>
    <t>#3+9</t>
  </si>
  <si>
    <t xml:space="preserve">dg </t>
  </si>
  <si>
    <t>27/05/2024 28/05/2024</t>
  </si>
  <si>
    <t>dg/đg</t>
  </si>
  <si>
    <t>21/05/2024 đg trả kho 206 thùng  khui  (đóng 6000027955)</t>
  </si>
  <si>
    <t>21/05/2024 đg trả kho320 thùng  khui  (đóng 6000027955)</t>
  </si>
  <si>
    <t>,</t>
  </si>
  <si>
    <t>DG/#13</t>
  </si>
  <si>
    <t>06/05/2024 08/05/2024</t>
  </si>
  <si>
    <t>03/05/2024 01/06/2024</t>
  </si>
  <si>
    <t>#4#6b1b2</t>
  </si>
  <si>
    <t>ô2</t>
  </si>
  <si>
    <t>PS00010098</t>
  </si>
  <si>
    <t>PS00010172</t>
  </si>
  <si>
    <t>PS00074544</t>
  </si>
  <si>
    <t>03/06/2024</t>
  </si>
  <si>
    <t>thùng hàng tặng thay lên cont lk chuyển qua 7/6/2024</t>
  </si>
  <si>
    <t>L 7 thùng +44 hộp  lk chuyển ht qua  8/6/2024</t>
  </si>
  <si>
    <t>2024-05-25 2024-06-03 07/06/2024</t>
  </si>
  <si>
    <t>#2b/đg /dg</t>
  </si>
  <si>
    <t>21/05/2024 08/06/2024</t>
  </si>
  <si>
    <t>120+10bbt+61 đt</t>
  </si>
  <si>
    <t>a</t>
  </si>
  <si>
    <t>28/05/2024 08/06/2024</t>
  </si>
  <si>
    <t xml:space="preserve">L  22/5/2024 qc  tổng đơn dư 146 tờ  trả kho </t>
  </si>
  <si>
    <t>08/06/2024 10/06/2024</t>
  </si>
  <si>
    <t>#4/#4</t>
  </si>
  <si>
    <t>A15</t>
  </si>
  <si>
    <t xml:space="preserve">13/6 đg trả kho 17 thùng </t>
  </si>
  <si>
    <t xml:space="preserve">13/6/2024 đg trả kho 17 thùng </t>
  </si>
  <si>
    <t>12/06/2024 13/06/2024</t>
  </si>
  <si>
    <t>04/06/2024 11/06/2024 14/06/2024</t>
  </si>
  <si>
    <t>dg/#1b/#1b</t>
  </si>
  <si>
    <t>ht  lk chuyển qua ngày 14/6/2024</t>
  </si>
  <si>
    <t xml:space="preserve">hộp lỗi trả ncc  17/6/2024 giao lại 1550+30 </t>
  </si>
  <si>
    <t>08/06/2024 17/06/2024</t>
  </si>
  <si>
    <t>17/05/2024 đg trả kho300 thùng  khui  (đóng 6000027955)
15/06/2024  đg trả kho 46 thùng  khui  (đg khui thành phẩm bị ẩm)</t>
  </si>
  <si>
    <t xml:space="preserve">lk chuyển ht qua 19/6/2024  </t>
  </si>
  <si>
    <t>17/06/2024 22/06/2024</t>
  </si>
  <si>
    <t xml:space="preserve">#1b/1b </t>
  </si>
  <si>
    <t>24/06/2024</t>
  </si>
  <si>
    <t>26/6/2024 dg trẩ 156 thùng (31381 )</t>
  </si>
  <si>
    <t>26/6/2024 dg trẩ 100 thùng (31381 )</t>
  </si>
  <si>
    <t>ht EG10-12 LK chuyển qua 27/6/2024</t>
  </si>
  <si>
    <t>UM33-21</t>
  </si>
  <si>
    <t>04/07/2024 13/07/2024</t>
  </si>
  <si>
    <t>#1a/dg</t>
  </si>
  <si>
    <t>03/05/2024 01/06/2024 13/06/2024 15/07/2024</t>
  </si>
  <si>
    <t>31/05/2024 17/07/2024</t>
  </si>
  <si>
    <t>15/02/2024 20/07/2024</t>
  </si>
  <si>
    <t>#1a/#2a</t>
  </si>
  <si>
    <t>SAFE-48</t>
  </si>
  <si>
    <t xml:space="preserve">Thảo 裴青草（EG） Thanh Huyền 清玄(EG) </t>
  </si>
  <si>
    <t>LK hỗ trợ NBR những đơn dưới, sắp xếp chuyển bb về LK giúp e nhé, e cảm ơn</t>
  </si>
  <si>
    <t>L:300cs</t>
  </si>
  <si>
    <t>S:35cs</t>
  </si>
  <si>
    <t>S:120cs</t>
  </si>
  <si>
    <t>M:700cs</t>
  </si>
  <si>
    <t>LANON USA</t>
  </si>
  <si>
    <t>S:150cs</t>
  </si>
  <si>
    <t>M:250cs</t>
  </si>
  <si>
    <t>-&gt; Cần bao bì 8/1</t>
  </si>
  <si>
    <t>M:255cs</t>
  </si>
  <si>
    <t>L:255cs</t>
  </si>
  <si>
    <t>PACIFIC PACKAGING</t>
  </si>
  <si>
    <t>M:150cs</t>
  </si>
  <si>
    <t>L:200cs</t>
  </si>
  <si>
    <t>S:100cs</t>
  </si>
  <si>
    <t>M:180cs</t>
  </si>
  <si>
    <t>L:135cs</t>
  </si>
  <si>
    <t>L:700cs</t>
  </si>
  <si>
    <t>L:30cs</t>
  </si>
  <si>
    <t>M:50cs</t>
  </si>
  <si>
    <t>-&gt; Cần bao bì 8/3</t>
  </si>
  <si>
    <t>S:73cs</t>
  </si>
  <si>
    <t>M:100cs</t>
  </si>
  <si>
    <t>L:100cs</t>
  </si>
  <si>
    <t>S:200cs</t>
  </si>
  <si>
    <t>XS:35cs</t>
  </si>
  <si>
    <t>L:40cs</t>
  </si>
  <si>
    <t xml:space="preserve">MDS </t>
  </si>
  <si>
    <t>L:660cs</t>
  </si>
  <si>
    <t>-&gt; Cần bao bì 8/5</t>
  </si>
  <si>
    <t>:</t>
  </si>
  <si>
    <t>S :35cs</t>
  </si>
  <si>
    <t>L:35cs</t>
  </si>
  <si>
    <t>S:110cs</t>
  </si>
  <si>
    <t>M:130cs</t>
  </si>
  <si>
    <t>S:450cs</t>
  </si>
  <si>
    <t>L:32cs</t>
  </si>
  <si>
    <t>M:16cs</t>
  </si>
  <si>
    <t>S:50cs</t>
  </si>
  <si>
    <t>-&gt; Cần bao bì 8/10</t>
  </si>
  <si>
    <t>M:4300cs</t>
  </si>
  <si>
    <t>L:3100cs</t>
  </si>
  <si>
    <t>S:500cs</t>
  </si>
  <si>
    <t>-&gt; Cần bao bì 8/15</t>
  </si>
  <si>
    <t>02/02/2024 15/02/2024 26/07/2024</t>
  </si>
  <si>
    <t>dg/#1b/#2b</t>
  </si>
  <si>
    <t>02/02/2024 03/02/2024 29/07/2024 05/08/2024</t>
  </si>
  <si>
    <t>dg/#1a/#2/#2</t>
  </si>
  <si>
    <t>AU01-33</t>
  </si>
  <si>
    <t xml:space="preserve">5/11/2024  chủ quản đổi 1 thùng (1972 )+2 hộp  </t>
  </si>
  <si>
    <t>20-35</t>
  </si>
  <si>
    <t xml:space="preserve">stt </t>
  </si>
  <si>
    <t>1-10</t>
  </si>
  <si>
    <t>88-100</t>
  </si>
  <si>
    <t>86-325</t>
  </si>
  <si>
    <t>35-120</t>
  </si>
  <si>
    <t>dg trả  kho 19/11/2024 18 thùng( B2)</t>
  </si>
  <si>
    <t>A</t>
  </si>
  <si>
    <t>B</t>
  </si>
  <si>
    <t>Warehouse Code</t>
  </si>
  <si>
    <t>Area Id</t>
  </si>
  <si>
    <t>Area Name</t>
  </si>
  <si>
    <t>C</t>
  </si>
  <si>
    <t>D</t>
  </si>
  <si>
    <t>E</t>
  </si>
  <si>
    <t>F</t>
  </si>
  <si>
    <t>G</t>
  </si>
  <si>
    <t>Bin Id</t>
  </si>
  <si>
    <t>Bin Name</t>
  </si>
  <si>
    <t>GDNBR</t>
  </si>
  <si>
    <t>NBRPKG</t>
  </si>
  <si>
    <t>NBR Packing warehouse</t>
  </si>
  <si>
    <t>H</t>
  </si>
  <si>
    <t>J</t>
  </si>
  <si>
    <t>K</t>
  </si>
  <si>
    <t>N</t>
  </si>
  <si>
    <t>O</t>
  </si>
  <si>
    <t>P</t>
  </si>
  <si>
    <t>Q</t>
  </si>
  <si>
    <t>R</t>
  </si>
  <si>
    <t>T</t>
  </si>
  <si>
    <t>U</t>
  </si>
  <si>
    <t>V</t>
  </si>
  <si>
    <t>W</t>
  </si>
  <si>
    <t>A(3)</t>
  </si>
  <si>
    <t>B(3)</t>
  </si>
  <si>
    <t>C(3)</t>
  </si>
  <si>
    <t>D(3)</t>
  </si>
  <si>
    <t>E(3)</t>
  </si>
  <si>
    <t>F(3)</t>
  </si>
  <si>
    <t>G(3)</t>
  </si>
  <si>
    <t>H(3)</t>
  </si>
  <si>
    <t>I1</t>
  </si>
  <si>
    <t>I2</t>
  </si>
  <si>
    <t>I1(3)</t>
  </si>
  <si>
    <t>I2(5)</t>
  </si>
  <si>
    <t>J(2)</t>
  </si>
  <si>
    <t>L(5)</t>
  </si>
  <si>
    <t>M(5)</t>
  </si>
  <si>
    <t>N(2)</t>
  </si>
  <si>
    <t>O(2)</t>
  </si>
  <si>
    <t>P(2)</t>
  </si>
  <si>
    <t>Q(2)</t>
  </si>
  <si>
    <t>R(2)</t>
  </si>
  <si>
    <t>S(2)</t>
  </si>
  <si>
    <t>T(2)</t>
  </si>
  <si>
    <t>U(2)</t>
  </si>
  <si>
    <t>V(2)</t>
  </si>
  <si>
    <t>W(2)</t>
  </si>
  <si>
    <t>A1A</t>
  </si>
  <si>
    <t>A1B</t>
  </si>
  <si>
    <t>A1C</t>
  </si>
  <si>
    <t>A2A</t>
  </si>
  <si>
    <t>A2B</t>
  </si>
  <si>
    <t>A2C</t>
  </si>
  <si>
    <t>A3A</t>
  </si>
  <si>
    <t>A3B</t>
  </si>
  <si>
    <t>A3C</t>
  </si>
  <si>
    <t>A4A</t>
  </si>
  <si>
    <t>A4B</t>
  </si>
  <si>
    <t>A4C</t>
  </si>
  <si>
    <t>A5A</t>
  </si>
  <si>
    <t>A5B</t>
  </si>
  <si>
    <t>A5C</t>
  </si>
  <si>
    <t>A6A</t>
  </si>
  <si>
    <t>A6B</t>
  </si>
  <si>
    <t>A6C</t>
  </si>
  <si>
    <t>A7A</t>
  </si>
  <si>
    <t>A7B</t>
  </si>
  <si>
    <t>A7C</t>
  </si>
  <si>
    <t>A8A</t>
  </si>
  <si>
    <t>A8B</t>
  </si>
  <si>
    <t>A8C</t>
  </si>
  <si>
    <t>A9A</t>
  </si>
  <si>
    <t>A9B</t>
  </si>
  <si>
    <t>A9C</t>
  </si>
  <si>
    <t>序號</t>
    <phoneticPr fontId="56" type="noConversion"/>
  </si>
  <si>
    <t>儲位</t>
    <phoneticPr fontId="56" type="noConversion"/>
  </si>
  <si>
    <t>區</t>
    <phoneticPr fontId="56" type="noConversion"/>
  </si>
  <si>
    <t>流水號</t>
    <phoneticPr fontId="56" type="noConversion"/>
  </si>
  <si>
    <t>層數</t>
    <phoneticPr fontId="56" type="noConversion"/>
  </si>
  <si>
    <t>A</t>
    <phoneticPr fontId="56" type="noConversion"/>
  </si>
  <si>
    <t>B</t>
    <phoneticPr fontId="56" type="noConversion"/>
  </si>
  <si>
    <t>C</t>
    <phoneticPr fontId="56" type="noConversion"/>
  </si>
  <si>
    <t>D</t>
    <phoneticPr fontId="56" type="noConversion"/>
  </si>
  <si>
    <t>E</t>
    <phoneticPr fontId="56" type="noConversion"/>
  </si>
  <si>
    <t>F</t>
    <phoneticPr fontId="56" type="noConversion"/>
  </si>
  <si>
    <t>G</t>
    <phoneticPr fontId="56" type="noConversion"/>
  </si>
  <si>
    <t>H</t>
    <phoneticPr fontId="56" type="noConversion"/>
  </si>
  <si>
    <t>I</t>
    <phoneticPr fontId="56" type="noConversion"/>
  </si>
  <si>
    <t>K</t>
    <phoneticPr fontId="56" type="noConversion"/>
  </si>
  <si>
    <t>N</t>
    <phoneticPr fontId="56" type="noConversion"/>
  </si>
  <si>
    <t>O</t>
    <phoneticPr fontId="56" type="noConversion"/>
  </si>
  <si>
    <t>P</t>
    <phoneticPr fontId="56" type="noConversion"/>
  </si>
  <si>
    <t>Q</t>
    <phoneticPr fontId="56" type="noConversion"/>
  </si>
  <si>
    <t>R</t>
    <phoneticPr fontId="56" type="noConversion"/>
  </si>
  <si>
    <t>S</t>
    <phoneticPr fontId="56" type="noConversion"/>
  </si>
  <si>
    <t>DANH SÁCH XIN CẤP TÀI KHOẢN HỆ THỐNG LƯU TRỮ KHO BAO BÌ
申請包材儲位系統人員名單</t>
  </si>
  <si>
    <t xml:space="preserve">STT     </t>
  </si>
  <si>
    <t>Xưởng
廠別</t>
  </si>
  <si>
    <t>Số Thẻ  
工號</t>
  </si>
  <si>
    <t>Họ Và Tên
姓名</t>
  </si>
  <si>
    <t>Tài khoản
User</t>
  </si>
  <si>
    <t>Giới tính
性別</t>
  </si>
  <si>
    <t>Ngày vào làm
进厂日期</t>
  </si>
  <si>
    <t>Chức vụ 
職務</t>
  </si>
  <si>
    <t>Bộ phận
 部門</t>
  </si>
  <si>
    <t>Ghi chú 
備註</t>
  </si>
  <si>
    <t>LT  隆城</t>
  </si>
  <si>
    <t>BB17138</t>
  </si>
  <si>
    <t>Đặng Thị Lan Hương</t>
  </si>
  <si>
    <t>鄧氏藍香</t>
  </si>
  <si>
    <t>Lanhuong.Dang</t>
  </si>
  <si>
    <t>Nữ 女</t>
  </si>
  <si>
    <t>Tổ trưởng cấp 4 組長4級</t>
  </si>
  <si>
    <t>KHO BAO BÌ 包材倉</t>
  </si>
  <si>
    <t>BB17139</t>
  </si>
  <si>
    <t>Vi Thị Tuyết</t>
  </si>
  <si>
    <t>韦氏雪</t>
  </si>
  <si>
    <t>Tuyet.Vi</t>
  </si>
  <si>
    <t>Tổ trưởng cấp 2 組長2級</t>
  </si>
  <si>
    <t>GD 江田</t>
  </si>
  <si>
    <t>GD PVC</t>
  </si>
  <si>
    <t>GDB12508</t>
  </si>
  <si>
    <t>Huỳnh Nhựt Trường</t>
  </si>
  <si>
    <t>黃日長</t>
  </si>
  <si>
    <t>Nhuttruong.Huynh</t>
  </si>
  <si>
    <t>Nam 男</t>
  </si>
  <si>
    <t>Ca trưởng cấp 3 班長3級</t>
  </si>
  <si>
    <t>KHO BAO BÌ 包材倉PVC</t>
  </si>
  <si>
    <t>GDBB12471</t>
  </si>
  <si>
    <t>Nguyễn Thị Hằng Nhi</t>
  </si>
  <si>
    <t>陳氏恆兒</t>
  </si>
  <si>
    <t>Hangnhi.Nguyen</t>
  </si>
  <si>
    <t>Tổ trưởng cấp 1 組長1級</t>
  </si>
  <si>
    <t>GD NBR</t>
  </si>
  <si>
    <t>NRBB3732</t>
  </si>
  <si>
    <t>Nguyễn Thị Hà</t>
  </si>
  <si>
    <t>阮氏霞</t>
  </si>
  <si>
    <t>Ha.Nguyen</t>
  </si>
  <si>
    <t xml:space="preserve">KHO BAO BÌ 包材倉NBR </t>
  </si>
  <si>
    <t>NRBB13428</t>
  </si>
  <si>
    <t xml:space="preserve">Phùng Thị Thanh </t>
  </si>
  <si>
    <t>馮氏青</t>
  </si>
  <si>
    <t>Thanh.Phung</t>
  </si>
  <si>
    <t>Tổ trưởng cấp 5 組長5級</t>
  </si>
  <si>
    <t>NRBB16487</t>
  </si>
  <si>
    <t>Lý Hoàng Nhị</t>
  </si>
  <si>
    <t>李黃二</t>
  </si>
  <si>
    <t>Nhi.Ly</t>
  </si>
  <si>
    <t>Nhân viên 人員</t>
  </si>
  <si>
    <t>LK 隆慶</t>
  </si>
  <si>
    <t>LKKBB36</t>
  </si>
  <si>
    <t>Bùi Thị Mỹ Linh</t>
  </si>
  <si>
    <t>裴氏美玲</t>
  </si>
  <si>
    <t>Mylinh.Bui</t>
  </si>
  <si>
    <t>LKKBB1696</t>
  </si>
  <si>
    <t xml:space="preserve">Mai Quỳnh Như </t>
  </si>
  <si>
    <t>梅琼如</t>
  </si>
  <si>
    <t>Quynhnhu.Mai</t>
  </si>
  <si>
    <t>Công nhân 員工</t>
  </si>
  <si>
    <t>Position X</t>
  </si>
  <si>
    <t>Position Y</t>
  </si>
  <si>
    <t>Area Length</t>
  </si>
  <si>
    <t>Area Width</t>
  </si>
  <si>
    <t>Warehouse Name</t>
  </si>
  <si>
    <t>Warehouse Comment</t>
  </si>
  <si>
    <t>TEST</t>
  </si>
  <si>
    <t>Plant Code</t>
  </si>
  <si>
    <t>Layer</t>
  </si>
  <si>
    <t>K1</t>
  </si>
  <si>
    <t>K2</t>
  </si>
  <si>
    <t>K3</t>
  </si>
  <si>
    <t>K4</t>
  </si>
  <si>
    <t>K5</t>
  </si>
  <si>
    <t>K1(4)</t>
  </si>
  <si>
    <t>K2(4)</t>
  </si>
  <si>
    <t>K3(4)</t>
  </si>
  <si>
    <t>K4(4)</t>
  </si>
  <si>
    <t>K5(4)</t>
  </si>
  <si>
    <t>EST</t>
  </si>
  <si>
    <t>Area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</si>
</sst>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 * #,##0.00_ ;_ * \-#,##0.00_ ;_ * &quot;-&quot;??_ ;_ @_ "/>
    <numFmt numFmtId="166" formatCode="########0"/>
    <numFmt numFmtId="167" formatCode="yyyy\-mm\-dd"/>
  </numFmts>
  <fonts count="7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IDFont+F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 Light"/>
      <family val="1"/>
      <scheme val="major"/>
    </font>
    <font>
      <sz val="11"/>
      <color rgb="FFCC00CC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2"/>
      <color rgb="FFCC00CC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i/>
      <sz val="12"/>
      <color theme="1"/>
      <name val="Calibri Light"/>
      <family val="1"/>
      <scheme val="major"/>
    </font>
    <font>
      <sz val="12"/>
      <color rgb="FF00000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2"/>
      <name val="宋体"/>
      <charset val="134"/>
    </font>
    <font>
      <sz val="10"/>
      <name val="Arial"/>
      <family val="2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sz val="8"/>
      <name val="Calibri"/>
      <family val="2"/>
      <scheme val="minor"/>
    </font>
    <font>
      <i/>
      <sz val="12"/>
      <color theme="1"/>
      <name val="Calibri Light"/>
      <family val="2"/>
      <scheme val="major"/>
    </font>
    <font>
      <sz val="7"/>
      <color rgb="FF000000"/>
      <name val="CIDFont+F1"/>
    </font>
    <font>
      <sz val="11"/>
      <color rgb="FF000000"/>
      <name val="Calibri Light"/>
      <family val="1"/>
      <scheme val="major"/>
    </font>
    <font>
      <sz val="12"/>
      <color rgb="FF000000"/>
      <name val="CIDFont+F2"/>
    </font>
    <font>
      <sz val="12"/>
      <color rgb="FFCC00CC"/>
      <name val="CIDFont+F2"/>
    </font>
    <font>
      <sz val="10"/>
      <color rgb="FFFF0000"/>
      <name val="CIDFont+F2"/>
    </font>
    <font>
      <sz val="10"/>
      <color rgb="FF000000"/>
      <name val="CIDFont+F1"/>
    </font>
    <font>
      <sz val="14"/>
      <color rgb="FFCC00CC"/>
      <name val="Calibri Light"/>
      <family val="1"/>
      <scheme val="major"/>
    </font>
    <font>
      <sz val="8"/>
      <name val="Calibri"/>
      <family val="2"/>
      <scheme val="minor"/>
    </font>
    <font>
      <b/>
      <sz val="12"/>
      <color rgb="FFFF0000"/>
      <name val="Calibri Light"/>
      <family val="1"/>
      <scheme val="maj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1"/>
      <name val="Times New Roman"/>
      <family val="1"/>
    </font>
    <font>
      <b/>
      <sz val="11"/>
      <name val="宋体"/>
      <family val="2"/>
      <charset val="134"/>
    </font>
    <font>
      <b/>
      <sz val="11"/>
      <color rgb="FFFF0000"/>
      <name val="Times New Roman"/>
      <family val="1"/>
    </font>
    <font>
      <sz val="12"/>
      <color rgb="FFFF0000"/>
      <name val="CIDFont+F2"/>
    </font>
    <font>
      <sz val="10"/>
      <color rgb="FFFF0000"/>
      <name val="CIDFont+F2"/>
      <charset val="163"/>
    </font>
    <font>
      <sz val="10"/>
      <color rgb="FFFF0000"/>
      <name val="CIDFont+F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CIDFont+F2"/>
    </font>
    <font>
      <sz val="8"/>
      <name val="Calibri"/>
      <family val="2"/>
      <scheme val="minor"/>
    </font>
    <font>
      <sz val="14"/>
      <color rgb="FFFF0000"/>
      <name val="Calibri Light"/>
      <family val="1"/>
      <scheme val="major"/>
    </font>
    <font>
      <sz val="14"/>
      <color rgb="FF000000"/>
      <name val="Calibri Light"/>
      <family val="1"/>
      <scheme val="major"/>
    </font>
    <font>
      <sz val="9"/>
      <name val="Calibri"/>
      <family val="3"/>
      <charset val="136"/>
      <scheme val="minor"/>
    </font>
    <font>
      <sz val="10"/>
      <name val="Arial"/>
      <family val="2"/>
    </font>
    <font>
      <sz val="11"/>
      <color theme="1"/>
      <name val="楷体"/>
      <family val="3"/>
      <charset val="134"/>
    </font>
    <font>
      <sz val="11"/>
      <color theme="1"/>
      <name val="MingLiU"/>
      <family val="3"/>
      <charset val="136"/>
    </font>
    <font>
      <sz val="12"/>
      <name val="新細明體"/>
      <family val="1"/>
      <charset val="136"/>
    </font>
    <font>
      <b/>
      <sz val="16"/>
      <name val="Times New Roman"/>
      <family val="1"/>
    </font>
    <font>
      <sz val="11"/>
      <color theme="1"/>
      <name val="Times New Roman"/>
      <family val="2"/>
    </font>
    <font>
      <sz val="16"/>
      <name val="Times New Roman"/>
      <family val="1"/>
    </font>
    <font>
      <sz val="16"/>
      <color indexed="8"/>
      <name val="Times New Roman"/>
      <family val="1"/>
    </font>
    <font>
      <sz val="12"/>
      <name val="Times New Roman"/>
      <family val="1"/>
    </font>
    <font>
      <u/>
      <sz val="11"/>
      <color theme="10"/>
      <name val="Times New Roman"/>
      <family val="2"/>
    </font>
    <font>
      <u/>
      <sz val="11"/>
      <color rgb="FFFF0000"/>
      <name val="Times New Roman"/>
      <family val="1"/>
    </font>
    <font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3" fillId="0" borderId="0"/>
    <xf numFmtId="0" fontId="8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8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4" fillId="0" borderId="0"/>
    <xf numFmtId="0" fontId="26" fillId="0" borderId="0"/>
    <xf numFmtId="0" fontId="8" fillId="0" borderId="0"/>
    <xf numFmtId="0" fontId="24" fillId="0" borderId="0"/>
    <xf numFmtId="0" fontId="27" fillId="0" borderId="0">
      <alignment vertical="center"/>
    </xf>
    <xf numFmtId="0" fontId="24" fillId="0" borderId="0"/>
    <xf numFmtId="0" fontId="24" fillId="0" borderId="0"/>
    <xf numFmtId="0" fontId="25" fillId="0" borderId="0">
      <alignment vertical="center"/>
    </xf>
    <xf numFmtId="0" fontId="58" fillId="0" borderId="0"/>
    <xf numFmtId="0" fontId="4" fillId="0" borderId="0"/>
    <xf numFmtId="0" fontId="61" fillId="0" borderId="0">
      <alignment vertical="center"/>
    </xf>
    <xf numFmtId="0" fontId="24" fillId="0" borderId="0"/>
    <xf numFmtId="0" fontId="63" fillId="0" borderId="0"/>
    <xf numFmtId="0" fontId="67" fillId="0" borderId="0" applyNumberFormat="0" applyFill="0" applyBorder="0" applyAlignment="0" applyProtection="0"/>
    <xf numFmtId="0" fontId="4" fillId="0" borderId="0"/>
    <xf numFmtId="0" fontId="4" fillId="0" borderId="0"/>
  </cellStyleXfs>
  <cellXfs count="629">
    <xf numFmtId="0" fontId="0" fillId="0" borderId="0" xfId="0"/>
    <xf numFmtId="0" fontId="0" fillId="0" borderId="2" xfId="0" applyBorder="1"/>
    <xf numFmtId="0" fontId="10" fillId="0" borderId="2" xfId="0" applyFont="1" applyBorder="1" applyAlignment="1">
      <alignment vertical="center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1" fontId="13" fillId="0" borderId="0" xfId="0" applyNumberFormat="1" applyFont="1"/>
    <xf numFmtId="0" fontId="15" fillId="0" borderId="0" xfId="0" applyFont="1" applyAlignment="1">
      <alignment horizontal="center"/>
    </xf>
    <xf numFmtId="0" fontId="15" fillId="7" borderId="0" xfId="0" applyFont="1" applyFill="1" applyAlignment="1">
      <alignment horizontal="center" wrapText="1"/>
    </xf>
    <xf numFmtId="0" fontId="15" fillId="7" borderId="0" xfId="0" applyFont="1" applyFill="1"/>
    <xf numFmtId="0" fontId="13" fillId="7" borderId="0" xfId="0" applyFont="1" applyFill="1"/>
    <xf numFmtId="0" fontId="15" fillId="7" borderId="0" xfId="0" applyFont="1" applyFill="1" applyAlignment="1">
      <alignment horizontal="center"/>
    </xf>
    <xf numFmtId="0" fontId="15" fillId="3" borderId="0" xfId="0" applyFont="1" applyFill="1"/>
    <xf numFmtId="0" fontId="13" fillId="9" borderId="2" xfId="0" applyFont="1" applyFill="1" applyBorder="1"/>
    <xf numFmtId="0" fontId="17" fillId="9" borderId="2" xfId="0" applyFont="1" applyFill="1" applyBorder="1"/>
    <xf numFmtId="1" fontId="18" fillId="9" borderId="2" xfId="0" applyNumberFormat="1" applyFont="1" applyFill="1" applyBorder="1"/>
    <xf numFmtId="0" fontId="17" fillId="9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 wrapText="1"/>
    </xf>
    <xf numFmtId="0" fontId="17" fillId="11" borderId="2" xfId="0" applyFont="1" applyFill="1" applyBorder="1"/>
    <xf numFmtId="0" fontId="18" fillId="6" borderId="2" xfId="0" applyFont="1" applyFill="1" applyBorder="1"/>
    <xf numFmtId="0" fontId="15" fillId="11" borderId="2" xfId="0" applyFont="1" applyFill="1" applyBorder="1"/>
    <xf numFmtId="0" fontId="17" fillId="11" borderId="2" xfId="0" applyFont="1" applyFill="1" applyBorder="1" applyAlignment="1">
      <alignment horizontal="center"/>
    </xf>
    <xf numFmtId="0" fontId="15" fillId="9" borderId="0" xfId="0" applyFont="1" applyFill="1"/>
    <xf numFmtId="0" fontId="13" fillId="0" borderId="2" xfId="0" applyFont="1" applyBorder="1"/>
    <xf numFmtId="0" fontId="16" fillId="0" borderId="2" xfId="0" applyFont="1" applyBorder="1"/>
    <xf numFmtId="0" fontId="17" fillId="0" borderId="2" xfId="0" applyFont="1" applyBorder="1"/>
    <xf numFmtId="1" fontId="18" fillId="0" borderId="2" xfId="0" applyNumberFormat="1" applyFont="1" applyBorder="1"/>
    <xf numFmtId="0" fontId="17" fillId="0" borderId="2" xfId="0" applyFont="1" applyBorder="1" applyAlignment="1">
      <alignment horizontal="center"/>
    </xf>
    <xf numFmtId="0" fontId="17" fillId="7" borderId="2" xfId="0" applyFont="1" applyFill="1" applyBorder="1" applyAlignment="1">
      <alignment horizontal="center" wrapText="1"/>
    </xf>
    <xf numFmtId="0" fontId="17" fillId="7" borderId="2" xfId="0" applyFont="1" applyFill="1" applyBorder="1"/>
    <xf numFmtId="0" fontId="18" fillId="7" borderId="2" xfId="0" applyFont="1" applyFill="1" applyBorder="1" applyAlignment="1">
      <alignment wrapText="1"/>
    </xf>
    <xf numFmtId="0" fontId="18" fillId="7" borderId="2" xfId="0" applyFont="1" applyFill="1" applyBorder="1"/>
    <xf numFmtId="0" fontId="15" fillId="7" borderId="2" xfId="0" applyFont="1" applyFill="1" applyBorder="1"/>
    <xf numFmtId="0" fontId="17" fillId="7" borderId="2" xfId="0" applyFont="1" applyFill="1" applyBorder="1" applyAlignment="1">
      <alignment horizontal="center"/>
    </xf>
    <xf numFmtId="0" fontId="17" fillId="3" borderId="2" xfId="0" applyFont="1" applyFill="1" applyBorder="1"/>
    <xf numFmtId="0" fontId="17" fillId="0" borderId="0" xfId="0" applyFont="1"/>
    <xf numFmtId="0" fontId="17" fillId="0" borderId="2" xfId="0" applyFont="1" applyBorder="1" applyAlignment="1">
      <alignment wrapText="1"/>
    </xf>
    <xf numFmtId="14" fontId="17" fillId="7" borderId="2" xfId="0" applyNumberFormat="1" applyFont="1" applyFill="1" applyBorder="1" applyAlignment="1">
      <alignment horizontal="center" wrapText="1"/>
    </xf>
    <xf numFmtId="0" fontId="15" fillId="7" borderId="6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left" vertical="center"/>
    </xf>
    <xf numFmtId="0" fontId="20" fillId="0" borderId="2" xfId="0" applyFont="1" applyBorder="1" applyAlignment="1">
      <alignment vertical="center" wrapText="1"/>
    </xf>
    <xf numFmtId="0" fontId="13" fillId="8" borderId="2" xfId="0" applyFont="1" applyFill="1" applyBorder="1" applyAlignment="1">
      <alignment vertical="center"/>
    </xf>
    <xf numFmtId="0" fontId="13" fillId="8" borderId="2" xfId="0" applyFont="1" applyFill="1" applyBorder="1"/>
    <xf numFmtId="0" fontId="21" fillId="0" borderId="2" xfId="0" applyFont="1" applyBorder="1"/>
    <xf numFmtId="0" fontId="22" fillId="0" borderId="2" xfId="0" applyFont="1" applyBorder="1" applyAlignment="1">
      <alignment vertical="center" wrapText="1"/>
    </xf>
    <xf numFmtId="0" fontId="18" fillId="7" borderId="2" xfId="0" applyFont="1" applyFill="1" applyBorder="1" applyAlignment="1">
      <alignment horizontal="center" vertical="center"/>
    </xf>
    <xf numFmtId="0" fontId="18" fillId="0" borderId="2" xfId="0" applyFont="1" applyBorder="1"/>
    <xf numFmtId="0" fontId="18" fillId="7" borderId="2" xfId="0" applyFont="1" applyFill="1" applyBorder="1" applyAlignment="1">
      <alignment horizontal="center"/>
    </xf>
    <xf numFmtId="14" fontId="15" fillId="3" borderId="0" xfId="0" applyNumberFormat="1" applyFont="1" applyFill="1" applyAlignment="1">
      <alignment horizontal="center" wrapText="1"/>
    </xf>
    <xf numFmtId="14" fontId="17" fillId="9" borderId="2" xfId="0" applyNumberFormat="1" applyFont="1" applyFill="1" applyBorder="1" applyAlignment="1">
      <alignment horizontal="center" wrapText="1"/>
    </xf>
    <xf numFmtId="14" fontId="17" fillId="3" borderId="2" xfId="0" applyNumberFormat="1" applyFont="1" applyFill="1" applyBorder="1" applyAlignment="1">
      <alignment horizontal="center" wrapText="1"/>
    </xf>
    <xf numFmtId="14" fontId="17" fillId="0" borderId="2" xfId="0" applyNumberFormat="1" applyFont="1" applyBorder="1" applyAlignment="1">
      <alignment horizontal="center"/>
    </xf>
    <xf numFmtId="0" fontId="17" fillId="7" borderId="2" xfId="5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wrapText="1"/>
    </xf>
    <xf numFmtId="0" fontId="18" fillId="6" borderId="2" xfId="0" applyFont="1" applyFill="1" applyBorder="1" applyAlignment="1">
      <alignment horizontal="center" wrapText="1"/>
    </xf>
    <xf numFmtId="0" fontId="18" fillId="7" borderId="2" xfId="0" applyFont="1" applyFill="1" applyBorder="1" applyAlignment="1">
      <alignment horizontal="center" wrapText="1"/>
    </xf>
    <xf numFmtId="14" fontId="18" fillId="7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left"/>
    </xf>
    <xf numFmtId="0" fontId="15" fillId="3" borderId="0" xfId="0" applyFont="1" applyFill="1" applyAlignment="1">
      <alignment horizontal="center" wrapText="1"/>
    </xf>
    <xf numFmtId="0" fontId="16" fillId="7" borderId="2" xfId="0" applyFont="1" applyFill="1" applyBorder="1"/>
    <xf numFmtId="0" fontId="21" fillId="7" borderId="2" xfId="0" applyFont="1" applyFill="1" applyBorder="1" applyAlignment="1">
      <alignment horizontal="center"/>
    </xf>
    <xf numFmtId="0" fontId="17" fillId="9" borderId="2" xfId="0" applyFont="1" applyFill="1" applyBorder="1" applyAlignment="1">
      <alignment wrapText="1"/>
    </xf>
    <xf numFmtId="0" fontId="18" fillId="9" borderId="2" xfId="0" applyFont="1" applyFill="1" applyBorder="1" applyAlignment="1">
      <alignment wrapText="1"/>
    </xf>
    <xf numFmtId="0" fontId="29" fillId="7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wrapText="1"/>
    </xf>
    <xf numFmtId="0" fontId="18" fillId="2" borderId="2" xfId="0" applyFont="1" applyFill="1" applyBorder="1"/>
    <xf numFmtId="0" fontId="17" fillId="5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wrapText="1"/>
    </xf>
    <xf numFmtId="0" fontId="17" fillId="3" borderId="2" xfId="0" applyFont="1" applyFill="1" applyBorder="1" applyAlignment="1">
      <alignment horizontal="center" wrapText="1"/>
    </xf>
    <xf numFmtId="0" fontId="17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17" fillId="7" borderId="2" xfId="0" applyFont="1" applyFill="1" applyBorder="1" applyAlignment="1">
      <alignment wrapText="1"/>
    </xf>
    <xf numFmtId="14" fontId="15" fillId="7" borderId="0" xfId="0" applyNumberFormat="1" applyFont="1" applyFill="1" applyAlignment="1">
      <alignment horizontal="center" wrapText="1"/>
    </xf>
    <xf numFmtId="1" fontId="17" fillId="3" borderId="2" xfId="0" applyNumberFormat="1" applyFont="1" applyFill="1" applyBorder="1"/>
    <xf numFmtId="0" fontId="21" fillId="7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wrapText="1"/>
    </xf>
    <xf numFmtId="0" fontId="30" fillId="7" borderId="2" xfId="0" applyFont="1" applyFill="1" applyBorder="1" applyAlignment="1">
      <alignment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7" fillId="7" borderId="5" xfId="0" applyFont="1" applyFill="1" applyBorder="1"/>
    <xf numFmtId="0" fontId="22" fillId="7" borderId="2" xfId="0" applyFont="1" applyFill="1" applyBorder="1" applyAlignment="1">
      <alignment vertical="center" wrapText="1"/>
    </xf>
    <xf numFmtId="0" fontId="21" fillId="7" borderId="2" xfId="0" applyFont="1" applyFill="1" applyBorder="1" applyAlignment="1">
      <alignment vertical="center" wrapText="1"/>
    </xf>
    <xf numFmtId="0" fontId="16" fillId="7" borderId="2" xfId="0" applyFont="1" applyFill="1" applyBorder="1" applyAlignment="1">
      <alignment vertical="center"/>
    </xf>
    <xf numFmtId="0" fontId="32" fillId="3" borderId="2" xfId="0" applyFont="1" applyFill="1" applyBorder="1"/>
    <xf numFmtId="0" fontId="18" fillId="7" borderId="2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5" fillId="7" borderId="0" xfId="0" applyFont="1" applyFill="1" applyAlignment="1">
      <alignment vertical="center"/>
    </xf>
    <xf numFmtId="0" fontId="17" fillId="5" borderId="2" xfId="0" applyFont="1" applyFill="1" applyBorder="1" applyAlignment="1">
      <alignment vertical="center" wrapText="1"/>
    </xf>
    <xf numFmtId="0" fontId="17" fillId="7" borderId="2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7" borderId="0" xfId="0" applyFont="1" applyFill="1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18" fillId="2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/>
    </xf>
    <xf numFmtId="0" fontId="17" fillId="9" borderId="2" xfId="0" applyFont="1" applyFill="1" applyBorder="1" applyAlignment="1">
      <alignment vertical="center"/>
    </xf>
    <xf numFmtId="0" fontId="15" fillId="9" borderId="0" xfId="0" applyFont="1" applyFill="1" applyAlignment="1">
      <alignment vertical="center"/>
    </xf>
    <xf numFmtId="14" fontId="17" fillId="3" borderId="2" xfId="0" applyNumberFormat="1" applyFont="1" applyFill="1" applyBorder="1" applyAlignment="1">
      <alignment vertical="center" wrapText="1"/>
    </xf>
    <xf numFmtId="0" fontId="17" fillId="0" borderId="2" xfId="0" applyFont="1" applyBorder="1" applyAlignment="1">
      <alignment vertical="center"/>
    </xf>
    <xf numFmtId="0" fontId="17" fillId="7" borderId="2" xfId="0" applyFont="1" applyFill="1" applyBorder="1" applyAlignment="1">
      <alignment vertical="center" wrapText="1"/>
    </xf>
    <xf numFmtId="1" fontId="17" fillId="3" borderId="2" xfId="0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19" fillId="3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center"/>
    </xf>
    <xf numFmtId="0" fontId="33" fillId="0" borderId="2" xfId="0" applyFont="1" applyBorder="1"/>
    <xf numFmtId="0" fontId="1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9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4" fontId="15" fillId="7" borderId="2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14" fontId="34" fillId="0" borderId="2" xfId="0" applyNumberFormat="1" applyFont="1" applyBorder="1" applyAlignment="1">
      <alignment horizontal="center" vertical="center" wrapText="1"/>
    </xf>
    <xf numFmtId="14" fontId="15" fillId="7" borderId="0" xfId="0" applyNumberFormat="1" applyFont="1" applyFill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7" fillId="9" borderId="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14" fontId="18" fillId="7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14" fontId="18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5" fillId="0" borderId="2" xfId="0" applyFont="1" applyBorder="1"/>
    <xf numFmtId="0" fontId="28" fillId="0" borderId="2" xfId="0" applyFont="1" applyBorder="1" applyAlignment="1">
      <alignment horizontal="center"/>
    </xf>
    <xf numFmtId="0" fontId="15" fillId="7" borderId="2" xfId="0" applyFont="1" applyFill="1" applyBorder="1" applyAlignment="1">
      <alignment horizontal="center" wrapText="1"/>
    </xf>
    <xf numFmtId="0" fontId="15" fillId="7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 wrapText="1"/>
    </xf>
    <xf numFmtId="0" fontId="13" fillId="7" borderId="2" xfId="0" applyFont="1" applyFill="1" applyBorder="1"/>
    <xf numFmtId="0" fontId="13" fillId="7" borderId="2" xfId="0" applyFont="1" applyFill="1" applyBorder="1" applyAlignment="1">
      <alignment horizontal="left"/>
    </xf>
    <xf numFmtId="0" fontId="15" fillId="3" borderId="2" xfId="0" applyFont="1" applyFill="1" applyBorder="1" applyAlignment="1">
      <alignment horizontal="center" wrapText="1"/>
    </xf>
    <xf numFmtId="0" fontId="15" fillId="3" borderId="2" xfId="0" applyFont="1" applyFill="1" applyBorder="1"/>
    <xf numFmtId="0" fontId="14" fillId="0" borderId="2" xfId="0" applyFont="1" applyBorder="1"/>
    <xf numFmtId="0" fontId="20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17" fillId="12" borderId="2" xfId="0" applyFont="1" applyFill="1" applyBorder="1"/>
    <xf numFmtId="0" fontId="15" fillId="12" borderId="2" xfId="0" applyFont="1" applyFill="1" applyBorder="1"/>
    <xf numFmtId="0" fontId="18" fillId="12" borderId="2" xfId="0" applyFont="1" applyFill="1" applyBorder="1"/>
    <xf numFmtId="0" fontId="29" fillId="12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30" fillId="0" borderId="2" xfId="0" applyFont="1" applyBorder="1"/>
    <xf numFmtId="14" fontId="13" fillId="7" borderId="2" xfId="0" applyNumberFormat="1" applyFont="1" applyFill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0" fillId="0" borderId="9" xfId="0" applyFont="1" applyBorder="1" applyAlignment="1">
      <alignment horizontal="center" wrapText="1"/>
    </xf>
    <xf numFmtId="0" fontId="38" fillId="0" borderId="0" xfId="0" applyFont="1"/>
    <xf numFmtId="0" fontId="10" fillId="0" borderId="4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14" fontId="15" fillId="7" borderId="2" xfId="0" applyNumberFormat="1" applyFont="1" applyFill="1" applyBorder="1" applyAlignment="1">
      <alignment horizontal="center" wrapText="1"/>
    </xf>
    <xf numFmtId="14" fontId="13" fillId="7" borderId="0" xfId="0" applyNumberFormat="1" applyFont="1" applyFill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wrapText="1"/>
    </xf>
    <xf numFmtId="0" fontId="10" fillId="7" borderId="2" xfId="0" applyFont="1" applyFill="1" applyBorder="1" applyAlignment="1">
      <alignment vertical="center" wrapText="1"/>
    </xf>
    <xf numFmtId="0" fontId="35" fillId="0" borderId="0" xfId="0" applyFont="1"/>
    <xf numFmtId="0" fontId="10" fillId="13" borderId="2" xfId="0" applyFont="1" applyFill="1" applyBorder="1" applyAlignment="1">
      <alignment vertical="center" wrapText="1"/>
    </xf>
    <xf numFmtId="0" fontId="16" fillId="13" borderId="2" xfId="0" applyFont="1" applyFill="1" applyBorder="1" applyAlignment="1">
      <alignment horizontal="center" vertical="center"/>
    </xf>
    <xf numFmtId="0" fontId="17" fillId="13" borderId="2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29" fillId="13" borderId="2" xfId="0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30" fillId="13" borderId="2" xfId="0" applyFont="1" applyFill="1" applyBorder="1" applyAlignment="1">
      <alignment horizontal="center" vertical="center" wrapText="1"/>
    </xf>
    <xf numFmtId="0" fontId="35" fillId="13" borderId="2" xfId="0" applyFont="1" applyFill="1" applyBorder="1"/>
    <xf numFmtId="0" fontId="21" fillId="13" borderId="2" xfId="0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/>
    </xf>
    <xf numFmtId="0" fontId="41" fillId="7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center" vertical="center"/>
    </xf>
    <xf numFmtId="0" fontId="17" fillId="14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21" fillId="15" borderId="2" xfId="0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0" fontId="29" fillId="15" borderId="2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35" fillId="0" borderId="2" xfId="0" applyFont="1" applyBorder="1"/>
    <xf numFmtId="0" fontId="36" fillId="0" borderId="2" xfId="0" applyFont="1" applyBorder="1" applyAlignment="1">
      <alignment horizontal="center" vertical="center"/>
    </xf>
    <xf numFmtId="14" fontId="17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9" fillId="8" borderId="2" xfId="0" applyFont="1" applyFill="1" applyBorder="1" applyAlignment="1">
      <alignment horizontal="center" vertical="center"/>
    </xf>
    <xf numFmtId="0" fontId="37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14" fontId="13" fillId="7" borderId="2" xfId="0" applyNumberFormat="1" applyFont="1" applyFill="1" applyBorder="1" applyAlignment="1">
      <alignment horizontal="center" vertical="center" wrapText="1"/>
    </xf>
    <xf numFmtId="0" fontId="30" fillId="7" borderId="2" xfId="0" applyFont="1" applyFill="1" applyBorder="1" applyAlignment="1">
      <alignment vertical="center"/>
    </xf>
    <xf numFmtId="0" fontId="15" fillId="7" borderId="5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14" fontId="15" fillId="3" borderId="2" xfId="0" applyNumberFormat="1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 wrapText="1"/>
    </xf>
    <xf numFmtId="0" fontId="18" fillId="8" borderId="2" xfId="0" applyFont="1" applyFill="1" applyBorder="1" applyAlignment="1">
      <alignment vertical="center"/>
    </xf>
    <xf numFmtId="0" fontId="16" fillId="8" borderId="2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 wrapText="1"/>
    </xf>
    <xf numFmtId="0" fontId="21" fillId="8" borderId="2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16" fillId="8" borderId="2" xfId="0" applyFont="1" applyFill="1" applyBorder="1" applyAlignment="1">
      <alignment horizontal="center" vertical="center"/>
    </xf>
    <xf numFmtId="0" fontId="30" fillId="8" borderId="2" xfId="0" applyFont="1" applyFill="1" applyBorder="1" applyAlignment="1">
      <alignment vertical="center" wrapText="1"/>
    </xf>
    <xf numFmtId="0" fontId="17" fillId="8" borderId="2" xfId="0" applyFont="1" applyFill="1" applyBorder="1" applyAlignment="1">
      <alignment vertical="center"/>
    </xf>
    <xf numFmtId="0" fontId="13" fillId="7" borderId="12" xfId="0" applyFont="1" applyFill="1" applyBorder="1" applyAlignment="1">
      <alignment horizontal="center" vertical="center"/>
    </xf>
    <xf numFmtId="0" fontId="14" fillId="7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7" fillId="7" borderId="0" xfId="0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18" fillId="7" borderId="2" xfId="0" applyFont="1" applyFill="1" applyBorder="1" applyAlignment="1">
      <alignment vertical="center" wrapText="1"/>
    </xf>
    <xf numFmtId="0" fontId="37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14" fontId="34" fillId="7" borderId="2" xfId="0" applyNumberFormat="1" applyFont="1" applyFill="1" applyBorder="1" applyAlignment="1">
      <alignment horizontal="center" vertical="center" wrapText="1"/>
    </xf>
    <xf numFmtId="0" fontId="17" fillId="7" borderId="0" xfId="0" applyFont="1" applyFill="1" applyAlignment="1">
      <alignment vertical="center"/>
    </xf>
    <xf numFmtId="0" fontId="36" fillId="7" borderId="2" xfId="0" applyFont="1" applyFill="1" applyBorder="1" applyAlignment="1">
      <alignment horizontal="center" vertical="center"/>
    </xf>
    <xf numFmtId="0" fontId="30" fillId="16" borderId="2" xfId="0" applyFont="1" applyFill="1" applyBorder="1" applyAlignment="1">
      <alignment vertical="center" wrapText="1"/>
    </xf>
    <xf numFmtId="0" fontId="16" fillId="16" borderId="2" xfId="0" applyFont="1" applyFill="1" applyBorder="1" applyAlignment="1">
      <alignment vertical="center"/>
    </xf>
    <xf numFmtId="0" fontId="10" fillId="16" borderId="2" xfId="0" applyFont="1" applyFill="1" applyBorder="1" applyAlignment="1">
      <alignment vertical="center" wrapText="1"/>
    </xf>
    <xf numFmtId="0" fontId="18" fillId="16" borderId="2" xfId="0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21" fillId="16" borderId="2" xfId="0" applyFont="1" applyFill="1" applyBorder="1" applyAlignment="1">
      <alignment vertical="center"/>
    </xf>
    <xf numFmtId="0" fontId="17" fillId="16" borderId="2" xfId="0" applyFont="1" applyFill="1" applyBorder="1" applyAlignment="1">
      <alignment horizontal="center" vertical="center"/>
    </xf>
    <xf numFmtId="0" fontId="37" fillId="8" borderId="2" xfId="0" applyFont="1" applyFill="1" applyBorder="1" applyAlignment="1">
      <alignment horizontal="center" vertical="center" wrapText="1"/>
    </xf>
    <xf numFmtId="0" fontId="36" fillId="8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 wrapText="1"/>
    </xf>
    <xf numFmtId="0" fontId="30" fillId="5" borderId="2" xfId="0" applyFont="1" applyFill="1" applyBorder="1" applyAlignment="1">
      <alignment vertical="center"/>
    </xf>
    <xf numFmtId="0" fontId="10" fillId="0" borderId="2" xfId="0" quotePrefix="1" applyFont="1" applyBorder="1" applyAlignment="1">
      <alignment vertical="center" wrapText="1"/>
    </xf>
    <xf numFmtId="0" fontId="17" fillId="17" borderId="2" xfId="0" applyFont="1" applyFill="1" applyBorder="1" applyAlignment="1">
      <alignment horizontal="center" vertical="center"/>
    </xf>
    <xf numFmtId="0" fontId="18" fillId="17" borderId="2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 wrapText="1"/>
    </xf>
    <xf numFmtId="14" fontId="15" fillId="17" borderId="2" xfId="0" applyNumberFormat="1" applyFont="1" applyFill="1" applyBorder="1" applyAlignment="1">
      <alignment horizontal="center" vertical="center" wrapText="1"/>
    </xf>
    <xf numFmtId="0" fontId="17" fillId="18" borderId="2" xfId="0" applyFont="1" applyFill="1" applyBorder="1" applyAlignment="1">
      <alignment horizontal="center" vertical="center"/>
    </xf>
    <xf numFmtId="0" fontId="18" fillId="18" borderId="2" xfId="0" applyFont="1" applyFill="1" applyBorder="1" applyAlignment="1">
      <alignment horizontal="center" vertical="center"/>
    </xf>
    <xf numFmtId="0" fontId="29" fillId="18" borderId="2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vertical="center" wrapText="1"/>
    </xf>
    <xf numFmtId="14" fontId="17" fillId="7" borderId="2" xfId="0" applyNumberFormat="1" applyFont="1" applyFill="1" applyBorder="1" applyAlignment="1">
      <alignment vertical="center"/>
    </xf>
    <xf numFmtId="0" fontId="37" fillId="17" borderId="2" xfId="0" applyFont="1" applyFill="1" applyBorder="1" applyAlignment="1">
      <alignment horizontal="center" vertical="center" wrapText="1"/>
    </xf>
    <xf numFmtId="0" fontId="36" fillId="17" borderId="2" xfId="0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 wrapText="1"/>
    </xf>
    <xf numFmtId="0" fontId="35" fillId="7" borderId="2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19" borderId="2" xfId="11" applyFont="1" applyFill="1" applyBorder="1" applyAlignment="1">
      <alignment horizontal="center" vertical="center"/>
    </xf>
    <xf numFmtId="0" fontId="43" fillId="7" borderId="0" xfId="11" applyFont="1" applyFill="1" applyAlignment="1">
      <alignment horizontal="center" vertical="center"/>
    </xf>
    <xf numFmtId="0" fontId="45" fillId="0" borderId="2" xfId="11" applyFont="1" applyBorder="1" applyAlignment="1">
      <alignment horizontal="center" vertical="center"/>
    </xf>
    <xf numFmtId="3" fontId="45" fillId="0" borderId="2" xfId="11" applyNumberFormat="1" applyFont="1" applyBorder="1" applyAlignment="1">
      <alignment horizontal="center" vertical="center"/>
    </xf>
    <xf numFmtId="3" fontId="45" fillId="7" borderId="0" xfId="11" applyNumberFormat="1" applyFont="1" applyFill="1" applyAlignment="1">
      <alignment horizontal="center" vertical="center"/>
    </xf>
    <xf numFmtId="0" fontId="43" fillId="20" borderId="2" xfId="11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20" borderId="2" xfId="0" applyFont="1" applyFill="1" applyBorder="1" applyAlignment="1">
      <alignment horizontal="center" vertical="center"/>
    </xf>
    <xf numFmtId="14" fontId="47" fillId="0" borderId="2" xfId="0" applyNumberFormat="1" applyFont="1" applyBorder="1" applyAlignment="1">
      <alignment horizontal="center" vertical="center"/>
    </xf>
    <xf numFmtId="0" fontId="42" fillId="20" borderId="2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20" borderId="0" xfId="0" applyFont="1" applyFill="1" applyAlignment="1">
      <alignment horizontal="center" vertical="center"/>
    </xf>
    <xf numFmtId="0" fontId="42" fillId="20" borderId="0" xfId="0" applyFont="1" applyFill="1" applyAlignment="1">
      <alignment horizontal="center" vertical="center"/>
    </xf>
    <xf numFmtId="17" fontId="42" fillId="20" borderId="2" xfId="0" quotePrefix="1" applyNumberFormat="1" applyFont="1" applyFill="1" applyBorder="1" applyAlignment="1">
      <alignment horizontal="center" vertical="center"/>
    </xf>
    <xf numFmtId="1" fontId="42" fillId="20" borderId="2" xfId="0" quotePrefix="1" applyNumberFormat="1" applyFont="1" applyFill="1" applyBorder="1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43" fillId="7" borderId="2" xfId="11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 wrapText="1"/>
    </xf>
    <xf numFmtId="0" fontId="47" fillId="7" borderId="0" xfId="0" applyFont="1" applyFill="1" applyAlignment="1">
      <alignment horizontal="center" vertical="center"/>
    </xf>
    <xf numFmtId="17" fontId="42" fillId="7" borderId="2" xfId="0" quotePrefix="1" applyNumberFormat="1" applyFont="1" applyFill="1" applyBorder="1" applyAlignment="1">
      <alignment horizontal="center" vertical="center"/>
    </xf>
    <xf numFmtId="1" fontId="42" fillId="7" borderId="2" xfId="0" quotePrefix="1" applyNumberFormat="1" applyFont="1" applyFill="1" applyBorder="1" applyAlignment="1">
      <alignment horizontal="center" vertical="center"/>
    </xf>
    <xf numFmtId="14" fontId="42" fillId="7" borderId="2" xfId="0" applyNumberFormat="1" applyFont="1" applyFill="1" applyBorder="1" applyAlignment="1">
      <alignment horizontal="center" vertical="center"/>
    </xf>
    <xf numFmtId="14" fontId="42" fillId="7" borderId="2" xfId="0" applyNumberFormat="1" applyFont="1" applyFill="1" applyBorder="1" applyAlignment="1">
      <alignment horizontal="center" vertical="center" wrapText="1"/>
    </xf>
    <xf numFmtId="0" fontId="48" fillId="7" borderId="2" xfId="0" applyFont="1" applyFill="1" applyBorder="1" applyAlignment="1">
      <alignment horizontal="left" vertical="center" wrapText="1"/>
    </xf>
    <xf numFmtId="0" fontId="18" fillId="13" borderId="2" xfId="0" applyFont="1" applyFill="1" applyBorder="1" applyAlignment="1">
      <alignment vertical="center"/>
    </xf>
    <xf numFmtId="0" fontId="16" fillId="13" borderId="2" xfId="0" applyFont="1" applyFill="1" applyBorder="1" applyAlignment="1">
      <alignment vertical="center"/>
    </xf>
    <xf numFmtId="0" fontId="17" fillId="13" borderId="2" xfId="0" applyFont="1" applyFill="1" applyBorder="1" applyAlignment="1">
      <alignment vertical="center"/>
    </xf>
    <xf numFmtId="0" fontId="37" fillId="7" borderId="2" xfId="0" applyFont="1" applyFill="1" applyBorder="1" applyAlignment="1">
      <alignment vertical="center" wrapText="1"/>
    </xf>
    <xf numFmtId="0" fontId="17" fillId="7" borderId="2" xfId="0" applyFont="1" applyFill="1" applyBorder="1" applyAlignment="1" applyProtection="1">
      <alignment horizontal="center" vertical="center"/>
      <protection locked="0"/>
    </xf>
    <xf numFmtId="0" fontId="18" fillId="21" borderId="2" xfId="0" applyFont="1" applyFill="1" applyBorder="1" applyAlignment="1">
      <alignment vertical="center"/>
    </xf>
    <xf numFmtId="0" fontId="17" fillId="22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29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vertical="center"/>
    </xf>
    <xf numFmtId="0" fontId="18" fillId="16" borderId="2" xfId="0" applyFont="1" applyFill="1" applyBorder="1" applyAlignment="1">
      <alignment horizontal="center" vertical="center"/>
    </xf>
    <xf numFmtId="0" fontId="16" fillId="16" borderId="2" xfId="0" applyFont="1" applyFill="1" applyBorder="1" applyAlignment="1">
      <alignment horizontal="center" vertical="center"/>
    </xf>
    <xf numFmtId="0" fontId="29" fillId="16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5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7" fillId="12" borderId="2" xfId="0" applyFont="1" applyFill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vertical="center" wrapText="1"/>
    </xf>
    <xf numFmtId="0" fontId="16" fillId="7" borderId="0" xfId="0" applyFont="1" applyFill="1" applyAlignment="1">
      <alignment vertical="center"/>
    </xf>
    <xf numFmtId="14" fontId="18" fillId="7" borderId="2" xfId="0" applyNumberFormat="1" applyFont="1" applyFill="1" applyBorder="1" applyAlignment="1">
      <alignment vertical="center"/>
    </xf>
    <xf numFmtId="0" fontId="37" fillId="7" borderId="1" xfId="0" quotePrefix="1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37" fillId="3" borderId="2" xfId="0" applyFont="1" applyFill="1" applyBorder="1" applyAlignment="1">
      <alignment vertical="center" wrapText="1"/>
    </xf>
    <xf numFmtId="11" fontId="10" fillId="0" borderId="2" xfId="0" applyNumberFormat="1" applyFont="1" applyBorder="1" applyAlignment="1">
      <alignment vertical="center" wrapText="1"/>
    </xf>
    <xf numFmtId="14" fontId="15" fillId="7" borderId="3" xfId="0" applyNumberFormat="1" applyFont="1" applyFill="1" applyBorder="1" applyAlignment="1">
      <alignment vertical="center" wrapText="1"/>
    </xf>
    <xf numFmtId="14" fontId="15" fillId="7" borderId="2" xfId="0" applyNumberFormat="1" applyFont="1" applyFill="1" applyBorder="1" applyAlignment="1">
      <alignment vertical="center" wrapText="1"/>
    </xf>
    <xf numFmtId="0" fontId="17" fillId="15" borderId="2" xfId="0" applyFont="1" applyFill="1" applyBorder="1" applyAlignment="1">
      <alignment vertical="center"/>
    </xf>
    <xf numFmtId="0" fontId="18" fillId="15" borderId="2" xfId="0" applyFont="1" applyFill="1" applyBorder="1" applyAlignment="1">
      <alignment horizontal="center" vertical="center"/>
    </xf>
    <xf numFmtId="14" fontId="15" fillId="15" borderId="2" xfId="0" applyNumberFormat="1" applyFont="1" applyFill="1" applyBorder="1" applyAlignment="1">
      <alignment vertical="center" wrapText="1"/>
    </xf>
    <xf numFmtId="14" fontId="17" fillId="7" borderId="2" xfId="0" applyNumberFormat="1" applyFont="1" applyFill="1" applyBorder="1" applyAlignment="1">
      <alignment horizontal="center" vertical="center"/>
    </xf>
    <xf numFmtId="14" fontId="13" fillId="7" borderId="3" xfId="0" applyNumberFormat="1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 wrapText="1"/>
    </xf>
    <xf numFmtId="0" fontId="35" fillId="7" borderId="2" xfId="0" applyFont="1" applyFill="1" applyBorder="1" applyAlignment="1">
      <alignment vertical="center" wrapText="1"/>
    </xf>
    <xf numFmtId="14" fontId="17" fillId="3" borderId="2" xfId="0" applyNumberFormat="1" applyFont="1" applyFill="1" applyBorder="1" applyAlignment="1">
      <alignment horizontal="right" vertical="center" wrapText="1"/>
    </xf>
    <xf numFmtId="0" fontId="32" fillId="3" borderId="2" xfId="0" applyFont="1" applyFill="1" applyBorder="1" applyAlignment="1">
      <alignment vertical="center"/>
    </xf>
    <xf numFmtId="0" fontId="53" fillId="8" borderId="2" xfId="0" applyFont="1" applyFill="1" applyBorder="1" applyAlignment="1">
      <alignment vertical="center" wrapText="1"/>
    </xf>
    <xf numFmtId="0" fontId="20" fillId="16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left" vertical="center" wrapText="1"/>
    </xf>
    <xf numFmtId="0" fontId="49" fillId="7" borderId="2" xfId="0" applyFont="1" applyFill="1" applyBorder="1" applyAlignment="1">
      <alignment vertical="center" wrapText="1"/>
    </xf>
    <xf numFmtId="11" fontId="10" fillId="0" borderId="2" xfId="0" applyNumberFormat="1" applyFont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right" vertical="center"/>
    </xf>
    <xf numFmtId="0" fontId="13" fillId="7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 wrapText="1"/>
    </xf>
    <xf numFmtId="14" fontId="17" fillId="3" borderId="2" xfId="0" applyNumberFormat="1" applyFont="1" applyFill="1" applyBorder="1" applyAlignment="1">
      <alignment vertical="center"/>
    </xf>
    <xf numFmtId="0" fontId="18" fillId="7" borderId="2" xfId="0" applyFont="1" applyFill="1" applyBorder="1" applyAlignment="1">
      <alignment horizontal="right" vertical="center" wrapText="1"/>
    </xf>
    <xf numFmtId="11" fontId="33" fillId="0" borderId="2" xfId="0" applyNumberFormat="1" applyFont="1" applyBorder="1"/>
    <xf numFmtId="0" fontId="15" fillId="3" borderId="0" xfId="0" applyFont="1" applyFill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14" fontId="17" fillId="3" borderId="2" xfId="0" applyNumberFormat="1" applyFont="1" applyFill="1" applyBorder="1" applyAlignment="1">
      <alignment horizontal="left" vertical="center" wrapText="1"/>
    </xf>
    <xf numFmtId="0" fontId="55" fillId="7" borderId="2" xfId="0" applyFont="1" applyFill="1" applyBorder="1" applyAlignment="1">
      <alignment horizontal="left" vertical="center"/>
    </xf>
    <xf numFmtId="0" fontId="39" fillId="7" borderId="2" xfId="0" applyFont="1" applyFill="1" applyBorder="1" applyAlignment="1">
      <alignment horizontal="left" vertical="center"/>
    </xf>
    <xf numFmtId="0" fontId="56" fillId="7" borderId="2" xfId="0" applyFont="1" applyFill="1" applyBorder="1" applyAlignment="1">
      <alignment vertical="center" wrapText="1"/>
    </xf>
    <xf numFmtId="16" fontId="0" fillId="0" borderId="2" xfId="0" quotePrefix="1" applyNumberFormat="1" applyBorder="1"/>
    <xf numFmtId="0" fontId="6" fillId="0" borderId="0" xfId="0" applyFont="1"/>
    <xf numFmtId="0" fontId="5" fillId="0" borderId="0" xfId="0" applyFont="1"/>
    <xf numFmtId="0" fontId="59" fillId="24" borderId="2" xfId="20" applyFont="1" applyFill="1" applyBorder="1" applyAlignment="1">
      <alignment horizontal="center" vertical="center"/>
    </xf>
    <xf numFmtId="0" fontId="59" fillId="0" borderId="0" xfId="20" applyFont="1" applyAlignment="1">
      <alignment horizontal="center" vertical="center"/>
    </xf>
    <xf numFmtId="0" fontId="59" fillId="24" borderId="23" xfId="20" applyFont="1" applyFill="1" applyBorder="1" applyAlignment="1">
      <alignment horizontal="center" vertical="center"/>
    </xf>
    <xf numFmtId="0" fontId="59" fillId="24" borderId="24" xfId="20" applyFont="1" applyFill="1" applyBorder="1" applyAlignment="1">
      <alignment horizontal="center" vertical="center"/>
    </xf>
    <xf numFmtId="0" fontId="59" fillId="24" borderId="13" xfId="20" applyFont="1" applyFill="1" applyBorder="1" applyAlignment="1">
      <alignment horizontal="center" vertical="center"/>
    </xf>
    <xf numFmtId="0" fontId="59" fillId="24" borderId="12" xfId="20" applyFont="1" applyFill="1" applyBorder="1" applyAlignment="1">
      <alignment horizontal="center" vertical="center"/>
    </xf>
    <xf numFmtId="0" fontId="59" fillId="24" borderId="7" xfId="20" applyFont="1" applyFill="1" applyBorder="1" applyAlignment="1">
      <alignment horizontal="center" vertical="center"/>
    </xf>
    <xf numFmtId="0" fontId="59" fillId="24" borderId="3" xfId="20" applyFont="1" applyFill="1" applyBorder="1" applyAlignment="1">
      <alignment horizontal="center" vertical="center"/>
    </xf>
    <xf numFmtId="0" fontId="59" fillId="24" borderId="4" xfId="20" applyFont="1" applyFill="1" applyBorder="1" applyAlignment="1">
      <alignment horizontal="center" vertical="center"/>
    </xf>
    <xf numFmtId="0" fontId="59" fillId="24" borderId="25" xfId="20" applyFont="1" applyFill="1" applyBorder="1" applyAlignment="1">
      <alignment horizontal="center" vertical="center"/>
    </xf>
    <xf numFmtId="0" fontId="59" fillId="24" borderId="26" xfId="20" applyFont="1" applyFill="1" applyBorder="1" applyAlignment="1">
      <alignment horizontal="center" vertical="center"/>
    </xf>
    <xf numFmtId="0" fontId="59" fillId="25" borderId="0" xfId="20" applyFont="1" applyFill="1" applyAlignment="1">
      <alignment horizontal="right" vertical="center"/>
    </xf>
    <xf numFmtId="0" fontId="59" fillId="3" borderId="24" xfId="20" applyFont="1" applyFill="1" applyBorder="1" applyAlignment="1">
      <alignment horizontal="right" vertical="center"/>
    </xf>
    <xf numFmtId="0" fontId="59" fillId="3" borderId="12" xfId="20" applyFont="1" applyFill="1" applyBorder="1" applyAlignment="1">
      <alignment horizontal="right" vertical="center"/>
    </xf>
    <xf numFmtId="0" fontId="59" fillId="3" borderId="20" xfId="20" applyFont="1" applyFill="1" applyBorder="1" applyAlignment="1">
      <alignment horizontal="right" vertical="center"/>
    </xf>
    <xf numFmtId="0" fontId="59" fillId="3" borderId="22" xfId="20" applyFont="1" applyFill="1" applyBorder="1" applyAlignment="1">
      <alignment horizontal="right" vertical="center"/>
    </xf>
    <xf numFmtId="0" fontId="59" fillId="0" borderId="0" xfId="20" applyFont="1" applyAlignment="1">
      <alignment horizontal="right" vertical="center"/>
    </xf>
    <xf numFmtId="0" fontId="59" fillId="12" borderId="24" xfId="20" applyFont="1" applyFill="1" applyBorder="1" applyAlignment="1">
      <alignment horizontal="right" vertical="center"/>
    </xf>
    <xf numFmtId="0" fontId="59" fillId="12" borderId="12" xfId="20" applyFont="1" applyFill="1" applyBorder="1" applyAlignment="1">
      <alignment horizontal="right" vertical="center"/>
    </xf>
    <xf numFmtId="0" fontId="59" fillId="20" borderId="24" xfId="20" applyFont="1" applyFill="1" applyBorder="1" applyAlignment="1">
      <alignment horizontal="right" vertical="center"/>
    </xf>
    <xf numFmtId="0" fontId="59" fillId="20" borderId="12" xfId="20" applyFont="1" applyFill="1" applyBorder="1" applyAlignment="1">
      <alignment horizontal="right" vertical="center"/>
    </xf>
    <xf numFmtId="0" fontId="60" fillId="13" borderId="24" xfId="20" applyFont="1" applyFill="1" applyBorder="1" applyAlignment="1">
      <alignment horizontal="right" vertical="center"/>
    </xf>
    <xf numFmtId="0" fontId="60" fillId="21" borderId="24" xfId="20" applyFont="1" applyFill="1" applyBorder="1" applyAlignment="1">
      <alignment horizontal="right" vertical="center"/>
    </xf>
    <xf numFmtId="0" fontId="59" fillId="20" borderId="32" xfId="20" applyFont="1" applyFill="1" applyBorder="1" applyAlignment="1">
      <alignment horizontal="right" vertical="center"/>
    </xf>
    <xf numFmtId="0" fontId="59" fillId="3" borderId="2" xfId="20" applyFont="1" applyFill="1" applyBorder="1" applyAlignment="1">
      <alignment horizontal="right" vertical="center"/>
    </xf>
    <xf numFmtId="0" fontId="59" fillId="12" borderId="2" xfId="20" applyFont="1" applyFill="1" applyBorder="1" applyAlignment="1">
      <alignment horizontal="right" vertical="center"/>
    </xf>
    <xf numFmtId="0" fontId="59" fillId="20" borderId="2" xfId="20" applyFont="1" applyFill="1" applyBorder="1" applyAlignment="1">
      <alignment horizontal="right" vertical="center"/>
    </xf>
    <xf numFmtId="0" fontId="60" fillId="21" borderId="32" xfId="20" applyFont="1" applyFill="1" applyBorder="1" applyAlignment="1">
      <alignment horizontal="right" vertical="center"/>
    </xf>
    <xf numFmtId="0" fontId="59" fillId="20" borderId="35" xfId="20" applyFont="1" applyFill="1" applyBorder="1" applyAlignment="1">
      <alignment horizontal="right" vertical="center"/>
    </xf>
    <xf numFmtId="0" fontId="60" fillId="13" borderId="32" xfId="20" applyFont="1" applyFill="1" applyBorder="1" applyAlignment="1">
      <alignment horizontal="right" vertical="center"/>
    </xf>
    <xf numFmtId="0" fontId="59" fillId="0" borderId="0" xfId="20" applyFont="1" applyAlignment="1">
      <alignment vertical="center"/>
    </xf>
    <xf numFmtId="0" fontId="59" fillId="12" borderId="35" xfId="20" applyFont="1" applyFill="1" applyBorder="1" applyAlignment="1">
      <alignment horizontal="right" vertical="center"/>
    </xf>
    <xf numFmtId="0" fontId="59" fillId="12" borderId="32" xfId="20" applyFont="1" applyFill="1" applyBorder="1" applyAlignment="1">
      <alignment horizontal="right" vertical="center"/>
    </xf>
    <xf numFmtId="0" fontId="4" fillId="0" borderId="0" xfId="20"/>
    <xf numFmtId="0" fontId="45" fillId="0" borderId="0" xfId="22" applyFont="1"/>
    <xf numFmtId="0" fontId="64" fillId="9" borderId="2" xfId="23" applyFont="1" applyFill="1" applyBorder="1" applyAlignment="1" applyProtection="1">
      <alignment horizontal="center" vertical="center" wrapText="1"/>
      <protection locked="0"/>
    </xf>
    <xf numFmtId="0" fontId="64" fillId="9" borderId="3" xfId="21" applyFont="1" applyFill="1" applyBorder="1" applyAlignment="1">
      <alignment horizontal="center" vertical="center" wrapText="1"/>
    </xf>
    <xf numFmtId="0" fontId="64" fillId="9" borderId="17" xfId="21" applyFont="1" applyFill="1" applyBorder="1" applyAlignment="1">
      <alignment horizontal="center" vertical="center" wrapText="1"/>
    </xf>
    <xf numFmtId="0" fontId="64" fillId="9" borderId="3" xfId="22" applyFont="1" applyFill="1" applyBorder="1" applyAlignment="1">
      <alignment horizontal="center" vertical="center" wrapText="1"/>
    </xf>
    <xf numFmtId="0" fontId="65" fillId="0" borderId="0" xfId="22" applyFont="1" applyAlignment="1">
      <alignment horizontal="center"/>
    </xf>
    <xf numFmtId="166" fontId="68" fillId="16" borderId="2" xfId="24" applyNumberFormat="1" applyFont="1" applyFill="1" applyBorder="1" applyAlignment="1">
      <alignment horizontal="center" vertical="center"/>
    </xf>
    <xf numFmtId="0" fontId="69" fillId="7" borderId="0" xfId="22" applyFont="1" applyFill="1" applyAlignment="1">
      <alignment vertical="center"/>
    </xf>
    <xf numFmtId="0" fontId="66" fillId="16" borderId="2" xfId="11" applyFont="1" applyFill="1" applyBorder="1" applyAlignment="1">
      <alignment horizontal="center" vertical="center"/>
    </xf>
    <xf numFmtId="0" fontId="66" fillId="16" borderId="2" xfId="25" applyFont="1" applyFill="1" applyBorder="1" applyAlignment="1">
      <alignment vertical="center"/>
    </xf>
    <xf numFmtId="0" fontId="66" fillId="29" borderId="2" xfId="26" applyFont="1" applyFill="1" applyBorder="1" applyAlignment="1">
      <alignment vertical="center"/>
    </xf>
    <xf numFmtId="0" fontId="66" fillId="16" borderId="2" xfId="25" applyFont="1" applyFill="1" applyBorder="1" applyAlignment="1">
      <alignment horizontal="center" vertical="center"/>
    </xf>
    <xf numFmtId="167" fontId="66" fillId="16" borderId="2" xfId="25" applyNumberFormat="1" applyFont="1" applyFill="1" applyBorder="1" applyAlignment="1">
      <alignment horizontal="center" vertical="center"/>
    </xf>
    <xf numFmtId="166" fontId="66" fillId="16" borderId="2" xfId="25" applyNumberFormat="1" applyFont="1" applyFill="1" applyBorder="1" applyAlignment="1">
      <alignment vertical="center"/>
    </xf>
    <xf numFmtId="166" fontId="70" fillId="16" borderId="2" xfId="25" applyNumberFormat="1" applyFont="1" applyFill="1" applyBorder="1" applyAlignment="1">
      <alignment horizontal="center" vertical="center"/>
    </xf>
    <xf numFmtId="166" fontId="68" fillId="30" borderId="2" xfId="24" applyNumberFormat="1" applyFont="1" applyFill="1" applyBorder="1" applyAlignment="1">
      <alignment horizontal="center" vertical="center"/>
    </xf>
    <xf numFmtId="0" fontId="63" fillId="0" borderId="0" xfId="23" applyAlignment="1">
      <alignment horizontal="center" vertical="center"/>
    </xf>
    <xf numFmtId="0" fontId="66" fillId="30" borderId="2" xfId="11" applyFont="1" applyFill="1" applyBorder="1" applyAlignment="1">
      <alignment horizontal="center" vertical="center"/>
    </xf>
    <xf numFmtId="0" fontId="66" fillId="30" borderId="2" xfId="25" applyFont="1" applyFill="1" applyBorder="1" applyAlignment="1">
      <alignment vertical="center"/>
    </xf>
    <xf numFmtId="0" fontId="66" fillId="31" borderId="2" xfId="26" applyFont="1" applyFill="1" applyBorder="1" applyAlignment="1">
      <alignment vertical="center"/>
    </xf>
    <xf numFmtId="0" fontId="66" fillId="31" borderId="2" xfId="26" applyFont="1" applyFill="1" applyBorder="1" applyAlignment="1">
      <alignment horizontal="left" vertical="center"/>
    </xf>
    <xf numFmtId="0" fontId="66" fillId="30" borderId="2" xfId="25" applyFont="1" applyFill="1" applyBorder="1" applyAlignment="1">
      <alignment horizontal="center" vertical="center"/>
    </xf>
    <xf numFmtId="167" fontId="66" fillId="30" borderId="2" xfId="25" applyNumberFormat="1" applyFont="1" applyFill="1" applyBorder="1" applyAlignment="1">
      <alignment horizontal="center" vertical="center"/>
    </xf>
    <xf numFmtId="166" fontId="66" fillId="30" borderId="2" xfId="25" applyNumberFormat="1" applyFont="1" applyFill="1" applyBorder="1" applyAlignment="1">
      <alignment vertical="center"/>
    </xf>
    <xf numFmtId="166" fontId="70" fillId="30" borderId="2" xfId="25" applyNumberFormat="1" applyFont="1" applyFill="1" applyBorder="1" applyAlignment="1">
      <alignment horizontal="center" vertical="center"/>
    </xf>
    <xf numFmtId="0" fontId="68" fillId="32" borderId="2" xfId="24" applyFont="1" applyFill="1" applyBorder="1" applyAlignment="1">
      <alignment horizontal="center" vertical="center"/>
    </xf>
    <xf numFmtId="0" fontId="63" fillId="32" borderId="2" xfId="23" applyFill="1" applyBorder="1" applyAlignment="1">
      <alignment horizontal="center" vertical="center"/>
    </xf>
    <xf numFmtId="0" fontId="71" fillId="32" borderId="2" xfId="23" applyFont="1" applyFill="1" applyBorder="1" applyAlignment="1">
      <alignment horizontal="center" vertical="center"/>
    </xf>
    <xf numFmtId="0" fontId="71" fillId="32" borderId="2" xfId="23" applyFont="1" applyFill="1" applyBorder="1" applyAlignment="1">
      <alignment horizontal="left" vertical="center"/>
    </xf>
    <xf numFmtId="0" fontId="72" fillId="33" borderId="2" xfId="23" applyFont="1" applyFill="1" applyBorder="1" applyAlignment="1">
      <alignment horizontal="left" vertical="center"/>
    </xf>
    <xf numFmtId="167" fontId="71" fillId="32" borderId="2" xfId="23" applyNumberFormat="1" applyFont="1" applyFill="1" applyBorder="1" applyAlignment="1">
      <alignment horizontal="center" vertical="center"/>
    </xf>
    <xf numFmtId="0" fontId="70" fillId="32" borderId="2" xfId="23" applyFont="1" applyFill="1" applyBorder="1" applyAlignment="1">
      <alignment horizontal="center" vertical="center"/>
    </xf>
    <xf numFmtId="0" fontId="69" fillId="34" borderId="0" xfId="22" applyFont="1" applyFill="1" applyAlignment="1">
      <alignment horizontal="center"/>
    </xf>
    <xf numFmtId="0" fontId="73" fillId="34" borderId="0" xfId="22" applyFont="1" applyFill="1" applyAlignment="1">
      <alignment horizontal="left"/>
    </xf>
    <xf numFmtId="0" fontId="74" fillId="34" borderId="0" xfId="22" applyFont="1" applyFill="1" applyAlignment="1">
      <alignment horizontal="center" vertical="center"/>
    </xf>
    <xf numFmtId="0" fontId="66" fillId="34" borderId="0" xfId="22" applyFont="1" applyFill="1" applyAlignment="1">
      <alignment horizontal="center"/>
    </xf>
    <xf numFmtId="0" fontId="69" fillId="34" borderId="0" xfId="22" applyFont="1" applyFill="1"/>
    <xf numFmtId="0" fontId="75" fillId="34" borderId="0" xfId="22" applyFont="1" applyFill="1" applyAlignment="1">
      <alignment horizontal="center"/>
    </xf>
    <xf numFmtId="0" fontId="3" fillId="0" borderId="0" xfId="0" applyFont="1"/>
    <xf numFmtId="0" fontId="2" fillId="0" borderId="0" xfId="0" applyFont="1"/>
    <xf numFmtId="0" fontId="18" fillId="7" borderId="3" xfId="0" applyFont="1" applyFill="1" applyBorder="1" applyAlignment="1">
      <alignment horizontal="center" wrapText="1"/>
    </xf>
    <xf numFmtId="0" fontId="18" fillId="7" borderId="5" xfId="0" applyFont="1" applyFill="1" applyBorder="1" applyAlignment="1">
      <alignment horizontal="center" wrapText="1"/>
    </xf>
    <xf numFmtId="0" fontId="18" fillId="7" borderId="1" xfId="0" applyFont="1" applyFill="1" applyBorder="1" applyAlignment="1">
      <alignment horizontal="center" wrapText="1"/>
    </xf>
    <xf numFmtId="0" fontId="15" fillId="7" borderId="3" xfId="0" applyFont="1" applyFill="1" applyBorder="1" applyAlignment="1">
      <alignment horizontal="center" wrapText="1"/>
    </xf>
    <xf numFmtId="0" fontId="15" fillId="7" borderId="5" xfId="0" applyFont="1" applyFill="1" applyBorder="1" applyAlignment="1">
      <alignment horizontal="center" wrapText="1"/>
    </xf>
    <xf numFmtId="0" fontId="15" fillId="7" borderId="1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14" fontId="17" fillId="0" borderId="3" xfId="0" applyNumberFormat="1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30" fillId="0" borderId="4" xfId="0" applyFont="1" applyBorder="1" applyAlignment="1">
      <alignment horizontal="center" wrapText="1"/>
    </xf>
    <xf numFmtId="0" fontId="30" fillId="0" borderId="7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0" fillId="0" borderId="9" xfId="0" applyFont="1" applyBorder="1" applyAlignment="1">
      <alignment horizontal="center" wrapText="1"/>
    </xf>
    <xf numFmtId="14" fontId="17" fillId="7" borderId="3" xfId="0" applyNumberFormat="1" applyFont="1" applyFill="1" applyBorder="1" applyAlignment="1">
      <alignment horizontal="center" wrapText="1"/>
    </xf>
    <xf numFmtId="0" fontId="17" fillId="7" borderId="5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7" borderId="3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0" fontId="17" fillId="7" borderId="3" xfId="0" applyFont="1" applyFill="1" applyBorder="1" applyAlignment="1">
      <alignment horizontal="center" wrapText="1"/>
    </xf>
    <xf numFmtId="0" fontId="17" fillId="7" borderId="3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14" fontId="17" fillId="7" borderId="3" xfId="0" applyNumberFormat="1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51" fillId="23" borderId="14" xfId="0" applyFont="1" applyFill="1" applyBorder="1" applyAlignment="1">
      <alignment horizontal="left" wrapText="1"/>
    </xf>
    <xf numFmtId="0" fontId="51" fillId="23" borderId="15" xfId="0" applyFont="1" applyFill="1" applyBorder="1" applyAlignment="1">
      <alignment horizontal="left"/>
    </xf>
    <xf numFmtId="0" fontId="51" fillId="23" borderId="16" xfId="0" applyFont="1" applyFill="1" applyBorder="1" applyAlignment="1">
      <alignment horizontal="left"/>
    </xf>
    <xf numFmtId="0" fontId="51" fillId="23" borderId="7" xfId="0" applyFont="1" applyFill="1" applyBorder="1" applyAlignment="1">
      <alignment horizontal="center" wrapText="1"/>
    </xf>
    <xf numFmtId="0" fontId="51" fillId="23" borderId="11" xfId="0" applyFont="1" applyFill="1" applyBorder="1" applyAlignment="1">
      <alignment horizontal="center" wrapText="1"/>
    </xf>
    <xf numFmtId="0" fontId="51" fillId="23" borderId="9" xfId="0" applyFont="1" applyFill="1" applyBorder="1" applyAlignment="1">
      <alignment horizontal="center" wrapText="1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vertical="center" wrapText="1"/>
    </xf>
    <xf numFmtId="0" fontId="17" fillId="7" borderId="5" xfId="0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 wrapText="1"/>
    </xf>
    <xf numFmtId="14" fontId="17" fillId="7" borderId="3" xfId="0" applyNumberFormat="1" applyFont="1" applyFill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7" fillId="7" borderId="3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14" fontId="47" fillId="0" borderId="2" xfId="0" applyNumberFormat="1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5" fillId="0" borderId="2" xfId="11" applyFon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49" fillId="7" borderId="3" xfId="0" applyFont="1" applyFill="1" applyBorder="1" applyAlignment="1">
      <alignment horizontal="center" vertical="center" wrapText="1"/>
    </xf>
    <xf numFmtId="0" fontId="49" fillId="7" borderId="5" xfId="0" applyFont="1" applyFill="1" applyBorder="1" applyAlignment="1">
      <alignment horizontal="center" vertical="center" wrapText="1"/>
    </xf>
    <xf numFmtId="0" fontId="49" fillId="7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7" fillId="3" borderId="3" xfId="0" applyFont="1" applyFill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62" fillId="0" borderId="37" xfId="21" applyFont="1" applyBorder="1" applyAlignment="1">
      <alignment horizontal="center" vertical="center" wrapText="1"/>
    </xf>
    <xf numFmtId="0" fontId="64" fillId="9" borderId="2" xfId="21" applyFont="1" applyFill="1" applyBorder="1" applyAlignment="1">
      <alignment horizontal="center" vertical="center" wrapText="1"/>
    </xf>
    <xf numFmtId="0" fontId="66" fillId="16" borderId="12" xfId="11" applyFont="1" applyFill="1" applyBorder="1" applyAlignment="1">
      <alignment horizontal="center" vertical="center"/>
    </xf>
    <xf numFmtId="0" fontId="66" fillId="16" borderId="17" xfId="11" applyFont="1" applyFill="1" applyBorder="1" applyAlignment="1">
      <alignment horizontal="center" vertical="center"/>
    </xf>
    <xf numFmtId="0" fontId="66" fillId="16" borderId="13" xfId="11" applyFont="1" applyFill="1" applyBorder="1" applyAlignment="1">
      <alignment horizontal="center" vertical="center"/>
    </xf>
    <xf numFmtId="0" fontId="66" fillId="30" borderId="12" xfId="11" applyFont="1" applyFill="1" applyBorder="1" applyAlignment="1">
      <alignment horizontal="center" vertical="center"/>
    </xf>
    <xf numFmtId="0" fontId="66" fillId="30" borderId="17" xfId="11" applyFont="1" applyFill="1" applyBorder="1" applyAlignment="1">
      <alignment horizontal="center" vertical="center"/>
    </xf>
    <xf numFmtId="0" fontId="66" fillId="30" borderId="13" xfId="11" applyFont="1" applyFill="1" applyBorder="1" applyAlignment="1">
      <alignment horizontal="center" vertical="center"/>
    </xf>
    <xf numFmtId="0" fontId="71" fillId="32" borderId="12" xfId="23" applyFont="1" applyFill="1" applyBorder="1" applyAlignment="1">
      <alignment horizontal="center" vertical="center"/>
    </xf>
    <xf numFmtId="0" fontId="71" fillId="32" borderId="17" xfId="23" applyFont="1" applyFill="1" applyBorder="1" applyAlignment="1">
      <alignment horizontal="center" vertical="center"/>
    </xf>
    <xf numFmtId="0" fontId="71" fillId="32" borderId="13" xfId="23" applyFont="1" applyFill="1" applyBorder="1" applyAlignment="1">
      <alignment horizontal="center" vertical="center"/>
    </xf>
    <xf numFmtId="0" fontId="59" fillId="24" borderId="18" xfId="20" applyFont="1" applyFill="1" applyBorder="1" applyAlignment="1">
      <alignment horizontal="center" vertical="center"/>
    </xf>
    <xf numFmtId="0" fontId="59" fillId="24" borderId="19" xfId="20" applyFont="1" applyFill="1" applyBorder="1" applyAlignment="1">
      <alignment horizontal="center" vertical="center"/>
    </xf>
    <xf numFmtId="0" fontId="59" fillId="24" borderId="20" xfId="20" applyFont="1" applyFill="1" applyBorder="1" applyAlignment="1">
      <alignment horizontal="center" vertical="center"/>
    </xf>
    <xf numFmtId="0" fontId="59" fillId="24" borderId="22" xfId="20" applyFont="1" applyFill="1" applyBorder="1" applyAlignment="1">
      <alignment horizontal="center" vertical="center"/>
    </xf>
    <xf numFmtId="0" fontId="59" fillId="24" borderId="2" xfId="20" applyFont="1" applyFill="1" applyBorder="1" applyAlignment="1">
      <alignment horizontal="center" vertical="center"/>
    </xf>
    <xf numFmtId="0" fontId="59" fillId="24" borderId="21" xfId="20" applyFont="1" applyFill="1" applyBorder="1" applyAlignment="1">
      <alignment horizontal="center" vertical="center"/>
    </xf>
    <xf numFmtId="0" fontId="59" fillId="24" borderId="0" xfId="20" applyFont="1" applyFill="1" applyAlignment="1">
      <alignment horizontal="center" vertical="center"/>
    </xf>
    <xf numFmtId="0" fontId="59" fillId="14" borderId="2" xfId="20" applyFont="1" applyFill="1" applyBorder="1" applyAlignment="1">
      <alignment horizontal="center" vertical="center"/>
    </xf>
    <xf numFmtId="0" fontId="59" fillId="26" borderId="2" xfId="20" applyFont="1" applyFill="1" applyBorder="1" applyAlignment="1">
      <alignment horizontal="center" vertical="center"/>
    </xf>
    <xf numFmtId="0" fontId="59" fillId="26" borderId="23" xfId="20" applyFont="1" applyFill="1" applyBorder="1" applyAlignment="1">
      <alignment horizontal="center" vertical="center"/>
    </xf>
    <xf numFmtId="0" fontId="59" fillId="26" borderId="36" xfId="20" applyFont="1" applyFill="1" applyBorder="1" applyAlignment="1">
      <alignment horizontal="center" vertical="center"/>
    </xf>
    <xf numFmtId="0" fontId="59" fillId="26" borderId="13" xfId="20" applyFont="1" applyFill="1" applyBorder="1" applyAlignment="1">
      <alignment horizontal="center" vertical="center"/>
    </xf>
    <xf numFmtId="0" fontId="59" fillId="26" borderId="33" xfId="20" applyFont="1" applyFill="1" applyBorder="1" applyAlignment="1">
      <alignment horizontal="center" vertical="center"/>
    </xf>
    <xf numFmtId="0" fontId="59" fillId="14" borderId="28" xfId="20" applyFont="1" applyFill="1" applyBorder="1" applyAlignment="1">
      <alignment horizontal="center" vertical="center"/>
    </xf>
    <xf numFmtId="0" fontId="59" fillId="14" borderId="5" xfId="20" applyFont="1" applyFill="1" applyBorder="1" applyAlignment="1">
      <alignment horizontal="center" vertical="center"/>
    </xf>
    <xf numFmtId="0" fontId="59" fillId="28" borderId="27" xfId="20" applyFont="1" applyFill="1" applyBorder="1" applyAlignment="1">
      <alignment horizontal="center" vertical="center"/>
    </xf>
    <xf numFmtId="0" fontId="59" fillId="28" borderId="29" xfId="20" applyFont="1" applyFill="1" applyBorder="1" applyAlignment="1">
      <alignment horizontal="center" vertical="center"/>
    </xf>
    <xf numFmtId="0" fontId="59" fillId="28" borderId="30" xfId="20" applyFont="1" applyFill="1" applyBorder="1" applyAlignment="1">
      <alignment horizontal="center" vertical="center"/>
    </xf>
    <xf numFmtId="0" fontId="59" fillId="27" borderId="25" xfId="20" applyFont="1" applyFill="1" applyBorder="1" applyAlignment="1">
      <alignment horizontal="center" vertical="center"/>
    </xf>
    <xf numFmtId="0" fontId="59" fillId="27" borderId="29" xfId="20" applyFont="1" applyFill="1" applyBorder="1" applyAlignment="1">
      <alignment horizontal="center" vertical="center"/>
    </xf>
    <xf numFmtId="0" fontId="59" fillId="27" borderId="30" xfId="20" applyFont="1" applyFill="1" applyBorder="1" applyAlignment="1">
      <alignment horizontal="center" vertical="center"/>
    </xf>
    <xf numFmtId="0" fontId="59" fillId="14" borderId="3" xfId="20" applyFont="1" applyFill="1" applyBorder="1" applyAlignment="1">
      <alignment horizontal="center" vertical="center"/>
    </xf>
    <xf numFmtId="0" fontId="59" fillId="14" borderId="19" xfId="20" applyFont="1" applyFill="1" applyBorder="1" applyAlignment="1">
      <alignment horizontal="center" vertical="center"/>
    </xf>
    <xf numFmtId="0" fontId="59" fillId="24" borderId="23" xfId="20" applyFont="1" applyFill="1" applyBorder="1" applyAlignment="1">
      <alignment horizontal="center" vertical="center"/>
    </xf>
    <xf numFmtId="0" fontId="59" fillId="24" borderId="36" xfId="20" applyFont="1" applyFill="1" applyBorder="1" applyAlignment="1">
      <alignment horizontal="center" vertical="center"/>
    </xf>
    <xf numFmtId="0" fontId="59" fillId="21" borderId="2" xfId="20" applyFont="1" applyFill="1" applyBorder="1" applyAlignment="1">
      <alignment horizontal="center" vertical="center"/>
    </xf>
    <xf numFmtId="0" fontId="59" fillId="24" borderId="27" xfId="20" applyFont="1" applyFill="1" applyBorder="1" applyAlignment="1">
      <alignment horizontal="center" vertical="center"/>
    </xf>
    <xf numFmtId="0" fontId="59" fillId="24" borderId="29" xfId="20" applyFont="1" applyFill="1" applyBorder="1" applyAlignment="1">
      <alignment horizontal="center" vertical="center"/>
    </xf>
    <xf numFmtId="0" fontId="59" fillId="24" borderId="30" xfId="20" applyFont="1" applyFill="1" applyBorder="1" applyAlignment="1">
      <alignment horizontal="center" vertical="center"/>
    </xf>
    <xf numFmtId="0" fontId="59" fillId="21" borderId="5" xfId="20" applyFont="1" applyFill="1" applyBorder="1" applyAlignment="1">
      <alignment horizontal="center" vertical="center"/>
    </xf>
    <xf numFmtId="0" fontId="59" fillId="0" borderId="2" xfId="20" applyFont="1" applyBorder="1" applyAlignment="1">
      <alignment horizontal="center" vertical="center"/>
    </xf>
    <xf numFmtId="0" fontId="59" fillId="26" borderId="27" xfId="20" applyFont="1" applyFill="1" applyBorder="1" applyAlignment="1">
      <alignment horizontal="center" vertical="center"/>
    </xf>
    <xf numFmtId="0" fontId="59" fillId="26" borderId="29" xfId="20" applyFont="1" applyFill="1" applyBorder="1" applyAlignment="1">
      <alignment horizontal="center" vertical="center"/>
    </xf>
    <xf numFmtId="0" fontId="59" fillId="26" borderId="30" xfId="20" applyFont="1" applyFill="1" applyBorder="1" applyAlignment="1">
      <alignment horizontal="center" vertical="center"/>
    </xf>
    <xf numFmtId="0" fontId="59" fillId="27" borderId="27" xfId="20" applyFont="1" applyFill="1" applyBorder="1" applyAlignment="1">
      <alignment horizontal="center" vertical="center"/>
    </xf>
    <xf numFmtId="0" fontId="59" fillId="14" borderId="31" xfId="20" applyFont="1" applyFill="1" applyBorder="1" applyAlignment="1">
      <alignment horizontal="center" vertical="center"/>
    </xf>
    <xf numFmtId="0" fontId="59" fillId="0" borderId="3" xfId="20" applyFont="1" applyBorder="1" applyAlignment="1">
      <alignment horizontal="center" vertical="center"/>
    </xf>
    <xf numFmtId="0" fontId="59" fillId="0" borderId="5" xfId="20" applyFont="1" applyBorder="1" applyAlignment="1">
      <alignment horizontal="center" vertical="center"/>
    </xf>
    <xf numFmtId="0" fontId="59" fillId="0" borderId="34" xfId="20" applyFont="1" applyBorder="1" applyAlignment="1">
      <alignment horizontal="center" vertical="center"/>
    </xf>
    <xf numFmtId="0" fontId="59" fillId="0" borderId="1" xfId="20" applyFont="1" applyBorder="1" applyAlignment="1">
      <alignment horizontal="center" vertical="center"/>
    </xf>
    <xf numFmtId="0" fontId="59" fillId="14" borderId="34" xfId="20" applyFont="1" applyFill="1" applyBorder="1" applyAlignment="1">
      <alignment horizontal="center" vertical="center"/>
    </xf>
    <xf numFmtId="0" fontId="59" fillId="0" borderId="31" xfId="20" applyFont="1" applyBorder="1" applyAlignment="1">
      <alignment horizontal="center" vertical="center"/>
    </xf>
    <xf numFmtId="0" fontId="59" fillId="21" borderId="3" xfId="20" applyFont="1" applyFill="1" applyBorder="1" applyAlignment="1">
      <alignment horizontal="center" vertical="center"/>
    </xf>
    <xf numFmtId="0" fontId="59" fillId="21" borderId="1" xfId="20" applyFont="1" applyFill="1" applyBorder="1" applyAlignment="1">
      <alignment horizontal="center" vertical="center"/>
    </xf>
    <xf numFmtId="0" fontId="59" fillId="14" borderId="1" xfId="20" applyFont="1" applyFill="1" applyBorder="1" applyAlignment="1">
      <alignment horizontal="center" vertical="center"/>
    </xf>
    <xf numFmtId="0" fontId="59" fillId="21" borderId="34" xfId="2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</cellXfs>
  <cellStyles count="27">
    <cellStyle name="Bình thường 2" xfId="6" xr:uid="{B4A15044-2CEE-4882-8C58-2D8B640CB36C}"/>
    <cellStyle name="Bình thường 3" xfId="5" xr:uid="{A9F50442-1C88-4CDD-87D6-4606391668B1}"/>
    <cellStyle name="Bình thường 4" xfId="18" xr:uid="{C49BA5FC-B92B-4547-9076-BBB7AE9B5EC5}"/>
    <cellStyle name="Comma 2" xfId="7" xr:uid="{EE43F1C0-F791-4275-858C-ED345684F0CC}"/>
    <cellStyle name="Dấu phẩy 2" xfId="9" xr:uid="{5D39DC8D-2191-46E1-8F16-F571E7779CCD}"/>
    <cellStyle name="Dấu phẩy 3" xfId="8" xr:uid="{2C52EF0D-8F34-4132-92B0-8B851E9D392D}"/>
    <cellStyle name="Hyperlink" xfId="24" builtinId="8"/>
    <cellStyle name="Normal" xfId="0" builtinId="0"/>
    <cellStyle name="Normal 18" xfId="10" xr:uid="{7D4A76B5-D9A9-4B11-89C6-7F51866E47CD}"/>
    <cellStyle name="Normal 2" xfId="1" xr:uid="{09F24736-85B1-47F7-A005-F676BDE21CA0}"/>
    <cellStyle name="Normal 2 2" xfId="3" xr:uid="{8EFECED7-8A7B-4238-A0C4-B45B7CB68420}"/>
    <cellStyle name="Normal 2 2 2" xfId="12" xr:uid="{557DC01C-EA4C-47C2-8E13-AB4A8698A847}"/>
    <cellStyle name="Normal 2 3" xfId="11" xr:uid="{EEDA32AC-9EFD-4CBC-9B53-AEEB3DCC5635}"/>
    <cellStyle name="Normal 3" xfId="13" xr:uid="{D9ED0224-77E3-446A-B542-C910ED2AC22B}"/>
    <cellStyle name="Normal 3 2" xfId="14" xr:uid="{0003C4BA-4339-4795-8730-6E331523631E}"/>
    <cellStyle name="Normal 4" xfId="15" xr:uid="{D2C43011-38E7-481C-B7A9-4289FA8E4935}"/>
    <cellStyle name="Normal 4 2 3 7" xfId="25" xr:uid="{E7FAEBA1-A160-49A3-B023-7FAD81695160}"/>
    <cellStyle name="Normal 4 2 3 7 2" xfId="26" xr:uid="{9C40E3E1-6255-403B-A0ED-D23DD4B2ADF9}"/>
    <cellStyle name="Normal 5" xfId="19" xr:uid="{62CE5FFE-456F-4F62-B92F-E28A3CD68713}"/>
    <cellStyle name="Normal 5 2" xfId="22" xr:uid="{FF7FE187-F5BD-4221-8082-F69715EE7A27}"/>
    <cellStyle name="Normal 6" xfId="20" xr:uid="{93957340-C577-4BE2-BD38-A03B0D8A1C22}"/>
    <cellStyle name="Normal 6 2" xfId="23" xr:uid="{77242871-5722-406D-8966-56771EEE6572}"/>
    <cellStyle name="Phần trăm 2" xfId="4" xr:uid="{36B1C41B-CE95-4F18-93A9-CDEE5C1F31CB}"/>
    <cellStyle name="一般 3" xfId="16" xr:uid="{67A9D1B1-DD9A-415B-981C-0F8A1498CD40}"/>
    <cellStyle name="一般 3 2" xfId="17" xr:uid="{AD180919-CA29-434D-B63B-0004021820C4}"/>
    <cellStyle name="一般_Sheet1 2" xfId="21" xr:uid="{6DDB5F19-29EE-4AB2-A85A-821720344055}"/>
    <cellStyle name="百分比 2" xfId="2" xr:uid="{D7C0DAE6-F97A-4B4E-984C-44E6B9B54EA7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6" Type="http://schemas.openxmlformats.org/officeDocument/2006/relationships/image" Target="../media/image14.jpeg"/><Relationship Id="rId5" Type="http://schemas.openxmlformats.org/officeDocument/2006/relationships/image" Target="../media/image13.png"/><Relationship Id="rId4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jpe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Relationship Id="rId9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5" Type="http://schemas.openxmlformats.org/officeDocument/2006/relationships/image" Target="../media/image24.png"/><Relationship Id="rId4" Type="http://schemas.openxmlformats.org/officeDocument/2006/relationships/image" Target="../media/image1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jpeg"/><Relationship Id="rId1" Type="http://schemas.openxmlformats.org/officeDocument/2006/relationships/image" Target="../media/image2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jpeg"/><Relationship Id="rId2" Type="http://schemas.openxmlformats.org/officeDocument/2006/relationships/image" Target="../media/image29.jpg"/><Relationship Id="rId1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jpg"/><Relationship Id="rId2" Type="http://schemas.openxmlformats.org/officeDocument/2006/relationships/image" Target="../media/image32.jpe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348</xdr:row>
      <xdr:rowOff>1</xdr:rowOff>
    </xdr:from>
    <xdr:to>
      <xdr:col>37</xdr:col>
      <xdr:colOff>333374</xdr:colOff>
      <xdr:row>351</xdr:row>
      <xdr:rowOff>377273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96D92FBE-7F1A-4740-979F-E8F1B2D6B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8850" y="183318151"/>
          <a:ext cx="6153150" cy="775589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344</xdr:row>
      <xdr:rowOff>19050</xdr:rowOff>
    </xdr:from>
    <xdr:to>
      <xdr:col>37</xdr:col>
      <xdr:colOff>400049</xdr:colOff>
      <xdr:row>349</xdr:row>
      <xdr:rowOff>377534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9B838AEC-B6AB-471A-AFBC-0C482B117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2200" y="179936775"/>
          <a:ext cx="615315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17317</xdr:colOff>
      <xdr:row>264</xdr:row>
      <xdr:rowOff>0</xdr:rowOff>
    </xdr:from>
    <xdr:to>
      <xdr:col>31</xdr:col>
      <xdr:colOff>51953</xdr:colOff>
      <xdr:row>265</xdr:row>
      <xdr:rowOff>60614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7CB655-F57F-D8DD-1787-1B0456F23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3226" y="85932818"/>
          <a:ext cx="1532659" cy="467591"/>
        </a:xfrm>
        <a:prstGeom prst="rect">
          <a:avLst/>
        </a:prstGeom>
      </xdr:spPr>
    </xdr:pic>
    <xdr:clientData/>
  </xdr:twoCellAnchor>
  <xdr:twoCellAnchor editAs="oneCell">
    <xdr:from>
      <xdr:col>29</xdr:col>
      <xdr:colOff>2609851</xdr:colOff>
      <xdr:row>492</xdr:row>
      <xdr:rowOff>28576</xdr:rowOff>
    </xdr:from>
    <xdr:to>
      <xdr:col>30</xdr:col>
      <xdr:colOff>1647826</xdr:colOff>
      <xdr:row>492</xdr:row>
      <xdr:rowOff>990600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B1A6F3DF-2136-626D-16B0-47B2E1B4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676" y="120824626"/>
          <a:ext cx="1657350" cy="962024"/>
        </a:xfrm>
        <a:prstGeom prst="rect">
          <a:avLst/>
        </a:prstGeom>
      </xdr:spPr>
    </xdr:pic>
    <xdr:clientData/>
  </xdr:twoCellAnchor>
  <xdr:twoCellAnchor editAs="oneCell">
    <xdr:from>
      <xdr:col>30</xdr:col>
      <xdr:colOff>1657351</xdr:colOff>
      <xdr:row>492</xdr:row>
      <xdr:rowOff>9526</xdr:rowOff>
    </xdr:from>
    <xdr:to>
      <xdr:col>32</xdr:col>
      <xdr:colOff>85726</xdr:colOff>
      <xdr:row>492</xdr:row>
      <xdr:rowOff>1000125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0A8B7665-5CDA-1E33-729B-04AED86F6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4551" y="120805576"/>
          <a:ext cx="819150" cy="990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241</xdr:row>
      <xdr:rowOff>0</xdr:rowOff>
    </xdr:from>
    <xdr:to>
      <xdr:col>33</xdr:col>
      <xdr:colOff>0</xdr:colOff>
      <xdr:row>247</xdr:row>
      <xdr:rowOff>42164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A192E844-EF1B-4979-89E3-EA773BDC8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79225" y="73390126"/>
          <a:ext cx="3076575" cy="1423289"/>
        </a:xfrm>
        <a:prstGeom prst="rect">
          <a:avLst/>
        </a:prstGeom>
      </xdr:spPr>
    </xdr:pic>
    <xdr:clientData/>
  </xdr:twoCellAnchor>
  <xdr:twoCellAnchor editAs="oneCell">
    <xdr:from>
      <xdr:col>29</xdr:col>
      <xdr:colOff>19049</xdr:colOff>
      <xdr:row>114</xdr:row>
      <xdr:rowOff>57149</xdr:rowOff>
    </xdr:from>
    <xdr:to>
      <xdr:col>29</xdr:col>
      <xdr:colOff>1733550</xdr:colOff>
      <xdr:row>126</xdr:row>
      <xdr:rowOff>9524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2C10501F-2C1B-43C7-B114-8F837A903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49" y="28213049"/>
          <a:ext cx="1714501" cy="31527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102</xdr:row>
      <xdr:rowOff>0</xdr:rowOff>
    </xdr:from>
    <xdr:to>
      <xdr:col>30</xdr:col>
      <xdr:colOff>504356</xdr:colOff>
      <xdr:row>111</xdr:row>
      <xdr:rowOff>380652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0C9D7567-E6E8-48E9-542A-90A7491B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45500" y="24469725"/>
          <a:ext cx="3752381" cy="278095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102</xdr:row>
      <xdr:rowOff>0</xdr:rowOff>
    </xdr:from>
    <xdr:to>
      <xdr:col>34</xdr:col>
      <xdr:colOff>370958</xdr:colOff>
      <xdr:row>111</xdr:row>
      <xdr:rowOff>75890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B57090DD-926F-26FA-0288-40C5B81DC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93525" y="24469725"/>
          <a:ext cx="4133333" cy="24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10468</xdr:colOff>
      <xdr:row>78</xdr:row>
      <xdr:rowOff>12222</xdr:rowOff>
    </xdr:from>
    <xdr:to>
      <xdr:col>29</xdr:col>
      <xdr:colOff>1759193</xdr:colOff>
      <xdr:row>79</xdr:row>
      <xdr:rowOff>20934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145C57A4-5635-E32A-97B3-B2EE6E7BC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3298" y="16518733"/>
          <a:ext cx="1747994" cy="7623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199</xdr:row>
      <xdr:rowOff>0</xdr:rowOff>
    </xdr:from>
    <xdr:to>
      <xdr:col>31</xdr:col>
      <xdr:colOff>208796</xdr:colOff>
      <xdr:row>200</xdr:row>
      <xdr:rowOff>98794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C6B7F2B5-38AC-79B5-27E9-CEFD4965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79425" y="46767750"/>
          <a:ext cx="4257143" cy="685800"/>
        </a:xfrm>
        <a:prstGeom prst="rect">
          <a:avLst/>
        </a:prstGeom>
      </xdr:spPr>
    </xdr:pic>
    <xdr:clientData/>
  </xdr:twoCellAnchor>
  <xdr:oneCellAnchor>
    <xdr:from>
      <xdr:col>29</xdr:col>
      <xdr:colOff>0</xdr:colOff>
      <xdr:row>297</xdr:row>
      <xdr:rowOff>0</xdr:rowOff>
    </xdr:from>
    <xdr:ext cx="4262460" cy="696876"/>
    <xdr:pic>
      <xdr:nvPicPr>
        <xdr:cNvPr id="2" name="Hình ảnh 1">
          <a:extLst>
            <a:ext uri="{FF2B5EF4-FFF2-40B4-BE49-F238E27FC236}">
              <a16:creationId xmlns:a16="http://schemas.microsoft.com/office/drawing/2014/main" id="{E3AC573D-0972-472B-9C1E-3A5F38EC6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64360" y="47968343"/>
          <a:ext cx="4262460" cy="696876"/>
        </a:xfrm>
        <a:prstGeom prst="rect">
          <a:avLst/>
        </a:prstGeom>
      </xdr:spPr>
    </xdr:pic>
    <xdr:clientData/>
  </xdr:oneCellAnchor>
  <xdr:twoCellAnchor editAs="oneCell">
    <xdr:from>
      <xdr:col>29</xdr:col>
      <xdr:colOff>44302</xdr:colOff>
      <xdr:row>156</xdr:row>
      <xdr:rowOff>166134</xdr:rowOff>
    </xdr:from>
    <xdr:to>
      <xdr:col>30</xdr:col>
      <xdr:colOff>55378</xdr:colOff>
      <xdr:row>158</xdr:row>
      <xdr:rowOff>276891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9B1F1398-ABCC-4716-936B-E82E52592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97587" y="38077849"/>
          <a:ext cx="2359100" cy="642384"/>
        </a:xfrm>
        <a:prstGeom prst="rect">
          <a:avLst/>
        </a:prstGeom>
      </xdr:spPr>
    </xdr:pic>
    <xdr:clientData/>
  </xdr:twoCellAnchor>
  <xdr:twoCellAnchor editAs="oneCell">
    <xdr:from>
      <xdr:col>28</xdr:col>
      <xdr:colOff>3056860</xdr:colOff>
      <xdr:row>118</xdr:row>
      <xdr:rowOff>33226</xdr:rowOff>
    </xdr:from>
    <xdr:to>
      <xdr:col>29</xdr:col>
      <xdr:colOff>1728680</xdr:colOff>
      <xdr:row>118</xdr:row>
      <xdr:rowOff>553779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34592A87-5856-4FEC-0F18-2F05C259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2209" y="27533895"/>
          <a:ext cx="1738867" cy="520553"/>
        </a:xfrm>
        <a:prstGeom prst="rect">
          <a:avLst/>
        </a:prstGeom>
      </xdr:spPr>
    </xdr:pic>
    <xdr:clientData/>
  </xdr:twoCellAnchor>
  <xdr:twoCellAnchor editAs="oneCell">
    <xdr:from>
      <xdr:col>28</xdr:col>
      <xdr:colOff>44303</xdr:colOff>
      <xdr:row>310</xdr:row>
      <xdr:rowOff>33226</xdr:rowOff>
    </xdr:from>
    <xdr:to>
      <xdr:col>29</xdr:col>
      <xdr:colOff>121833</xdr:colOff>
      <xdr:row>313</xdr:row>
      <xdr:rowOff>66453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26B379EF-2724-A2F2-43C3-D1259CE7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18576" y="76609796"/>
          <a:ext cx="3156540" cy="94142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211</xdr:row>
      <xdr:rowOff>2</xdr:rowOff>
    </xdr:from>
    <xdr:to>
      <xdr:col>29</xdr:col>
      <xdr:colOff>2283951</xdr:colOff>
      <xdr:row>214</xdr:row>
      <xdr:rowOff>1</xdr:rowOff>
    </xdr:to>
    <xdr:pic>
      <xdr:nvPicPr>
        <xdr:cNvPr id="9" name="Hình ảnh 8">
          <a:extLst>
            <a:ext uri="{FF2B5EF4-FFF2-40B4-BE49-F238E27FC236}">
              <a16:creationId xmlns:a16="http://schemas.microsoft.com/office/drawing/2014/main" id="{2234E76E-C759-B8B2-B805-E4A93AF41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5748226" y="50380083"/>
          <a:ext cx="706693" cy="2283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312</xdr:row>
      <xdr:rowOff>0</xdr:rowOff>
    </xdr:from>
    <xdr:to>
      <xdr:col>33</xdr:col>
      <xdr:colOff>0</xdr:colOff>
      <xdr:row>316</xdr:row>
      <xdr:rowOff>89791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F48B0F6A-DDCD-40A5-8ABE-BDE21531A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0" y="69027676"/>
          <a:ext cx="3076575" cy="1423289"/>
        </a:xfrm>
        <a:prstGeom prst="rect">
          <a:avLst/>
        </a:prstGeom>
      </xdr:spPr>
    </xdr:pic>
    <xdr:clientData/>
  </xdr:twoCellAnchor>
  <xdr:twoCellAnchor editAs="oneCell">
    <xdr:from>
      <xdr:col>30</xdr:col>
      <xdr:colOff>147410</xdr:colOff>
      <xdr:row>99</xdr:row>
      <xdr:rowOff>1</xdr:rowOff>
    </xdr:from>
    <xdr:to>
      <xdr:col>33</xdr:col>
      <xdr:colOff>208015</xdr:colOff>
      <xdr:row>102</xdr:row>
      <xdr:rowOff>136072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ACA691DA-EF00-D6D2-0D8B-C9A2CDE8A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18571" y="26953483"/>
          <a:ext cx="3122212" cy="1304017"/>
        </a:xfrm>
        <a:prstGeom prst="rect">
          <a:avLst/>
        </a:prstGeom>
      </xdr:spPr>
    </xdr:pic>
    <xdr:clientData/>
  </xdr:twoCellAnchor>
  <xdr:twoCellAnchor editAs="oneCell">
    <xdr:from>
      <xdr:col>29</xdr:col>
      <xdr:colOff>54741</xdr:colOff>
      <xdr:row>195</xdr:row>
      <xdr:rowOff>0</xdr:rowOff>
    </xdr:from>
    <xdr:to>
      <xdr:col>29</xdr:col>
      <xdr:colOff>1800208</xdr:colOff>
      <xdr:row>198</xdr:row>
      <xdr:rowOff>76637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41224C30-5F76-D539-DC03-0337E6BAF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4741" y="58901724"/>
          <a:ext cx="1740776" cy="125905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195</xdr:row>
      <xdr:rowOff>1</xdr:rowOff>
    </xdr:from>
    <xdr:to>
      <xdr:col>30</xdr:col>
      <xdr:colOff>1492688</xdr:colOff>
      <xdr:row>198</xdr:row>
      <xdr:rowOff>98534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7BBC9DA4-B837-23B7-3938-BD4A7C90B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38879" y="58901725"/>
          <a:ext cx="1664138" cy="1280947"/>
        </a:xfrm>
        <a:prstGeom prst="rect">
          <a:avLst/>
        </a:prstGeom>
      </xdr:spPr>
    </xdr:pic>
    <xdr:clientData/>
  </xdr:twoCellAnchor>
  <xdr:twoCellAnchor editAs="oneCell">
    <xdr:from>
      <xdr:col>29</xdr:col>
      <xdr:colOff>22676</xdr:colOff>
      <xdr:row>156</xdr:row>
      <xdr:rowOff>2</xdr:rowOff>
    </xdr:from>
    <xdr:to>
      <xdr:col>29</xdr:col>
      <xdr:colOff>1780267</xdr:colOff>
      <xdr:row>156</xdr:row>
      <xdr:rowOff>703035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E1EF8ED8-D72A-4C2F-FD70-58B22D0E1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398616" y="44104152"/>
          <a:ext cx="703033" cy="1757591"/>
        </a:xfrm>
        <a:prstGeom prst="rect">
          <a:avLst/>
        </a:prstGeom>
      </xdr:spPr>
    </xdr:pic>
    <xdr:clientData/>
  </xdr:twoCellAnchor>
  <xdr:twoCellAnchor editAs="oneCell">
    <xdr:from>
      <xdr:col>28</xdr:col>
      <xdr:colOff>1882318</xdr:colOff>
      <xdr:row>159</xdr:row>
      <xdr:rowOff>1</xdr:rowOff>
    </xdr:from>
    <xdr:to>
      <xdr:col>28</xdr:col>
      <xdr:colOff>3707946</xdr:colOff>
      <xdr:row>159</xdr:row>
      <xdr:rowOff>657681</xdr:rowOff>
    </xdr:to>
    <xdr:pic>
      <xdr:nvPicPr>
        <xdr:cNvPr id="9" name="Hình ảnh 8">
          <a:extLst>
            <a:ext uri="{FF2B5EF4-FFF2-40B4-BE49-F238E27FC236}">
              <a16:creationId xmlns:a16="http://schemas.microsoft.com/office/drawing/2014/main" id="{5C762282-5F3D-A7E1-F328-C54C750A6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432631" y="45646295"/>
          <a:ext cx="657680" cy="182562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153</xdr:row>
      <xdr:rowOff>90716</xdr:rowOff>
    </xdr:from>
    <xdr:to>
      <xdr:col>43</xdr:col>
      <xdr:colOff>68154</xdr:colOff>
      <xdr:row>166</xdr:row>
      <xdr:rowOff>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1EB94DF5-6A5E-BA43-BF2C-67D4D5D22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90714" y="43758305"/>
          <a:ext cx="9933333" cy="5567588"/>
        </a:xfrm>
        <a:prstGeom prst="rect">
          <a:avLst/>
        </a:prstGeom>
      </xdr:spPr>
    </xdr:pic>
    <xdr:clientData/>
  </xdr:twoCellAnchor>
  <xdr:twoCellAnchor editAs="oneCell">
    <xdr:from>
      <xdr:col>29</xdr:col>
      <xdr:colOff>45358</xdr:colOff>
      <xdr:row>33</xdr:row>
      <xdr:rowOff>0</xdr:rowOff>
    </xdr:from>
    <xdr:to>
      <xdr:col>29</xdr:col>
      <xdr:colOff>3038929</xdr:colOff>
      <xdr:row>37</xdr:row>
      <xdr:rowOff>408215</xdr:rowOff>
    </xdr:to>
    <xdr:pic>
      <xdr:nvPicPr>
        <xdr:cNvPr id="8" name="Hình ảnh 7">
          <a:extLst>
            <a:ext uri="{FF2B5EF4-FFF2-40B4-BE49-F238E27FC236}">
              <a16:creationId xmlns:a16="http://schemas.microsoft.com/office/drawing/2014/main" id="{0AB79519-73BD-CD9F-36A3-149EFB911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105179" y="5919107"/>
          <a:ext cx="2993571" cy="1406072"/>
        </a:xfrm>
        <a:prstGeom prst="rect">
          <a:avLst/>
        </a:prstGeom>
      </xdr:spPr>
    </xdr:pic>
    <xdr:clientData/>
  </xdr:twoCellAnchor>
  <xdr:twoCellAnchor editAs="oneCell">
    <xdr:from>
      <xdr:col>30</xdr:col>
      <xdr:colOff>90714</xdr:colOff>
      <xdr:row>35</xdr:row>
      <xdr:rowOff>0</xdr:rowOff>
    </xdr:from>
    <xdr:to>
      <xdr:col>33</xdr:col>
      <xdr:colOff>290774</xdr:colOff>
      <xdr:row>37</xdr:row>
      <xdr:rowOff>430893</xdr:rowOff>
    </xdr:to>
    <xdr:pic>
      <xdr:nvPicPr>
        <xdr:cNvPr id="10" name="Hình ảnh 9">
          <a:extLst>
            <a:ext uri="{FF2B5EF4-FFF2-40B4-BE49-F238E27FC236}">
              <a16:creationId xmlns:a16="http://schemas.microsoft.com/office/drawing/2014/main" id="{2E65C9B8-D96E-70E3-B321-DBBD7A978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223482" y="6418036"/>
          <a:ext cx="3261667" cy="9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352</xdr:row>
      <xdr:rowOff>0</xdr:rowOff>
    </xdr:from>
    <xdr:to>
      <xdr:col>33</xdr:col>
      <xdr:colOff>0</xdr:colOff>
      <xdr:row>356</xdr:row>
      <xdr:rowOff>89790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1BBFD6C2-4DDB-4A08-8C83-4F1155D68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36425" y="96050100"/>
          <a:ext cx="3076575" cy="142329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111</xdr:row>
      <xdr:rowOff>1</xdr:rowOff>
    </xdr:from>
    <xdr:to>
      <xdr:col>33</xdr:col>
      <xdr:colOff>208016</xdr:colOff>
      <xdr:row>114</xdr:row>
      <xdr:rowOff>317500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B5A2F516-82A5-45B7-9CC1-07F2D27D0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0" y="26184226"/>
          <a:ext cx="5008617" cy="1317624"/>
        </a:xfrm>
        <a:prstGeom prst="rect">
          <a:avLst/>
        </a:prstGeom>
      </xdr:spPr>
    </xdr:pic>
    <xdr:clientData/>
  </xdr:twoCellAnchor>
  <xdr:twoCellAnchor editAs="oneCell">
    <xdr:from>
      <xdr:col>29</xdr:col>
      <xdr:colOff>283481</xdr:colOff>
      <xdr:row>228</xdr:row>
      <xdr:rowOff>158749</xdr:rowOff>
    </xdr:from>
    <xdr:to>
      <xdr:col>30</xdr:col>
      <xdr:colOff>1689552</xdr:colOff>
      <xdr:row>234</xdr:row>
      <xdr:rowOff>45357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CAFB8C8D-5947-4F54-B460-634F100DA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10892" y="67003838"/>
          <a:ext cx="3129643" cy="206375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228</xdr:row>
      <xdr:rowOff>1</xdr:rowOff>
    </xdr:from>
    <xdr:to>
      <xdr:col>30</xdr:col>
      <xdr:colOff>1492688</xdr:colOff>
      <xdr:row>231</xdr:row>
      <xdr:rowOff>98534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8D2EF6A0-FA7A-4243-B95E-324405A1B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36425" y="59521726"/>
          <a:ext cx="1492688" cy="128915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381</xdr:row>
      <xdr:rowOff>0</xdr:rowOff>
    </xdr:from>
    <xdr:to>
      <xdr:col>31</xdr:col>
      <xdr:colOff>461248</xdr:colOff>
      <xdr:row>394</xdr:row>
      <xdr:rowOff>306041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998B09D6-E8A4-E49F-9DF3-C5F91B25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20804" y="112474375"/>
          <a:ext cx="3885714" cy="4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156</xdr:row>
      <xdr:rowOff>1</xdr:rowOff>
    </xdr:from>
    <xdr:to>
      <xdr:col>30</xdr:col>
      <xdr:colOff>20484</xdr:colOff>
      <xdr:row>159</xdr:row>
      <xdr:rowOff>20484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5C2954E-FFE1-4BAE-B96E-7A16E1F0B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4355" y="43794517"/>
          <a:ext cx="1741129" cy="103443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150</xdr:row>
      <xdr:rowOff>10242</xdr:rowOff>
    </xdr:from>
    <xdr:to>
      <xdr:col>30</xdr:col>
      <xdr:colOff>20484</xdr:colOff>
      <xdr:row>152</xdr:row>
      <xdr:rowOff>307258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115D4A1-C612-E7B9-B055-DE5AA674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4355" y="41776855"/>
          <a:ext cx="1741129" cy="97298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147</xdr:row>
      <xdr:rowOff>0</xdr:rowOff>
    </xdr:from>
    <xdr:to>
      <xdr:col>37</xdr:col>
      <xdr:colOff>399436</xdr:colOff>
      <xdr:row>156</xdr:row>
      <xdr:rowOff>327742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40B96D85-2CFF-7503-117E-918F4E7C2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95000" y="40752661"/>
          <a:ext cx="6216855" cy="33900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217</xdr:row>
      <xdr:rowOff>0</xdr:rowOff>
    </xdr:from>
    <xdr:to>
      <xdr:col>35</xdr:col>
      <xdr:colOff>577679</xdr:colOff>
      <xdr:row>229</xdr:row>
      <xdr:rowOff>322844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5897B25B-63BE-8FA5-487D-490FB0F0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34107" y="64951429"/>
          <a:ext cx="5000000" cy="475238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50</xdr:row>
      <xdr:rowOff>1</xdr:rowOff>
    </xdr:from>
    <xdr:to>
      <xdr:col>33</xdr:col>
      <xdr:colOff>272142</xdr:colOff>
      <xdr:row>59</xdr:row>
      <xdr:rowOff>12372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D573CBE6-1DEA-CC97-A184-F5C2665E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05227" y="11318670"/>
          <a:ext cx="5059383" cy="2449286"/>
        </a:xfrm>
        <a:prstGeom prst="rect">
          <a:avLst/>
        </a:prstGeom>
      </xdr:spPr>
    </xdr:pic>
    <xdr:clientData/>
  </xdr:twoCellAnchor>
  <xdr:twoCellAnchor editAs="oneCell">
    <xdr:from>
      <xdr:col>30</xdr:col>
      <xdr:colOff>1138052</xdr:colOff>
      <xdr:row>140</xdr:row>
      <xdr:rowOff>37111</xdr:rowOff>
    </xdr:from>
    <xdr:to>
      <xdr:col>35</xdr:col>
      <xdr:colOff>210292</xdr:colOff>
      <xdr:row>146</xdr:row>
      <xdr:rowOff>61851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11A26A79-B484-B76D-C54C-BF90DAB13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62727" y="38236072"/>
          <a:ext cx="3500747" cy="20287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3197679</xdr:colOff>
      <xdr:row>311</xdr:row>
      <xdr:rowOff>385536</xdr:rowOff>
    </xdr:from>
    <xdr:to>
      <xdr:col>31</xdr:col>
      <xdr:colOff>577195</xdr:colOff>
      <xdr:row>324</xdr:row>
      <xdr:rowOff>307323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94C45527-3BC2-0A8D-2D1F-4B1159583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40268" y="119005804"/>
          <a:ext cx="4333333" cy="522857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2</xdr:rowOff>
    </xdr:from>
    <xdr:to>
      <xdr:col>29</xdr:col>
      <xdr:colOff>1673225</xdr:colOff>
      <xdr:row>22</xdr:row>
      <xdr:rowOff>396876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6B1CA9FB-BEE3-B0B4-3D5F-B2F550D7D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83281" y="3909221"/>
          <a:ext cx="1825625" cy="161726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</xdr:row>
      <xdr:rowOff>0</xdr:rowOff>
    </xdr:from>
    <xdr:to>
      <xdr:col>35</xdr:col>
      <xdr:colOff>49847</xdr:colOff>
      <xdr:row>42</xdr:row>
      <xdr:rowOff>396875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EC0C2E32-EB16-5BCB-0864-1EF26B74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6563" y="3909219"/>
          <a:ext cx="4494847" cy="97532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0</xdr:rowOff>
    </xdr:from>
    <xdr:to>
      <xdr:col>13</xdr:col>
      <xdr:colOff>294199</xdr:colOff>
      <xdr:row>36</xdr:row>
      <xdr:rowOff>69367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9B0F4F25-5FCB-405A-AE19-308209DABF5C}"/>
            </a:ext>
          </a:extLst>
        </xdr:cNvPr>
        <xdr:cNvGrpSpPr/>
      </xdr:nvGrpSpPr>
      <xdr:grpSpPr>
        <a:xfrm>
          <a:off x="44823" y="0"/>
          <a:ext cx="8174176" cy="6748463"/>
          <a:chOff x="191945" y="4680"/>
          <a:chExt cx="7381696" cy="6927367"/>
        </a:xfrm>
      </xdr:grpSpPr>
      <xdr:grpSp>
        <xdr:nvGrpSpPr>
          <xdr:cNvPr id="3" name="群組 2">
            <a:extLst>
              <a:ext uri="{FF2B5EF4-FFF2-40B4-BE49-F238E27FC236}">
                <a16:creationId xmlns:a16="http://schemas.microsoft.com/office/drawing/2014/main" id="{45B539F0-11FD-4194-A847-D696BF449B8E}"/>
              </a:ext>
            </a:extLst>
          </xdr:cNvPr>
          <xdr:cNvGrpSpPr/>
        </xdr:nvGrpSpPr>
        <xdr:grpSpPr>
          <a:xfrm>
            <a:off x="191945" y="4680"/>
            <a:ext cx="7381696" cy="6927367"/>
            <a:chOff x="191945" y="4680"/>
            <a:chExt cx="7381696" cy="6927367"/>
          </a:xfrm>
        </xdr:grpSpPr>
        <xdr:grpSp>
          <xdr:nvGrpSpPr>
            <xdr:cNvPr id="81" name="群組 80">
              <a:extLst>
                <a:ext uri="{FF2B5EF4-FFF2-40B4-BE49-F238E27FC236}">
                  <a16:creationId xmlns:a16="http://schemas.microsoft.com/office/drawing/2014/main" id="{30AA727E-6440-4F21-9198-68B476EBC6E0}"/>
                </a:ext>
              </a:extLst>
            </xdr:cNvPr>
            <xdr:cNvGrpSpPr/>
          </xdr:nvGrpSpPr>
          <xdr:grpSpPr>
            <a:xfrm>
              <a:off x="191945" y="4680"/>
              <a:ext cx="7381696" cy="6927367"/>
              <a:chOff x="191945" y="4680"/>
              <a:chExt cx="7286344" cy="6727699"/>
            </a:xfrm>
          </xdr:grpSpPr>
          <xdr:sp macro="" textlink="">
            <xdr:nvSpPr>
              <xdr:cNvPr id="106" name="矩形 105">
                <a:extLst>
                  <a:ext uri="{FF2B5EF4-FFF2-40B4-BE49-F238E27FC236}">
                    <a16:creationId xmlns:a16="http://schemas.microsoft.com/office/drawing/2014/main" id="{4E7C431B-2B8D-4B3B-AA0F-A81214B908B8}"/>
                  </a:ext>
                </a:extLst>
              </xdr:cNvPr>
              <xdr:cNvSpPr/>
            </xdr:nvSpPr>
            <xdr:spPr>
              <a:xfrm>
                <a:off x="191945" y="288270"/>
                <a:ext cx="7286344" cy="6141839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07" name="矩形 106">
                <a:extLst>
                  <a:ext uri="{FF2B5EF4-FFF2-40B4-BE49-F238E27FC236}">
                    <a16:creationId xmlns:a16="http://schemas.microsoft.com/office/drawing/2014/main" id="{FDE58D94-F19B-402C-B3EF-93707D4CB9CB}"/>
                  </a:ext>
                </a:extLst>
              </xdr:cNvPr>
              <xdr:cNvSpPr/>
            </xdr:nvSpPr>
            <xdr:spPr>
              <a:xfrm>
                <a:off x="199292" y="287905"/>
                <a:ext cx="646493" cy="188259"/>
              </a:xfrm>
              <a:prstGeom prst="rect">
                <a:avLst/>
              </a:prstGeom>
              <a:solidFill>
                <a:schemeClr val="bg1"/>
              </a:solidFill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08" name="平行四邊形 107">
                <a:extLst>
                  <a:ext uri="{FF2B5EF4-FFF2-40B4-BE49-F238E27FC236}">
                    <a16:creationId xmlns:a16="http://schemas.microsoft.com/office/drawing/2014/main" id="{4ACADAA2-F84E-479B-A8AD-0BBCCB85C9A9}"/>
                  </a:ext>
                </a:extLst>
              </xdr:cNvPr>
              <xdr:cNvSpPr/>
            </xdr:nvSpPr>
            <xdr:spPr>
              <a:xfrm rot="2895158">
                <a:off x="6908703" y="6425014"/>
                <a:ext cx="45719" cy="271503"/>
              </a:xfrm>
              <a:prstGeom prst="parallelogram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109" name="平行四邊形 108">
                <a:extLst>
                  <a:ext uri="{FF2B5EF4-FFF2-40B4-BE49-F238E27FC236}">
                    <a16:creationId xmlns:a16="http://schemas.microsoft.com/office/drawing/2014/main" id="{573FB496-F9FC-4F85-B539-6B1D94A55296}"/>
                  </a:ext>
                </a:extLst>
              </xdr:cNvPr>
              <xdr:cNvSpPr/>
            </xdr:nvSpPr>
            <xdr:spPr>
              <a:xfrm rot="21416259">
                <a:off x="7262123" y="6466048"/>
                <a:ext cx="45719" cy="266331"/>
              </a:xfrm>
              <a:prstGeom prst="parallelogram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110" name="矩形 109">
                <a:extLst>
                  <a:ext uri="{FF2B5EF4-FFF2-40B4-BE49-F238E27FC236}">
                    <a16:creationId xmlns:a16="http://schemas.microsoft.com/office/drawing/2014/main" id="{0935BCB7-486E-4482-8085-082DE6290192}"/>
                  </a:ext>
                </a:extLst>
              </xdr:cNvPr>
              <xdr:cNvSpPr/>
            </xdr:nvSpPr>
            <xdr:spPr>
              <a:xfrm>
                <a:off x="7025850" y="6351972"/>
                <a:ext cx="261503" cy="94224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11" name="平行四邊形 110">
                <a:extLst>
                  <a:ext uri="{FF2B5EF4-FFF2-40B4-BE49-F238E27FC236}">
                    <a16:creationId xmlns:a16="http://schemas.microsoft.com/office/drawing/2014/main" id="{DA53E89D-BF68-4799-92CC-FB6727018D7D}"/>
                  </a:ext>
                </a:extLst>
              </xdr:cNvPr>
              <xdr:cNvSpPr/>
            </xdr:nvSpPr>
            <xdr:spPr>
              <a:xfrm rot="19194746">
                <a:off x="4996037" y="4680"/>
                <a:ext cx="45719" cy="268451"/>
              </a:xfrm>
              <a:prstGeom prst="parallelogram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112" name="平行四邊形 111">
                <a:extLst>
                  <a:ext uri="{FF2B5EF4-FFF2-40B4-BE49-F238E27FC236}">
                    <a16:creationId xmlns:a16="http://schemas.microsoft.com/office/drawing/2014/main" id="{94458305-B828-458A-97F8-0639959606C4}"/>
                  </a:ext>
                </a:extLst>
              </xdr:cNvPr>
              <xdr:cNvSpPr/>
            </xdr:nvSpPr>
            <xdr:spPr>
              <a:xfrm rot="2892297">
                <a:off x="5660741" y="23017"/>
                <a:ext cx="45719" cy="269382"/>
              </a:xfrm>
              <a:prstGeom prst="parallelogram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113" name="矩形 112">
                <a:extLst>
                  <a:ext uri="{FF2B5EF4-FFF2-40B4-BE49-F238E27FC236}">
                    <a16:creationId xmlns:a16="http://schemas.microsoft.com/office/drawing/2014/main" id="{44B7D79F-0E0D-4865-8424-5F98DF22DAD6}"/>
                  </a:ext>
                </a:extLst>
              </xdr:cNvPr>
              <xdr:cNvSpPr/>
            </xdr:nvSpPr>
            <xdr:spPr>
              <a:xfrm>
                <a:off x="5106450" y="272565"/>
                <a:ext cx="456304" cy="9719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82" name="矩形 81">
              <a:extLst>
                <a:ext uri="{FF2B5EF4-FFF2-40B4-BE49-F238E27FC236}">
                  <a16:creationId xmlns:a16="http://schemas.microsoft.com/office/drawing/2014/main" id="{3F3A1203-0817-4FCA-8FE1-BE6DD31898F3}"/>
                </a:ext>
              </a:extLst>
            </xdr:cNvPr>
            <xdr:cNvSpPr/>
          </xdr:nvSpPr>
          <xdr:spPr>
            <a:xfrm>
              <a:off x="2976063" y="4872537"/>
              <a:ext cx="140677" cy="158262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3" name="矩形 82">
              <a:extLst>
                <a:ext uri="{FF2B5EF4-FFF2-40B4-BE49-F238E27FC236}">
                  <a16:creationId xmlns:a16="http://schemas.microsoft.com/office/drawing/2014/main" id="{796848AC-E774-41D7-A39F-F08610E9DA77}"/>
                </a:ext>
              </a:extLst>
            </xdr:cNvPr>
            <xdr:cNvSpPr/>
          </xdr:nvSpPr>
          <xdr:spPr>
            <a:xfrm>
              <a:off x="2976061" y="3109269"/>
              <a:ext cx="140677" cy="158262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4" name="矩形 83">
              <a:extLst>
                <a:ext uri="{FF2B5EF4-FFF2-40B4-BE49-F238E27FC236}">
                  <a16:creationId xmlns:a16="http://schemas.microsoft.com/office/drawing/2014/main" id="{07587439-5E73-4FEC-A837-D6E226365EBE}"/>
                </a:ext>
              </a:extLst>
            </xdr:cNvPr>
            <xdr:cNvSpPr/>
          </xdr:nvSpPr>
          <xdr:spPr>
            <a:xfrm>
              <a:off x="2976061" y="1345467"/>
              <a:ext cx="140677" cy="158795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5" name="矩形 84">
              <a:extLst>
                <a:ext uri="{FF2B5EF4-FFF2-40B4-BE49-F238E27FC236}">
                  <a16:creationId xmlns:a16="http://schemas.microsoft.com/office/drawing/2014/main" id="{3C0E2EE2-033F-42CA-A665-EAA92AF9B113}"/>
                </a:ext>
              </a:extLst>
            </xdr:cNvPr>
            <xdr:cNvSpPr/>
          </xdr:nvSpPr>
          <xdr:spPr>
            <a:xfrm>
              <a:off x="1415163" y="4870228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6" name="矩形 85">
              <a:extLst>
                <a:ext uri="{FF2B5EF4-FFF2-40B4-BE49-F238E27FC236}">
                  <a16:creationId xmlns:a16="http://schemas.microsoft.com/office/drawing/2014/main" id="{FAECBD8C-FDB2-4163-A5B8-8C9C07E26ECB}"/>
                </a:ext>
              </a:extLst>
            </xdr:cNvPr>
            <xdr:cNvSpPr/>
          </xdr:nvSpPr>
          <xdr:spPr>
            <a:xfrm>
              <a:off x="1415161" y="3106960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7" name="矩形 86">
              <a:extLst>
                <a:ext uri="{FF2B5EF4-FFF2-40B4-BE49-F238E27FC236}">
                  <a16:creationId xmlns:a16="http://schemas.microsoft.com/office/drawing/2014/main" id="{1CB4F3A4-CDA9-4CAF-8600-A2BB56C820F0}"/>
                </a:ext>
              </a:extLst>
            </xdr:cNvPr>
            <xdr:cNvSpPr/>
          </xdr:nvSpPr>
          <xdr:spPr>
            <a:xfrm>
              <a:off x="1415161" y="1345399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8" name="矩形 87">
              <a:extLst>
                <a:ext uri="{FF2B5EF4-FFF2-40B4-BE49-F238E27FC236}">
                  <a16:creationId xmlns:a16="http://schemas.microsoft.com/office/drawing/2014/main" id="{5ACDF1F5-22D5-405F-B45C-82F6B94C0689}"/>
                </a:ext>
              </a:extLst>
            </xdr:cNvPr>
            <xdr:cNvSpPr/>
          </xdr:nvSpPr>
          <xdr:spPr>
            <a:xfrm>
              <a:off x="192488" y="4870226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9" name="矩形 88">
              <a:extLst>
                <a:ext uri="{FF2B5EF4-FFF2-40B4-BE49-F238E27FC236}">
                  <a16:creationId xmlns:a16="http://schemas.microsoft.com/office/drawing/2014/main" id="{636014C5-25AD-450E-AC82-EC63400EA58B}"/>
                </a:ext>
              </a:extLst>
            </xdr:cNvPr>
            <xdr:cNvSpPr/>
          </xdr:nvSpPr>
          <xdr:spPr>
            <a:xfrm>
              <a:off x="192486" y="3106958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0" name="矩形 89">
              <a:extLst>
                <a:ext uri="{FF2B5EF4-FFF2-40B4-BE49-F238E27FC236}">
                  <a16:creationId xmlns:a16="http://schemas.microsoft.com/office/drawing/2014/main" id="{D8265DF9-86BE-4703-BE9F-6E816CF5FC96}"/>
                </a:ext>
              </a:extLst>
            </xdr:cNvPr>
            <xdr:cNvSpPr/>
          </xdr:nvSpPr>
          <xdr:spPr>
            <a:xfrm>
              <a:off x="192486" y="1345397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1" name="矩形 90">
              <a:extLst>
                <a:ext uri="{FF2B5EF4-FFF2-40B4-BE49-F238E27FC236}">
                  <a16:creationId xmlns:a16="http://schemas.microsoft.com/office/drawing/2014/main" id="{1571F8B3-523F-42A9-A93F-D7807BE45C0A}"/>
                </a:ext>
              </a:extLst>
            </xdr:cNvPr>
            <xdr:cNvSpPr/>
          </xdr:nvSpPr>
          <xdr:spPr>
            <a:xfrm>
              <a:off x="4497371" y="4870219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2" name="矩形 91">
              <a:extLst>
                <a:ext uri="{FF2B5EF4-FFF2-40B4-BE49-F238E27FC236}">
                  <a16:creationId xmlns:a16="http://schemas.microsoft.com/office/drawing/2014/main" id="{9800F9C0-62C5-49B5-8CED-E149E04A2B61}"/>
                </a:ext>
              </a:extLst>
            </xdr:cNvPr>
            <xdr:cNvSpPr/>
          </xdr:nvSpPr>
          <xdr:spPr>
            <a:xfrm>
              <a:off x="4497369" y="3106951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3" name="矩形 92">
              <a:extLst>
                <a:ext uri="{FF2B5EF4-FFF2-40B4-BE49-F238E27FC236}">
                  <a16:creationId xmlns:a16="http://schemas.microsoft.com/office/drawing/2014/main" id="{05D43BE6-31FA-44AB-8B87-4A3FD6A0DD53}"/>
                </a:ext>
              </a:extLst>
            </xdr:cNvPr>
            <xdr:cNvSpPr/>
          </xdr:nvSpPr>
          <xdr:spPr>
            <a:xfrm>
              <a:off x="4497369" y="1345390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4" name="矩形 93">
              <a:extLst>
                <a:ext uri="{FF2B5EF4-FFF2-40B4-BE49-F238E27FC236}">
                  <a16:creationId xmlns:a16="http://schemas.microsoft.com/office/drawing/2014/main" id="{574CA1EA-C245-4246-8546-4042FDA4850E}"/>
                </a:ext>
              </a:extLst>
            </xdr:cNvPr>
            <xdr:cNvSpPr/>
          </xdr:nvSpPr>
          <xdr:spPr>
            <a:xfrm>
              <a:off x="5877204" y="4870212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5" name="矩形 94">
              <a:extLst>
                <a:ext uri="{FF2B5EF4-FFF2-40B4-BE49-F238E27FC236}">
                  <a16:creationId xmlns:a16="http://schemas.microsoft.com/office/drawing/2014/main" id="{38C7B873-F0E4-4094-B512-FC412E96728C}"/>
                </a:ext>
              </a:extLst>
            </xdr:cNvPr>
            <xdr:cNvSpPr/>
          </xdr:nvSpPr>
          <xdr:spPr>
            <a:xfrm>
              <a:off x="5877202" y="3106944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6" name="矩形 95">
              <a:extLst>
                <a:ext uri="{FF2B5EF4-FFF2-40B4-BE49-F238E27FC236}">
                  <a16:creationId xmlns:a16="http://schemas.microsoft.com/office/drawing/2014/main" id="{9C75875C-014C-4642-A2FD-A56328745A3D}"/>
                </a:ext>
              </a:extLst>
            </xdr:cNvPr>
            <xdr:cNvSpPr/>
          </xdr:nvSpPr>
          <xdr:spPr>
            <a:xfrm>
              <a:off x="5877202" y="1345383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7" name="矩形 96">
              <a:extLst>
                <a:ext uri="{FF2B5EF4-FFF2-40B4-BE49-F238E27FC236}">
                  <a16:creationId xmlns:a16="http://schemas.microsoft.com/office/drawing/2014/main" id="{722DBB21-F926-4A45-9D2A-253A414D27AB}"/>
                </a:ext>
              </a:extLst>
            </xdr:cNvPr>
            <xdr:cNvSpPr/>
          </xdr:nvSpPr>
          <xdr:spPr>
            <a:xfrm>
              <a:off x="7420704" y="4870202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8" name="矩形 97">
              <a:extLst>
                <a:ext uri="{FF2B5EF4-FFF2-40B4-BE49-F238E27FC236}">
                  <a16:creationId xmlns:a16="http://schemas.microsoft.com/office/drawing/2014/main" id="{9EC1233A-1A45-4D8D-9E0D-50A64B3C0A37}"/>
                </a:ext>
              </a:extLst>
            </xdr:cNvPr>
            <xdr:cNvSpPr/>
          </xdr:nvSpPr>
          <xdr:spPr>
            <a:xfrm>
              <a:off x="7420702" y="3106934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9" name="矩形 98">
              <a:extLst>
                <a:ext uri="{FF2B5EF4-FFF2-40B4-BE49-F238E27FC236}">
                  <a16:creationId xmlns:a16="http://schemas.microsoft.com/office/drawing/2014/main" id="{3B3B67B0-56F5-4720-829D-0086C4D229F5}"/>
                </a:ext>
              </a:extLst>
            </xdr:cNvPr>
            <xdr:cNvSpPr/>
          </xdr:nvSpPr>
          <xdr:spPr>
            <a:xfrm>
              <a:off x="7420702" y="1345373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0" name="矩形 99">
              <a:extLst>
                <a:ext uri="{FF2B5EF4-FFF2-40B4-BE49-F238E27FC236}">
                  <a16:creationId xmlns:a16="http://schemas.microsoft.com/office/drawing/2014/main" id="{C710C64A-4BB6-403D-B22B-6DAF29416105}"/>
                </a:ext>
              </a:extLst>
            </xdr:cNvPr>
            <xdr:cNvSpPr/>
          </xdr:nvSpPr>
          <xdr:spPr>
            <a:xfrm>
              <a:off x="2976063" y="6631399"/>
              <a:ext cx="140677" cy="163967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1" name="矩形 100">
              <a:extLst>
                <a:ext uri="{FF2B5EF4-FFF2-40B4-BE49-F238E27FC236}">
                  <a16:creationId xmlns:a16="http://schemas.microsoft.com/office/drawing/2014/main" id="{385C4221-61D0-49C2-A728-C2EFDB09949E}"/>
                </a:ext>
              </a:extLst>
            </xdr:cNvPr>
            <xdr:cNvSpPr/>
          </xdr:nvSpPr>
          <xdr:spPr>
            <a:xfrm>
              <a:off x="1415163" y="6629090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2" name="矩形 101">
              <a:extLst>
                <a:ext uri="{FF2B5EF4-FFF2-40B4-BE49-F238E27FC236}">
                  <a16:creationId xmlns:a16="http://schemas.microsoft.com/office/drawing/2014/main" id="{713D1905-4DEB-4BAF-B58A-29BA9352670A}"/>
                </a:ext>
              </a:extLst>
            </xdr:cNvPr>
            <xdr:cNvSpPr/>
          </xdr:nvSpPr>
          <xdr:spPr>
            <a:xfrm>
              <a:off x="192488" y="6629088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3" name="矩形 102">
              <a:extLst>
                <a:ext uri="{FF2B5EF4-FFF2-40B4-BE49-F238E27FC236}">
                  <a16:creationId xmlns:a16="http://schemas.microsoft.com/office/drawing/2014/main" id="{28F96FFD-F757-4B76-B972-FFEDCF63AF37}"/>
                </a:ext>
              </a:extLst>
            </xdr:cNvPr>
            <xdr:cNvSpPr/>
          </xdr:nvSpPr>
          <xdr:spPr>
            <a:xfrm>
              <a:off x="4497371" y="6629081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4" name="矩形 103">
              <a:extLst>
                <a:ext uri="{FF2B5EF4-FFF2-40B4-BE49-F238E27FC236}">
                  <a16:creationId xmlns:a16="http://schemas.microsoft.com/office/drawing/2014/main" id="{8EFB095A-02FC-41BA-A5E9-5D33ECB485FE}"/>
                </a:ext>
              </a:extLst>
            </xdr:cNvPr>
            <xdr:cNvSpPr/>
          </xdr:nvSpPr>
          <xdr:spPr>
            <a:xfrm>
              <a:off x="5877204" y="6629074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5" name="矩形 104">
              <a:extLst>
                <a:ext uri="{FF2B5EF4-FFF2-40B4-BE49-F238E27FC236}">
                  <a16:creationId xmlns:a16="http://schemas.microsoft.com/office/drawing/2014/main" id="{6CAF66E8-E771-410C-AA2D-12E433FC5583}"/>
                </a:ext>
              </a:extLst>
            </xdr:cNvPr>
            <xdr:cNvSpPr/>
          </xdr:nvSpPr>
          <xdr:spPr>
            <a:xfrm>
              <a:off x="7420704" y="6629064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419179E5-225E-476A-9987-371809C21FAE}"/>
              </a:ext>
            </a:extLst>
          </xdr:cNvPr>
          <xdr:cNvSpPr/>
        </xdr:nvSpPr>
        <xdr:spPr>
          <a:xfrm>
            <a:off x="6138042" y="325343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A1~3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788E10-54B4-4524-BA1B-6349D1468909}"/>
              </a:ext>
            </a:extLst>
          </xdr:cNvPr>
          <xdr:cNvSpPr/>
        </xdr:nvSpPr>
        <xdr:spPr>
          <a:xfrm>
            <a:off x="6138042" y="771076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A4~6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2A69EC30-6092-488E-BD7D-1A2DE43532B7}"/>
              </a:ext>
            </a:extLst>
          </xdr:cNvPr>
          <xdr:cNvSpPr/>
        </xdr:nvSpPr>
        <xdr:spPr>
          <a:xfrm>
            <a:off x="6138042" y="996093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A7~9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FB545B8F-A793-4EC6-872D-97F979C71894}"/>
              </a:ext>
            </a:extLst>
          </xdr:cNvPr>
          <xdr:cNvSpPr/>
        </xdr:nvSpPr>
        <xdr:spPr>
          <a:xfrm>
            <a:off x="6138042" y="1513550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B1~3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8" name="矩形 7">
            <a:extLst>
              <a:ext uri="{FF2B5EF4-FFF2-40B4-BE49-F238E27FC236}">
                <a16:creationId xmlns:a16="http://schemas.microsoft.com/office/drawing/2014/main" id="{ACC6F3DC-5185-4D6C-85C6-1521C44DA856}"/>
              </a:ext>
            </a:extLst>
          </xdr:cNvPr>
          <xdr:cNvSpPr/>
        </xdr:nvSpPr>
        <xdr:spPr>
          <a:xfrm>
            <a:off x="6138042" y="1733789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B4~6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0D0E60B1-DB87-4F45-A632-1CF798FCAD2A}"/>
              </a:ext>
            </a:extLst>
          </xdr:cNvPr>
          <xdr:cNvSpPr/>
        </xdr:nvSpPr>
        <xdr:spPr>
          <a:xfrm>
            <a:off x="6138044" y="2102550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C1~3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799FC9FE-3A68-48C1-8253-5597EB6E4404}"/>
              </a:ext>
            </a:extLst>
          </xdr:cNvPr>
          <xdr:cNvSpPr/>
        </xdr:nvSpPr>
        <xdr:spPr>
          <a:xfrm>
            <a:off x="6138044" y="2327568"/>
            <a:ext cx="1413163" cy="187200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C4~6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1" name="矩形 10">
            <a:extLst>
              <a:ext uri="{FF2B5EF4-FFF2-40B4-BE49-F238E27FC236}">
                <a16:creationId xmlns:a16="http://schemas.microsoft.com/office/drawing/2014/main" id="{FC65D10C-375B-4178-9A35-77E2E12E9940}"/>
              </a:ext>
            </a:extLst>
          </xdr:cNvPr>
          <xdr:cNvSpPr/>
        </xdr:nvSpPr>
        <xdr:spPr>
          <a:xfrm>
            <a:off x="6138044" y="2683947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D1~3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2" name="矩形 11">
            <a:extLst>
              <a:ext uri="{FF2B5EF4-FFF2-40B4-BE49-F238E27FC236}">
                <a16:creationId xmlns:a16="http://schemas.microsoft.com/office/drawing/2014/main" id="{72906521-4D08-41DE-B9EF-5ED2E15F6C4A}"/>
              </a:ext>
            </a:extLst>
          </xdr:cNvPr>
          <xdr:cNvSpPr/>
        </xdr:nvSpPr>
        <xdr:spPr>
          <a:xfrm>
            <a:off x="6138044" y="2904187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D4~6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57A61245-6C52-47D4-9C6C-BDE7952E3BEC}"/>
              </a:ext>
            </a:extLst>
          </xdr:cNvPr>
          <xdr:cNvSpPr/>
        </xdr:nvSpPr>
        <xdr:spPr>
          <a:xfrm>
            <a:off x="6138044" y="3449789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E1~3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9C5E1FEA-0CC5-4F2D-8E13-A432D42F5E45}"/>
              </a:ext>
            </a:extLst>
          </xdr:cNvPr>
          <xdr:cNvSpPr/>
        </xdr:nvSpPr>
        <xdr:spPr>
          <a:xfrm>
            <a:off x="6138044" y="3670028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E4~6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5" name="矩形 14">
            <a:extLst>
              <a:ext uri="{FF2B5EF4-FFF2-40B4-BE49-F238E27FC236}">
                <a16:creationId xmlns:a16="http://schemas.microsoft.com/office/drawing/2014/main" id="{3E46B0E3-6871-4529-B623-79DF58EAF76F}"/>
              </a:ext>
            </a:extLst>
          </xdr:cNvPr>
          <xdr:cNvSpPr/>
        </xdr:nvSpPr>
        <xdr:spPr>
          <a:xfrm>
            <a:off x="6138044" y="4036936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F1~3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8734A831-CE1B-4593-8DE0-8470666BE175}"/>
              </a:ext>
            </a:extLst>
          </xdr:cNvPr>
          <xdr:cNvSpPr/>
        </xdr:nvSpPr>
        <xdr:spPr>
          <a:xfrm>
            <a:off x="6138044" y="4257175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F4~6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25B163BE-DD45-4CE5-9FE4-E8B9A663DE4D}"/>
              </a:ext>
            </a:extLst>
          </xdr:cNvPr>
          <xdr:cNvSpPr/>
        </xdr:nvSpPr>
        <xdr:spPr>
          <a:xfrm>
            <a:off x="6027592" y="4733963"/>
            <a:ext cx="1397490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G1~3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8" name="矩形 17">
            <a:extLst>
              <a:ext uri="{FF2B5EF4-FFF2-40B4-BE49-F238E27FC236}">
                <a16:creationId xmlns:a16="http://schemas.microsoft.com/office/drawing/2014/main" id="{D286044A-6CB2-4CF6-B312-A5B686E70CBF}"/>
              </a:ext>
            </a:extLst>
          </xdr:cNvPr>
          <xdr:cNvSpPr/>
        </xdr:nvSpPr>
        <xdr:spPr>
          <a:xfrm>
            <a:off x="6027592" y="4954203"/>
            <a:ext cx="1397490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G4~6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763F2791-B5D9-48DD-A6A6-23641DEBBC94}"/>
              </a:ext>
            </a:extLst>
          </xdr:cNvPr>
          <xdr:cNvSpPr/>
        </xdr:nvSpPr>
        <xdr:spPr>
          <a:xfrm>
            <a:off x="6138044" y="5336876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H1~3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4013930A-B944-4BA4-B696-EDFE6DEB2375}"/>
              </a:ext>
            </a:extLst>
          </xdr:cNvPr>
          <xdr:cNvSpPr/>
        </xdr:nvSpPr>
        <xdr:spPr>
          <a:xfrm>
            <a:off x="6138044" y="5557116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H4~6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D1D5A33D-C894-4A2B-AC8D-BA4FF5E9EE25}"/>
              </a:ext>
            </a:extLst>
          </xdr:cNvPr>
          <xdr:cNvSpPr/>
        </xdr:nvSpPr>
        <xdr:spPr>
          <a:xfrm>
            <a:off x="6138044" y="6012884"/>
            <a:ext cx="1413163" cy="187200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I1~3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27CC13D2-6DDA-4EFA-AFEA-B9D1BF90D846}"/>
              </a:ext>
            </a:extLst>
          </xdr:cNvPr>
          <xdr:cNvSpPr/>
        </xdr:nvSpPr>
        <xdr:spPr>
          <a:xfrm>
            <a:off x="6138044" y="6233122"/>
            <a:ext cx="1413163" cy="191978"/>
          </a:xfrm>
          <a:prstGeom prst="rect">
            <a:avLst/>
          </a:prstGeom>
          <a:solidFill>
            <a:srgbClr val="FFC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marL="0" indent="0" algn="ctr"/>
            <a:r>
              <a:rPr lang="en-US" altLang="zh-TW" sz="1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I4~6</a:t>
            </a:r>
            <a:r>
              <a:rPr lang="zh-TW" altLang="en-US" sz="1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區</a:t>
            </a:r>
          </a:p>
        </xdr:txBody>
      </xdr: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EF611E51-FE10-4443-8AAE-E387B5FE879D}"/>
              </a:ext>
            </a:extLst>
          </xdr:cNvPr>
          <xdr:cNvSpPr/>
        </xdr:nvSpPr>
        <xdr:spPr>
          <a:xfrm>
            <a:off x="5297695" y="3113924"/>
            <a:ext cx="187200" cy="2844415"/>
          </a:xfrm>
          <a:prstGeom prst="rect">
            <a:avLst/>
          </a:prstGeom>
          <a:solidFill>
            <a:srgbClr val="FFC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L1~6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933A64E9-DA9A-436B-B42E-146CA2019A6F}"/>
              </a:ext>
            </a:extLst>
          </xdr:cNvPr>
          <xdr:cNvSpPr/>
        </xdr:nvSpPr>
        <xdr:spPr>
          <a:xfrm>
            <a:off x="5084035" y="3113926"/>
            <a:ext cx="187200" cy="2843528"/>
          </a:xfrm>
          <a:prstGeom prst="rect">
            <a:avLst/>
          </a:prstGeom>
          <a:solidFill>
            <a:srgbClr val="FFC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M1~6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5EFF2A45-DD99-4511-9856-34CA256CC1B2}"/>
              </a:ext>
            </a:extLst>
          </xdr:cNvPr>
          <xdr:cNvSpPr/>
        </xdr:nvSpPr>
        <xdr:spPr>
          <a:xfrm>
            <a:off x="4147703" y="5731666"/>
            <a:ext cx="554184" cy="217374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K1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BA094B8D-F399-4C86-90F6-BE5BF8947162}"/>
              </a:ext>
            </a:extLst>
          </xdr:cNvPr>
          <xdr:cNvSpPr/>
        </xdr:nvSpPr>
        <xdr:spPr>
          <a:xfrm>
            <a:off x="4472047" y="2351372"/>
            <a:ext cx="187200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N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9D8F2688-A212-46AC-BF00-541A39B0EC8D}"/>
              </a:ext>
            </a:extLst>
          </xdr:cNvPr>
          <xdr:cNvSpPr/>
        </xdr:nvSpPr>
        <xdr:spPr>
          <a:xfrm>
            <a:off x="3301258" y="5732614"/>
            <a:ext cx="554184" cy="217373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K2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41617D4E-722B-4B95-8871-4DA4A0DFF6CC}"/>
              </a:ext>
            </a:extLst>
          </xdr:cNvPr>
          <xdr:cNvSpPr/>
        </xdr:nvSpPr>
        <xdr:spPr>
          <a:xfrm>
            <a:off x="2427976" y="5733358"/>
            <a:ext cx="554183" cy="217373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K3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AF678582-66A9-4B8F-9AF4-E6169E0B6911}"/>
              </a:ext>
            </a:extLst>
          </xdr:cNvPr>
          <xdr:cNvSpPr/>
        </xdr:nvSpPr>
        <xdr:spPr>
          <a:xfrm>
            <a:off x="1543436" y="5726078"/>
            <a:ext cx="554182" cy="217373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K4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30" name="矩形 29">
            <a:extLst>
              <a:ext uri="{FF2B5EF4-FFF2-40B4-BE49-F238E27FC236}">
                <a16:creationId xmlns:a16="http://schemas.microsoft.com/office/drawing/2014/main" id="{BB8DF4AB-BE1D-4E09-9387-EB74ABCE6CC3}"/>
              </a:ext>
            </a:extLst>
          </xdr:cNvPr>
          <xdr:cNvSpPr/>
        </xdr:nvSpPr>
        <xdr:spPr>
          <a:xfrm>
            <a:off x="665382" y="5730835"/>
            <a:ext cx="554184" cy="217373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K5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31" name="矩形 30">
            <a:extLst>
              <a:ext uri="{FF2B5EF4-FFF2-40B4-BE49-F238E27FC236}">
                <a16:creationId xmlns:a16="http://schemas.microsoft.com/office/drawing/2014/main" id="{0B781A76-C1D4-419C-BEE8-829A904F76A6}"/>
              </a:ext>
            </a:extLst>
          </xdr:cNvPr>
          <xdr:cNvSpPr/>
        </xdr:nvSpPr>
        <xdr:spPr>
          <a:xfrm>
            <a:off x="964181" y="702256"/>
            <a:ext cx="193695" cy="500326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V1~20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id="{D3845CC2-EEFC-404B-BC0D-2DEAA1214D26}"/>
              </a:ext>
            </a:extLst>
          </xdr:cNvPr>
          <xdr:cNvSpPr/>
        </xdr:nvSpPr>
        <xdr:spPr>
          <a:xfrm>
            <a:off x="722345" y="701000"/>
            <a:ext cx="186895" cy="500326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W1~20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33" name="矩形 32">
            <a:extLst>
              <a:ext uri="{FF2B5EF4-FFF2-40B4-BE49-F238E27FC236}">
                <a16:creationId xmlns:a16="http://schemas.microsoft.com/office/drawing/2014/main" id="{9ED5B032-72F8-4AF7-A0FA-55E0623F6022}"/>
              </a:ext>
            </a:extLst>
          </xdr:cNvPr>
          <xdr:cNvSpPr/>
        </xdr:nvSpPr>
        <xdr:spPr>
          <a:xfrm>
            <a:off x="378375" y="6406673"/>
            <a:ext cx="5205485" cy="18720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J1~21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EEF870FA-9C44-40A8-BA84-3A4CFE9C8632}"/>
              </a:ext>
            </a:extLst>
          </xdr:cNvPr>
          <xdr:cNvSpPr/>
        </xdr:nvSpPr>
        <xdr:spPr>
          <a:xfrm>
            <a:off x="4472047" y="1524432"/>
            <a:ext cx="187200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66C46528-5409-4CF7-9DF1-9403025E5765}"/>
              </a:ext>
            </a:extLst>
          </xdr:cNvPr>
          <xdr:cNvSpPr/>
        </xdr:nvSpPr>
        <xdr:spPr>
          <a:xfrm>
            <a:off x="4476809" y="3293914"/>
            <a:ext cx="187200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510FC5EC-949B-44CF-9628-63339664F2E8}"/>
              </a:ext>
            </a:extLst>
          </xdr:cNvPr>
          <xdr:cNvSpPr/>
        </xdr:nvSpPr>
        <xdr:spPr>
          <a:xfrm>
            <a:off x="4476803" y="4111335"/>
            <a:ext cx="187200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17</a:t>
            </a:r>
            <a:endParaRPr lang="zh-TW" altLang="en-US" sz="1400"/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5154379E-DA45-4A2A-BE24-5B124938065F}"/>
              </a:ext>
            </a:extLst>
          </xdr:cNvPr>
          <xdr:cNvSpPr/>
        </xdr:nvSpPr>
        <xdr:spPr>
          <a:xfrm>
            <a:off x="4476810" y="5062109"/>
            <a:ext cx="187200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AE869762-5C56-4AD0-B913-225DC8615A75}"/>
              </a:ext>
            </a:extLst>
          </xdr:cNvPr>
          <xdr:cNvSpPr/>
        </xdr:nvSpPr>
        <xdr:spPr>
          <a:xfrm>
            <a:off x="4476810" y="667620"/>
            <a:ext cx="187200" cy="65332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48886E5D-78C2-4DF2-8498-ECD023BBDFD6}"/>
              </a:ext>
            </a:extLst>
          </xdr:cNvPr>
          <xdr:cNvSpPr/>
        </xdr:nvSpPr>
        <xdr:spPr>
          <a:xfrm>
            <a:off x="4246471" y="2351363"/>
            <a:ext cx="193695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O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40" name="矩形 39">
            <a:extLst>
              <a:ext uri="{FF2B5EF4-FFF2-40B4-BE49-F238E27FC236}">
                <a16:creationId xmlns:a16="http://schemas.microsoft.com/office/drawing/2014/main" id="{D4656199-8821-4B00-918C-8E6E4742653D}"/>
              </a:ext>
            </a:extLst>
          </xdr:cNvPr>
          <xdr:cNvSpPr/>
        </xdr:nvSpPr>
        <xdr:spPr>
          <a:xfrm>
            <a:off x="4246471" y="1524423"/>
            <a:ext cx="193695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41" name="矩形 40">
            <a:extLst>
              <a:ext uri="{FF2B5EF4-FFF2-40B4-BE49-F238E27FC236}">
                <a16:creationId xmlns:a16="http://schemas.microsoft.com/office/drawing/2014/main" id="{975E7F3D-39A5-431B-B2DA-4B5925ACEB38}"/>
              </a:ext>
            </a:extLst>
          </xdr:cNvPr>
          <xdr:cNvSpPr/>
        </xdr:nvSpPr>
        <xdr:spPr>
          <a:xfrm>
            <a:off x="4251233" y="3293905"/>
            <a:ext cx="193695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FB3EB19C-DF4F-42CD-B22F-D2ABA38E06E0}"/>
              </a:ext>
            </a:extLst>
          </xdr:cNvPr>
          <xdr:cNvSpPr/>
        </xdr:nvSpPr>
        <xdr:spPr>
          <a:xfrm>
            <a:off x="4251227" y="4111326"/>
            <a:ext cx="193695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18</a:t>
            </a:r>
            <a:endParaRPr lang="zh-TW" altLang="en-US" sz="1400"/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77096395-2456-4FC9-8A67-26E5218FE6B2}"/>
              </a:ext>
            </a:extLst>
          </xdr:cNvPr>
          <xdr:cNvSpPr/>
        </xdr:nvSpPr>
        <xdr:spPr>
          <a:xfrm>
            <a:off x="4251234" y="5062100"/>
            <a:ext cx="193695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44" name="矩形 43">
            <a:extLst>
              <a:ext uri="{FF2B5EF4-FFF2-40B4-BE49-F238E27FC236}">
                <a16:creationId xmlns:a16="http://schemas.microsoft.com/office/drawing/2014/main" id="{C087D64E-BE0F-47EB-83AB-3CADB4671344}"/>
              </a:ext>
            </a:extLst>
          </xdr:cNvPr>
          <xdr:cNvSpPr/>
        </xdr:nvSpPr>
        <xdr:spPr>
          <a:xfrm>
            <a:off x="4251234" y="667611"/>
            <a:ext cx="193695" cy="82175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2A55CFDD-ECF5-4A97-864F-9E04DC38C856}"/>
              </a:ext>
            </a:extLst>
          </xdr:cNvPr>
          <xdr:cNvSpPr/>
        </xdr:nvSpPr>
        <xdr:spPr>
          <a:xfrm>
            <a:off x="3586121" y="2350074"/>
            <a:ext cx="187200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P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151C1E6-69D6-4696-A9F5-8AAB19C38365}"/>
              </a:ext>
            </a:extLst>
          </xdr:cNvPr>
          <xdr:cNvSpPr/>
        </xdr:nvSpPr>
        <xdr:spPr>
          <a:xfrm>
            <a:off x="3586121" y="1523134"/>
            <a:ext cx="187200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7F5BD3BF-53A5-4193-A30C-6F7ED98E221C}"/>
              </a:ext>
            </a:extLst>
          </xdr:cNvPr>
          <xdr:cNvSpPr/>
        </xdr:nvSpPr>
        <xdr:spPr>
          <a:xfrm>
            <a:off x="3590883" y="3298321"/>
            <a:ext cx="187200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905E028E-D07D-44B7-AE7C-B119F46C7644}"/>
              </a:ext>
            </a:extLst>
          </xdr:cNvPr>
          <xdr:cNvSpPr/>
        </xdr:nvSpPr>
        <xdr:spPr>
          <a:xfrm>
            <a:off x="3590877" y="4110037"/>
            <a:ext cx="187200" cy="73463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18</a:t>
            </a:r>
            <a:endParaRPr lang="zh-TW" altLang="en-US" sz="1400"/>
          </a:p>
        </xdr:txBody>
      </xdr:sp>
      <xdr:sp macro="" textlink="">
        <xdr:nvSpPr>
          <xdr:cNvPr id="49" name="矩形 48">
            <a:extLst>
              <a:ext uri="{FF2B5EF4-FFF2-40B4-BE49-F238E27FC236}">
                <a16:creationId xmlns:a16="http://schemas.microsoft.com/office/drawing/2014/main" id="{8D90BF3E-6EB6-47AF-BCEB-AC960521D7AA}"/>
              </a:ext>
            </a:extLst>
          </xdr:cNvPr>
          <xdr:cNvSpPr/>
        </xdr:nvSpPr>
        <xdr:spPr>
          <a:xfrm>
            <a:off x="3590884" y="5060811"/>
            <a:ext cx="187200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DCA91EF8-A195-4E9A-B864-7092259F97C0}"/>
              </a:ext>
            </a:extLst>
          </xdr:cNvPr>
          <xdr:cNvSpPr/>
        </xdr:nvSpPr>
        <xdr:spPr>
          <a:xfrm>
            <a:off x="3590884" y="666321"/>
            <a:ext cx="187200" cy="820447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476854CC-FD2D-4BA6-A3D9-E785A2A65CD1}"/>
              </a:ext>
            </a:extLst>
          </xdr:cNvPr>
          <xdr:cNvSpPr/>
        </xdr:nvSpPr>
        <xdr:spPr>
          <a:xfrm>
            <a:off x="3365285" y="2350065"/>
            <a:ext cx="188955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Q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E6E4C9B4-AB22-4AC1-BF4F-3D1E62BA5550}"/>
              </a:ext>
            </a:extLst>
          </xdr:cNvPr>
          <xdr:cNvSpPr/>
        </xdr:nvSpPr>
        <xdr:spPr>
          <a:xfrm>
            <a:off x="3365285" y="1523125"/>
            <a:ext cx="188955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4F814690-E0E1-4C1D-BB74-9DD3F240F5AD}"/>
              </a:ext>
            </a:extLst>
          </xdr:cNvPr>
          <xdr:cNvSpPr/>
        </xdr:nvSpPr>
        <xdr:spPr>
          <a:xfrm>
            <a:off x="3370047" y="3298312"/>
            <a:ext cx="188955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95F45CD4-9777-4C2A-B92E-FDCC8360B629}"/>
              </a:ext>
            </a:extLst>
          </xdr:cNvPr>
          <xdr:cNvSpPr/>
        </xdr:nvSpPr>
        <xdr:spPr>
          <a:xfrm>
            <a:off x="3370041" y="4110028"/>
            <a:ext cx="188955" cy="73463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18</a:t>
            </a:r>
            <a:endParaRPr lang="zh-TW" altLang="en-US" sz="1400"/>
          </a:p>
        </xdr:txBody>
      </xdr:sp>
      <xdr:sp macro="" textlink="">
        <xdr:nvSpPr>
          <xdr:cNvPr id="55" name="矩形 54">
            <a:extLst>
              <a:ext uri="{FF2B5EF4-FFF2-40B4-BE49-F238E27FC236}">
                <a16:creationId xmlns:a16="http://schemas.microsoft.com/office/drawing/2014/main" id="{682D37BD-8C7D-4028-9401-A99940D530B6}"/>
              </a:ext>
            </a:extLst>
          </xdr:cNvPr>
          <xdr:cNvSpPr/>
        </xdr:nvSpPr>
        <xdr:spPr>
          <a:xfrm>
            <a:off x="3370048" y="5060802"/>
            <a:ext cx="188955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C293EC4A-F601-4887-A0B0-C384276C96C5}"/>
              </a:ext>
            </a:extLst>
          </xdr:cNvPr>
          <xdr:cNvSpPr/>
        </xdr:nvSpPr>
        <xdr:spPr>
          <a:xfrm>
            <a:off x="3370048" y="666313"/>
            <a:ext cx="188955" cy="82175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7" name="矩形 56">
            <a:extLst>
              <a:ext uri="{FF2B5EF4-FFF2-40B4-BE49-F238E27FC236}">
                <a16:creationId xmlns:a16="http://schemas.microsoft.com/office/drawing/2014/main" id="{D968DD83-F729-41E1-8122-5C5AB31528A1}"/>
              </a:ext>
            </a:extLst>
          </xdr:cNvPr>
          <xdr:cNvSpPr/>
        </xdr:nvSpPr>
        <xdr:spPr>
          <a:xfrm>
            <a:off x="2722391" y="2350066"/>
            <a:ext cx="191939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R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58" name="矩形 57">
            <a:extLst>
              <a:ext uri="{FF2B5EF4-FFF2-40B4-BE49-F238E27FC236}">
                <a16:creationId xmlns:a16="http://schemas.microsoft.com/office/drawing/2014/main" id="{EA6314F3-5F7A-4C86-8CF3-78BB3FC9C760}"/>
              </a:ext>
            </a:extLst>
          </xdr:cNvPr>
          <xdr:cNvSpPr/>
        </xdr:nvSpPr>
        <xdr:spPr>
          <a:xfrm>
            <a:off x="2722391" y="1523126"/>
            <a:ext cx="191939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id="{4006B5E8-F960-49B8-9A8A-5045DFFE9D89}"/>
              </a:ext>
            </a:extLst>
          </xdr:cNvPr>
          <xdr:cNvSpPr/>
        </xdr:nvSpPr>
        <xdr:spPr>
          <a:xfrm>
            <a:off x="2727153" y="3298313"/>
            <a:ext cx="191939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60" name="矩形 59">
            <a:extLst>
              <a:ext uri="{FF2B5EF4-FFF2-40B4-BE49-F238E27FC236}">
                <a16:creationId xmlns:a16="http://schemas.microsoft.com/office/drawing/2014/main" id="{685B94DF-8F45-4D29-9F1D-D429ADC08846}"/>
              </a:ext>
            </a:extLst>
          </xdr:cNvPr>
          <xdr:cNvSpPr/>
        </xdr:nvSpPr>
        <xdr:spPr>
          <a:xfrm>
            <a:off x="2727147" y="4110029"/>
            <a:ext cx="191939" cy="73463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17</a:t>
            </a:r>
            <a:endParaRPr lang="zh-TW" altLang="en-US" sz="1400"/>
          </a:p>
        </xdr:txBody>
      </xdr:sp>
      <xdr:sp macro="" textlink="">
        <xdr:nvSpPr>
          <xdr:cNvPr id="61" name="矩形 60">
            <a:extLst>
              <a:ext uri="{FF2B5EF4-FFF2-40B4-BE49-F238E27FC236}">
                <a16:creationId xmlns:a16="http://schemas.microsoft.com/office/drawing/2014/main" id="{D55B66E1-4F7B-42C8-8C21-9F78E676E740}"/>
              </a:ext>
            </a:extLst>
          </xdr:cNvPr>
          <xdr:cNvSpPr/>
        </xdr:nvSpPr>
        <xdr:spPr>
          <a:xfrm>
            <a:off x="2727154" y="5060803"/>
            <a:ext cx="191939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2" name="矩形 61">
            <a:extLst>
              <a:ext uri="{FF2B5EF4-FFF2-40B4-BE49-F238E27FC236}">
                <a16:creationId xmlns:a16="http://schemas.microsoft.com/office/drawing/2014/main" id="{F8AF7587-D304-48D5-A799-3E93F99BEDF5}"/>
              </a:ext>
            </a:extLst>
          </xdr:cNvPr>
          <xdr:cNvSpPr/>
        </xdr:nvSpPr>
        <xdr:spPr>
          <a:xfrm>
            <a:off x="2727154" y="666314"/>
            <a:ext cx="191939" cy="65332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DB61ED4E-5D03-4824-9AB0-FBF1F4E4A2AC}"/>
              </a:ext>
            </a:extLst>
          </xdr:cNvPr>
          <xdr:cNvSpPr/>
        </xdr:nvSpPr>
        <xdr:spPr>
          <a:xfrm>
            <a:off x="2501555" y="2350057"/>
            <a:ext cx="188955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S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27B78422-60F6-42E1-8F97-6C2239095DAF}"/>
              </a:ext>
            </a:extLst>
          </xdr:cNvPr>
          <xdr:cNvSpPr/>
        </xdr:nvSpPr>
        <xdr:spPr>
          <a:xfrm>
            <a:off x="2501555" y="1523117"/>
            <a:ext cx="188955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5FC57DED-6FD4-493E-B82F-419471FC5E74}"/>
              </a:ext>
            </a:extLst>
          </xdr:cNvPr>
          <xdr:cNvSpPr/>
        </xdr:nvSpPr>
        <xdr:spPr>
          <a:xfrm>
            <a:off x="2506317" y="3298304"/>
            <a:ext cx="188955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66" name="矩形 65">
            <a:extLst>
              <a:ext uri="{FF2B5EF4-FFF2-40B4-BE49-F238E27FC236}">
                <a16:creationId xmlns:a16="http://schemas.microsoft.com/office/drawing/2014/main" id="{651C027E-B4E7-47C5-A46D-DA698D1A6DB1}"/>
              </a:ext>
            </a:extLst>
          </xdr:cNvPr>
          <xdr:cNvSpPr/>
        </xdr:nvSpPr>
        <xdr:spPr>
          <a:xfrm>
            <a:off x="2506311" y="4110020"/>
            <a:ext cx="188955" cy="73463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18</a:t>
            </a:r>
            <a:endParaRPr lang="zh-TW" altLang="en-US" sz="1400"/>
          </a:p>
        </xdr:txBody>
      </xdr:sp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1342F85A-31CB-4BDA-B918-90459620BB99}"/>
              </a:ext>
            </a:extLst>
          </xdr:cNvPr>
          <xdr:cNvSpPr/>
        </xdr:nvSpPr>
        <xdr:spPr>
          <a:xfrm>
            <a:off x="2506318" y="5060794"/>
            <a:ext cx="188955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88E2C742-2AC4-4180-8502-430C6CF6F302}"/>
              </a:ext>
            </a:extLst>
          </xdr:cNvPr>
          <xdr:cNvSpPr/>
        </xdr:nvSpPr>
        <xdr:spPr>
          <a:xfrm>
            <a:off x="2506318" y="666305"/>
            <a:ext cx="188955" cy="82175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C830990-7F96-4E37-B700-E2B14996AD66}"/>
              </a:ext>
            </a:extLst>
          </xdr:cNvPr>
          <xdr:cNvSpPr/>
        </xdr:nvSpPr>
        <xdr:spPr>
          <a:xfrm>
            <a:off x="1843357" y="2354071"/>
            <a:ext cx="187200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T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B85974A2-22D6-4A75-8021-8A308E0E5FDB}"/>
              </a:ext>
            </a:extLst>
          </xdr:cNvPr>
          <xdr:cNvSpPr/>
        </xdr:nvSpPr>
        <xdr:spPr>
          <a:xfrm>
            <a:off x="1843357" y="1527131"/>
            <a:ext cx="187200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CCB929DA-9647-4983-8B8B-3E5B241FA0DC}"/>
              </a:ext>
            </a:extLst>
          </xdr:cNvPr>
          <xdr:cNvSpPr/>
        </xdr:nvSpPr>
        <xdr:spPr>
          <a:xfrm>
            <a:off x="1848119" y="3302318"/>
            <a:ext cx="187200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EC63CA40-5B5F-4532-B981-68E44BBCCF4D}"/>
              </a:ext>
            </a:extLst>
          </xdr:cNvPr>
          <xdr:cNvSpPr/>
        </xdr:nvSpPr>
        <xdr:spPr>
          <a:xfrm>
            <a:off x="1848113" y="4114034"/>
            <a:ext cx="187200" cy="73609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17</a:t>
            </a:r>
            <a:endParaRPr lang="zh-TW" altLang="en-US" sz="1400"/>
          </a:p>
        </xdr:txBody>
      </xdr:sp>
      <xdr:sp macro="" textlink="">
        <xdr:nvSpPr>
          <xdr:cNvPr id="73" name="矩形 72">
            <a:extLst>
              <a:ext uri="{FF2B5EF4-FFF2-40B4-BE49-F238E27FC236}">
                <a16:creationId xmlns:a16="http://schemas.microsoft.com/office/drawing/2014/main" id="{41599C65-6E8C-4EC0-8D92-290A259B2046}"/>
              </a:ext>
            </a:extLst>
          </xdr:cNvPr>
          <xdr:cNvSpPr/>
        </xdr:nvSpPr>
        <xdr:spPr>
          <a:xfrm>
            <a:off x="1848120" y="5064808"/>
            <a:ext cx="187200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51478962-29EE-4FF9-9B67-C4F25C55C471}"/>
              </a:ext>
            </a:extLst>
          </xdr:cNvPr>
          <xdr:cNvSpPr/>
        </xdr:nvSpPr>
        <xdr:spPr>
          <a:xfrm>
            <a:off x="1848120" y="670319"/>
            <a:ext cx="187200" cy="65332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6550CA0E-59E3-40B0-9855-B9ED3646E1D6}"/>
              </a:ext>
            </a:extLst>
          </xdr:cNvPr>
          <xdr:cNvSpPr/>
        </xdr:nvSpPr>
        <xdr:spPr>
          <a:xfrm>
            <a:off x="1617782" y="2354062"/>
            <a:ext cx="193694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U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76" name="矩形 75">
            <a:extLst>
              <a:ext uri="{FF2B5EF4-FFF2-40B4-BE49-F238E27FC236}">
                <a16:creationId xmlns:a16="http://schemas.microsoft.com/office/drawing/2014/main" id="{D9A10963-05C6-4481-A7B7-1719DF978B0B}"/>
              </a:ext>
            </a:extLst>
          </xdr:cNvPr>
          <xdr:cNvSpPr/>
        </xdr:nvSpPr>
        <xdr:spPr>
          <a:xfrm>
            <a:off x="1617782" y="1527122"/>
            <a:ext cx="193694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A3E0586B-DA82-4F70-BB31-FA5A7FDAC86C}"/>
              </a:ext>
            </a:extLst>
          </xdr:cNvPr>
          <xdr:cNvSpPr/>
        </xdr:nvSpPr>
        <xdr:spPr>
          <a:xfrm>
            <a:off x="1622544" y="3302309"/>
            <a:ext cx="193694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562354F7-0173-4017-A46C-8693352FC692}"/>
              </a:ext>
            </a:extLst>
          </xdr:cNvPr>
          <xdr:cNvSpPr/>
        </xdr:nvSpPr>
        <xdr:spPr>
          <a:xfrm>
            <a:off x="1622538" y="4114025"/>
            <a:ext cx="193694" cy="73609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17</a:t>
            </a:r>
            <a:endParaRPr lang="zh-TW" altLang="en-US" sz="1400"/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725D4FFE-CD16-4B9C-A3A9-00D9AD03ACB3}"/>
              </a:ext>
            </a:extLst>
          </xdr:cNvPr>
          <xdr:cNvSpPr/>
        </xdr:nvSpPr>
        <xdr:spPr>
          <a:xfrm>
            <a:off x="1622545" y="5064799"/>
            <a:ext cx="193694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185AFA1-F72D-4811-99F3-5CA809234893}"/>
              </a:ext>
            </a:extLst>
          </xdr:cNvPr>
          <xdr:cNvSpPr/>
        </xdr:nvSpPr>
        <xdr:spPr>
          <a:xfrm>
            <a:off x="1622545" y="670310"/>
            <a:ext cx="193694" cy="65319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B011-AAF9-4A59-89ED-8A3EF62CD6D9}">
  <dimension ref="A1:AH699"/>
  <sheetViews>
    <sheetView zoomScaleNormal="100" zoomScaleSheetLayoutView="112" workbookViewId="0">
      <pane xSplit="8" ySplit="9" topLeftCell="I568" activePane="bottomRight" state="frozen"/>
      <selection pane="topRight" activeCell="I1" sqref="I1"/>
      <selection pane="bottomLeft" activeCell="A10" sqref="A10"/>
      <selection pane="bottomRight" activeCell="B582" sqref="B582"/>
    </sheetView>
  </sheetViews>
  <sheetFormatPr defaultColWidth="9" defaultRowHeight="14.4"/>
  <cols>
    <col min="1" max="1" width="10.109375" style="3" customWidth="1"/>
    <col min="2" max="2" width="12.6640625" style="139" customWidth="1"/>
    <col min="3" max="3" width="10.44140625" style="5" customWidth="1"/>
    <col min="4" max="4" width="8.109375" style="5" customWidth="1"/>
    <col min="5" max="5" width="4.44140625" style="5" customWidth="1"/>
    <col min="6" max="6" width="6.44140625" style="5" customWidth="1"/>
    <col min="7" max="7" width="6.109375" style="6" customWidth="1"/>
    <col min="8" max="8" width="5.33203125" style="7" customWidth="1"/>
    <col min="9" max="9" width="10.6640625" style="8" customWidth="1"/>
    <col min="10" max="10" width="6.44140625" style="9" customWidth="1"/>
    <col min="11" max="11" width="5.44140625" style="9" customWidth="1"/>
    <col min="12" max="12" width="12.33203125" style="54" customWidth="1"/>
    <col min="13" max="13" width="8.5546875" style="10" customWidth="1"/>
    <col min="14" max="14" width="7.44140625" style="10" customWidth="1"/>
    <col min="15" max="15" width="8" style="10" customWidth="1"/>
    <col min="16" max="16" width="8" style="9" customWidth="1"/>
    <col min="17" max="18" width="12.33203125" style="11" customWidth="1"/>
    <col min="19" max="19" width="6.44140625" style="9" customWidth="1"/>
    <col min="20" max="22" width="12.33203125" style="10" customWidth="1"/>
    <col min="23" max="23" width="12.6640625" style="48" customWidth="1"/>
    <col min="24" max="24" width="6.6640625" style="12" customWidth="1"/>
    <col min="25" max="25" width="9" style="12"/>
    <col min="26" max="26" width="8" style="12" customWidth="1"/>
    <col min="27" max="27" width="6.44140625" style="12" customWidth="1"/>
    <col min="28" max="28" width="7.33203125" style="12" customWidth="1"/>
    <col min="29" max="29" width="9" style="5"/>
    <col min="30" max="30" width="34.44140625" style="5" customWidth="1"/>
    <col min="31" max="31" width="22.44140625" style="5" customWidth="1"/>
    <col min="32" max="16384" width="9" style="5"/>
  </cols>
  <sheetData>
    <row r="1" spans="1:34" ht="24" hidden="1" customHeight="1">
      <c r="J1" s="9" t="s">
        <v>343</v>
      </c>
      <c r="S1" s="9" t="s">
        <v>343</v>
      </c>
    </row>
    <row r="2" spans="1:34" ht="12" hidden="1" customHeight="1"/>
    <row r="3" spans="1:34" ht="17.25" hidden="1" customHeight="1"/>
    <row r="4" spans="1:34" ht="11.25" hidden="1" customHeight="1"/>
    <row r="5" spans="1:34" ht="14.25" hidden="1" customHeight="1"/>
    <row r="6" spans="1:34" ht="30" hidden="1" customHeight="1"/>
    <row r="7" spans="1:34" ht="13.5" hidden="1" customHeight="1"/>
    <row r="8" spans="1:34" ht="21" hidden="1" customHeight="1"/>
    <row r="9" spans="1:34" s="22" customFormat="1" ht="39.75" customHeight="1">
      <c r="A9" s="13" t="s">
        <v>1</v>
      </c>
      <c r="B9" s="205" t="s">
        <v>0</v>
      </c>
      <c r="C9" s="14" t="s">
        <v>2</v>
      </c>
      <c r="D9" s="14" t="s">
        <v>3</v>
      </c>
      <c r="E9" s="14" t="s">
        <v>4</v>
      </c>
      <c r="F9" s="14" t="s">
        <v>6</v>
      </c>
      <c r="G9" s="15" t="s">
        <v>7</v>
      </c>
      <c r="H9" s="16" t="s">
        <v>5</v>
      </c>
      <c r="I9" s="17" t="s">
        <v>8</v>
      </c>
      <c r="J9" s="18" t="s">
        <v>690</v>
      </c>
      <c r="K9" s="18" t="s">
        <v>10</v>
      </c>
      <c r="L9" s="55" t="s">
        <v>14</v>
      </c>
      <c r="M9" s="19" t="s">
        <v>691</v>
      </c>
      <c r="N9" s="19" t="s">
        <v>16</v>
      </c>
      <c r="O9" s="19" t="s">
        <v>687</v>
      </c>
      <c r="P9" s="20" t="s">
        <v>11</v>
      </c>
      <c r="Q9" s="21" t="s">
        <v>12</v>
      </c>
      <c r="R9" s="21" t="s">
        <v>13</v>
      </c>
      <c r="S9" s="18" t="s">
        <v>690</v>
      </c>
      <c r="T9" s="19" t="s">
        <v>17</v>
      </c>
      <c r="U9" s="19" t="s">
        <v>18</v>
      </c>
      <c r="V9" s="19" t="s">
        <v>19</v>
      </c>
      <c r="W9" s="49" t="s">
        <v>20</v>
      </c>
      <c r="X9" s="14" t="s">
        <v>9</v>
      </c>
      <c r="Y9" s="14" t="s">
        <v>15</v>
      </c>
      <c r="Z9" s="14" t="s">
        <v>21</v>
      </c>
      <c r="AA9" s="14" t="s">
        <v>22</v>
      </c>
      <c r="AB9" s="14" t="s">
        <v>23</v>
      </c>
      <c r="AC9" s="14" t="s">
        <v>688</v>
      </c>
      <c r="AD9" s="14" t="s">
        <v>1474</v>
      </c>
      <c r="AE9" s="14"/>
      <c r="AF9" s="14">
        <v>115567</v>
      </c>
      <c r="AG9" s="14">
        <v>2476130</v>
      </c>
      <c r="AH9" s="14">
        <v>130072</v>
      </c>
    </row>
    <row r="10" spans="1:34" ht="46.8">
      <c r="A10" s="23" t="s">
        <v>24</v>
      </c>
      <c r="B10" s="81">
        <v>6000023628</v>
      </c>
      <c r="C10" s="25" t="s">
        <v>25</v>
      </c>
      <c r="D10" s="25" t="s">
        <v>26</v>
      </c>
      <c r="E10" s="25">
        <v>10</v>
      </c>
      <c r="F10" s="25">
        <v>1050</v>
      </c>
      <c r="G10" s="26">
        <f t="shared" ref="G10:G73" si="0">F10*E10</f>
        <v>10500</v>
      </c>
      <c r="H10" s="27" t="s">
        <v>27</v>
      </c>
      <c r="I10" s="28" t="s">
        <v>1319</v>
      </c>
      <c r="J10" s="29">
        <v>1050</v>
      </c>
      <c r="K10" s="29">
        <v>13</v>
      </c>
      <c r="L10" s="56" t="s">
        <v>31</v>
      </c>
      <c r="M10" s="31">
        <v>10500</v>
      </c>
      <c r="N10" s="31">
        <v>135</v>
      </c>
      <c r="O10" s="31" t="s">
        <v>76</v>
      </c>
      <c r="P10" s="32" t="s">
        <v>28</v>
      </c>
      <c r="Q10" s="33" t="s">
        <v>29</v>
      </c>
      <c r="R10" s="33" t="s">
        <v>30</v>
      </c>
      <c r="S10" s="29">
        <v>1050</v>
      </c>
      <c r="T10" s="31" t="s">
        <v>1558</v>
      </c>
      <c r="U10" s="31" t="s">
        <v>32</v>
      </c>
      <c r="V10" s="31" t="s">
        <v>33</v>
      </c>
      <c r="W10" s="50" t="s">
        <v>34</v>
      </c>
      <c r="X10" s="34">
        <v>1050</v>
      </c>
      <c r="Y10" s="34">
        <v>10500</v>
      </c>
      <c r="Z10" s="34" t="s">
        <v>35</v>
      </c>
      <c r="AA10" s="34">
        <f>J10-X10</f>
        <v>0</v>
      </c>
      <c r="AB10" s="34">
        <f>M10-Y10</f>
        <v>0</v>
      </c>
      <c r="AC10" s="25" t="s">
        <v>36</v>
      </c>
      <c r="AD10" s="25" t="s">
        <v>76</v>
      </c>
      <c r="AE10" s="25" t="e">
        <v>#REF!</v>
      </c>
      <c r="AF10" s="25"/>
      <c r="AG10" s="25"/>
      <c r="AH10" s="25"/>
    </row>
    <row r="11" spans="1:34" ht="62.4">
      <c r="A11" s="23" t="s">
        <v>24</v>
      </c>
      <c r="B11" s="81">
        <v>6000023628</v>
      </c>
      <c r="C11" s="25" t="s">
        <v>25</v>
      </c>
      <c r="D11" s="25" t="s">
        <v>26</v>
      </c>
      <c r="E11" s="25">
        <v>10</v>
      </c>
      <c r="F11" s="25">
        <v>1050</v>
      </c>
      <c r="G11" s="26">
        <f t="shared" si="0"/>
        <v>10500</v>
      </c>
      <c r="H11" s="27" t="s">
        <v>37</v>
      </c>
      <c r="I11" s="28" t="s">
        <v>1320</v>
      </c>
      <c r="J11" s="29">
        <v>1050</v>
      </c>
      <c r="K11" s="29">
        <v>21</v>
      </c>
      <c r="L11" s="56" t="s">
        <v>40</v>
      </c>
      <c r="M11" s="31">
        <v>10500</v>
      </c>
      <c r="N11" s="31">
        <v>135</v>
      </c>
      <c r="O11" s="31" t="s">
        <v>76</v>
      </c>
      <c r="P11" s="32" t="s">
        <v>28</v>
      </c>
      <c r="Q11" s="33" t="s">
        <v>29</v>
      </c>
      <c r="R11" s="33" t="s">
        <v>39</v>
      </c>
      <c r="S11" s="29">
        <v>1050</v>
      </c>
      <c r="T11" s="31" t="s">
        <v>1558</v>
      </c>
      <c r="U11" s="31" t="s">
        <v>32</v>
      </c>
      <c r="V11" s="31" t="s">
        <v>41</v>
      </c>
      <c r="W11" s="50" t="s">
        <v>42</v>
      </c>
      <c r="X11" s="34">
        <v>1050</v>
      </c>
      <c r="Y11" s="34">
        <v>10500</v>
      </c>
      <c r="Z11" s="34" t="s">
        <v>43</v>
      </c>
      <c r="AA11" s="34">
        <f t="shared" ref="AA11:AA74" si="1">J11-X11</f>
        <v>0</v>
      </c>
      <c r="AB11" s="34">
        <f t="shared" ref="AB11:AB74" si="2">M11-Y11</f>
        <v>0</v>
      </c>
      <c r="AC11" s="25" t="s">
        <v>36</v>
      </c>
      <c r="AD11" s="25" t="s">
        <v>76</v>
      </c>
      <c r="AE11" s="25" t="e">
        <v>#REF!</v>
      </c>
      <c r="AF11" s="25"/>
      <c r="AG11" s="25"/>
      <c r="AH11" s="35"/>
    </row>
    <row r="12" spans="1:34" ht="62.4">
      <c r="A12" s="23" t="s">
        <v>24</v>
      </c>
      <c r="B12" s="81">
        <v>6000023629</v>
      </c>
      <c r="C12" s="25" t="s">
        <v>44</v>
      </c>
      <c r="D12" s="25" t="s">
        <v>45</v>
      </c>
      <c r="E12" s="25">
        <v>10</v>
      </c>
      <c r="F12" s="25">
        <v>2100</v>
      </c>
      <c r="G12" s="26">
        <f t="shared" si="0"/>
        <v>21000</v>
      </c>
      <c r="H12" s="27" t="s">
        <v>46</v>
      </c>
      <c r="I12" s="28" t="s">
        <v>1320</v>
      </c>
      <c r="J12" s="29">
        <v>2100</v>
      </c>
      <c r="K12" s="29">
        <v>22</v>
      </c>
      <c r="L12" s="56" t="s">
        <v>49</v>
      </c>
      <c r="M12" s="31">
        <v>21000</v>
      </c>
      <c r="N12" s="31">
        <v>240</v>
      </c>
      <c r="O12" s="31" t="s">
        <v>76</v>
      </c>
      <c r="P12" s="32" t="s">
        <v>28</v>
      </c>
      <c r="Q12" s="33" t="s">
        <v>47</v>
      </c>
      <c r="R12" s="33" t="s">
        <v>48</v>
      </c>
      <c r="S12" s="29">
        <v>2100</v>
      </c>
      <c r="T12" s="31" t="s">
        <v>1558</v>
      </c>
      <c r="U12" s="31" t="s">
        <v>50</v>
      </c>
      <c r="V12" s="31" t="s">
        <v>51</v>
      </c>
      <c r="W12" s="50" t="s">
        <v>52</v>
      </c>
      <c r="X12" s="34">
        <v>2100</v>
      </c>
      <c r="Y12" s="34">
        <v>21000</v>
      </c>
      <c r="Z12" s="34" t="s">
        <v>53</v>
      </c>
      <c r="AA12" s="34">
        <f t="shared" si="1"/>
        <v>0</v>
      </c>
      <c r="AB12" s="34">
        <f t="shared" si="2"/>
        <v>0</v>
      </c>
      <c r="AC12" s="25" t="s">
        <v>36</v>
      </c>
      <c r="AD12" s="25" t="s">
        <v>76</v>
      </c>
      <c r="AE12" s="25" t="e">
        <v>#REF!</v>
      </c>
      <c r="AF12" s="25"/>
      <c r="AG12" s="25"/>
      <c r="AH12" s="35"/>
    </row>
    <row r="13" spans="1:34" ht="62.4">
      <c r="A13" s="23" t="s">
        <v>24</v>
      </c>
      <c r="B13" s="81">
        <v>6000023630</v>
      </c>
      <c r="C13" s="25" t="s">
        <v>44</v>
      </c>
      <c r="D13" s="25" t="s">
        <v>54</v>
      </c>
      <c r="E13" s="25">
        <v>10</v>
      </c>
      <c r="F13" s="25">
        <v>2100</v>
      </c>
      <c r="G13" s="26">
        <f t="shared" si="0"/>
        <v>21000</v>
      </c>
      <c r="H13" s="27" t="s">
        <v>46</v>
      </c>
      <c r="I13" s="28" t="s">
        <v>1321</v>
      </c>
      <c r="J13" s="29">
        <v>2100</v>
      </c>
      <c r="K13" s="29">
        <v>27</v>
      </c>
      <c r="L13" s="56" t="s">
        <v>49</v>
      </c>
      <c r="M13" s="31">
        <v>21000</v>
      </c>
      <c r="N13" s="31">
        <v>240</v>
      </c>
      <c r="O13" s="31" t="s">
        <v>76</v>
      </c>
      <c r="P13" s="32" t="s">
        <v>28</v>
      </c>
      <c r="Q13" s="33" t="s">
        <v>55</v>
      </c>
      <c r="R13" s="33" t="s">
        <v>56</v>
      </c>
      <c r="S13" s="29">
        <v>2100</v>
      </c>
      <c r="T13" s="31" t="s">
        <v>1558</v>
      </c>
      <c r="U13" s="31" t="s">
        <v>57</v>
      </c>
      <c r="V13" s="31" t="s">
        <v>58</v>
      </c>
      <c r="W13" s="50" t="s">
        <v>1324</v>
      </c>
      <c r="X13" s="34">
        <v>2100</v>
      </c>
      <c r="Y13" s="34">
        <v>21000</v>
      </c>
      <c r="Z13" s="34" t="s">
        <v>928</v>
      </c>
      <c r="AA13" s="34">
        <f t="shared" si="1"/>
        <v>0</v>
      </c>
      <c r="AB13" s="34">
        <f t="shared" si="2"/>
        <v>0</v>
      </c>
      <c r="AC13" s="25" t="s">
        <v>36</v>
      </c>
      <c r="AD13" s="25" t="s">
        <v>76</v>
      </c>
      <c r="AE13" s="25" t="e">
        <v>#REF!</v>
      </c>
      <c r="AF13" s="25"/>
      <c r="AG13" s="25"/>
      <c r="AH13" s="35"/>
    </row>
    <row r="14" spans="1:34" ht="31.2">
      <c r="A14" s="23" t="s">
        <v>24</v>
      </c>
      <c r="B14" s="81">
        <v>6000023631</v>
      </c>
      <c r="C14" s="25" t="s">
        <v>25</v>
      </c>
      <c r="D14" s="25" t="s">
        <v>60</v>
      </c>
      <c r="E14" s="25">
        <v>10</v>
      </c>
      <c r="F14" s="25">
        <v>1050</v>
      </c>
      <c r="G14" s="26">
        <f t="shared" si="0"/>
        <v>10500</v>
      </c>
      <c r="H14" s="27" t="s">
        <v>27</v>
      </c>
      <c r="I14" s="28" t="s">
        <v>61</v>
      </c>
      <c r="J14" s="29">
        <v>1050</v>
      </c>
      <c r="K14" s="29">
        <v>12</v>
      </c>
      <c r="L14" s="56" t="s">
        <v>64</v>
      </c>
      <c r="M14" s="31">
        <v>10500</v>
      </c>
      <c r="N14" s="31">
        <v>135</v>
      </c>
      <c r="O14" s="31" t="s">
        <v>76</v>
      </c>
      <c r="P14" s="32" t="s">
        <v>28</v>
      </c>
      <c r="Q14" s="33" t="s">
        <v>62</v>
      </c>
      <c r="R14" s="33" t="s">
        <v>63</v>
      </c>
      <c r="S14" s="29">
        <v>1050</v>
      </c>
      <c r="T14" s="31" t="s">
        <v>1558</v>
      </c>
      <c r="U14" s="31" t="s">
        <v>65</v>
      </c>
      <c r="V14" s="31" t="s">
        <v>66</v>
      </c>
      <c r="W14" s="50" t="s">
        <v>59</v>
      </c>
      <c r="X14" s="34">
        <v>1050</v>
      </c>
      <c r="Y14" s="34">
        <v>10500</v>
      </c>
      <c r="Z14" s="34" t="s">
        <v>35</v>
      </c>
      <c r="AA14" s="34">
        <f t="shared" si="1"/>
        <v>0</v>
      </c>
      <c r="AB14" s="34">
        <f t="shared" si="2"/>
        <v>0</v>
      </c>
      <c r="AC14" s="25" t="s">
        <v>36</v>
      </c>
      <c r="AD14" s="25" t="s">
        <v>76</v>
      </c>
      <c r="AE14" s="25" t="e">
        <v>#REF!</v>
      </c>
      <c r="AF14" s="25"/>
      <c r="AG14" s="25"/>
      <c r="AH14" s="35"/>
    </row>
    <row r="15" spans="1:34" ht="31.2">
      <c r="A15" s="23" t="s">
        <v>24</v>
      </c>
      <c r="B15" s="81">
        <v>6000023631</v>
      </c>
      <c r="C15" s="25" t="s">
        <v>25</v>
      </c>
      <c r="D15" s="25" t="s">
        <v>60</v>
      </c>
      <c r="E15" s="25">
        <v>10</v>
      </c>
      <c r="F15" s="25">
        <v>1050</v>
      </c>
      <c r="G15" s="26">
        <f t="shared" si="0"/>
        <v>10500</v>
      </c>
      <c r="H15" s="27" t="s">
        <v>37</v>
      </c>
      <c r="I15" s="28" t="s">
        <v>61</v>
      </c>
      <c r="J15" s="29">
        <v>1050</v>
      </c>
      <c r="K15" s="29">
        <v>12</v>
      </c>
      <c r="L15" s="56" t="s">
        <v>67</v>
      </c>
      <c r="M15" s="31">
        <v>10500</v>
      </c>
      <c r="N15" s="31">
        <v>135</v>
      </c>
      <c r="O15" s="31" t="s">
        <v>76</v>
      </c>
      <c r="P15" s="32" t="s">
        <v>28</v>
      </c>
      <c r="Q15" s="33" t="s">
        <v>62</v>
      </c>
      <c r="R15" s="33" t="s">
        <v>63</v>
      </c>
      <c r="S15" s="29">
        <v>1050</v>
      </c>
      <c r="T15" s="31" t="s">
        <v>1558</v>
      </c>
      <c r="U15" s="31" t="s">
        <v>65</v>
      </c>
      <c r="V15" s="31" t="s">
        <v>68</v>
      </c>
      <c r="W15" s="50" t="s">
        <v>69</v>
      </c>
      <c r="X15" s="34">
        <v>1050</v>
      </c>
      <c r="Y15" s="34">
        <v>10500</v>
      </c>
      <c r="Z15" s="34" t="s">
        <v>70</v>
      </c>
      <c r="AA15" s="34">
        <f t="shared" si="1"/>
        <v>0</v>
      </c>
      <c r="AB15" s="34">
        <f t="shared" si="2"/>
        <v>0</v>
      </c>
      <c r="AC15" s="25" t="s">
        <v>36</v>
      </c>
      <c r="AD15" s="25" t="s">
        <v>76</v>
      </c>
      <c r="AE15" s="25" t="e">
        <v>#REF!</v>
      </c>
      <c r="AF15" s="25"/>
      <c r="AG15" s="25"/>
      <c r="AH15" s="35"/>
    </row>
    <row r="16" spans="1:34" ht="46.8">
      <c r="A16" s="23" t="s">
        <v>24</v>
      </c>
      <c r="B16" s="81">
        <v>6000023632</v>
      </c>
      <c r="C16" s="25" t="s">
        <v>25</v>
      </c>
      <c r="D16" s="25" t="s">
        <v>71</v>
      </c>
      <c r="E16" s="25">
        <v>10</v>
      </c>
      <c r="F16" s="25">
        <v>1050</v>
      </c>
      <c r="G16" s="26">
        <f t="shared" si="0"/>
        <v>10500</v>
      </c>
      <c r="H16" s="27" t="s">
        <v>27</v>
      </c>
      <c r="I16" s="28" t="s">
        <v>38</v>
      </c>
      <c r="J16" s="29">
        <v>1050</v>
      </c>
      <c r="K16" s="29">
        <v>14</v>
      </c>
      <c r="L16" s="56" t="s">
        <v>61</v>
      </c>
      <c r="M16" s="31">
        <v>10500</v>
      </c>
      <c r="N16" s="31">
        <v>135</v>
      </c>
      <c r="O16" s="31" t="s">
        <v>76</v>
      </c>
      <c r="P16" s="32" t="s">
        <v>28</v>
      </c>
      <c r="Q16" s="33" t="s">
        <v>72</v>
      </c>
      <c r="R16" s="33" t="s">
        <v>73</v>
      </c>
      <c r="S16" s="29">
        <v>1050</v>
      </c>
      <c r="T16" s="31" t="s">
        <v>1558</v>
      </c>
      <c r="U16" s="31" t="s">
        <v>74</v>
      </c>
      <c r="V16" s="31" t="s">
        <v>75</v>
      </c>
      <c r="W16" s="50" t="s">
        <v>799</v>
      </c>
      <c r="X16" s="34">
        <v>1050</v>
      </c>
      <c r="Y16" s="34">
        <v>10500</v>
      </c>
      <c r="Z16" s="34" t="s">
        <v>803</v>
      </c>
      <c r="AA16" s="34">
        <f t="shared" si="1"/>
        <v>0</v>
      </c>
      <c r="AB16" s="34">
        <f t="shared" si="2"/>
        <v>0</v>
      </c>
      <c r="AC16" s="25" t="s">
        <v>36</v>
      </c>
      <c r="AD16" s="25" t="s">
        <v>76</v>
      </c>
      <c r="AE16" s="25" t="e">
        <v>#REF!</v>
      </c>
      <c r="AF16" s="25"/>
      <c r="AG16" s="25"/>
      <c r="AH16" s="35"/>
    </row>
    <row r="17" spans="1:34" ht="46.8">
      <c r="A17" s="23" t="s">
        <v>24</v>
      </c>
      <c r="B17" s="81">
        <v>6000023632</v>
      </c>
      <c r="C17" s="25" t="s">
        <v>25</v>
      </c>
      <c r="D17" s="25" t="s">
        <v>71</v>
      </c>
      <c r="E17" s="25">
        <v>10</v>
      </c>
      <c r="F17" s="25">
        <v>1050</v>
      </c>
      <c r="G17" s="26">
        <f t="shared" si="0"/>
        <v>10500</v>
      </c>
      <c r="H17" s="27" t="s">
        <v>37</v>
      </c>
      <c r="I17" s="28" t="s">
        <v>38</v>
      </c>
      <c r="J17" s="29">
        <v>1050</v>
      </c>
      <c r="K17" s="29">
        <v>19</v>
      </c>
      <c r="L17" s="56" t="s">
        <v>40</v>
      </c>
      <c r="M17" s="31">
        <v>10500</v>
      </c>
      <c r="N17" s="31">
        <v>135</v>
      </c>
      <c r="O17" s="31" t="s">
        <v>76</v>
      </c>
      <c r="P17" s="32" t="s">
        <v>28</v>
      </c>
      <c r="Q17" s="33" t="s">
        <v>72</v>
      </c>
      <c r="R17" s="33" t="s">
        <v>73</v>
      </c>
      <c r="S17" s="29">
        <v>1050</v>
      </c>
      <c r="T17" s="31" t="s">
        <v>1558</v>
      </c>
      <c r="U17" s="31" t="s">
        <v>74</v>
      </c>
      <c r="V17" s="31" t="s">
        <v>77</v>
      </c>
      <c r="W17" s="50">
        <v>45143</v>
      </c>
      <c r="X17" s="34">
        <v>1050</v>
      </c>
      <c r="Y17" s="34">
        <v>10500</v>
      </c>
      <c r="Z17" s="34" t="s">
        <v>803</v>
      </c>
      <c r="AA17" s="34">
        <f t="shared" si="1"/>
        <v>0</v>
      </c>
      <c r="AB17" s="34">
        <f t="shared" si="2"/>
        <v>0</v>
      </c>
      <c r="AC17" s="25" t="s">
        <v>36</v>
      </c>
      <c r="AD17" s="25" t="s">
        <v>76</v>
      </c>
      <c r="AE17" s="25" t="e">
        <v>#REF!</v>
      </c>
      <c r="AF17" s="25"/>
      <c r="AG17" s="25"/>
      <c r="AH17" s="35"/>
    </row>
    <row r="18" spans="1:34" ht="31.2">
      <c r="A18" s="23" t="s">
        <v>24</v>
      </c>
      <c r="B18" s="81">
        <v>6000023633</v>
      </c>
      <c r="C18" s="25" t="s">
        <v>25</v>
      </c>
      <c r="D18" s="25" t="s">
        <v>78</v>
      </c>
      <c r="E18" s="25">
        <v>10</v>
      </c>
      <c r="F18" s="25">
        <v>1050</v>
      </c>
      <c r="G18" s="26">
        <f t="shared" si="0"/>
        <v>10500</v>
      </c>
      <c r="H18" s="27" t="s">
        <v>27</v>
      </c>
      <c r="I18" s="28" t="s">
        <v>61</v>
      </c>
      <c r="J18" s="29">
        <v>1050</v>
      </c>
      <c r="K18" s="29">
        <v>15</v>
      </c>
      <c r="L18" s="56" t="s">
        <v>31</v>
      </c>
      <c r="M18" s="31">
        <v>10500</v>
      </c>
      <c r="N18" s="31">
        <v>135</v>
      </c>
      <c r="O18" s="31" t="s">
        <v>76</v>
      </c>
      <c r="P18" s="32" t="s">
        <v>28</v>
      </c>
      <c r="Q18" s="33" t="s">
        <v>79</v>
      </c>
      <c r="R18" s="33" t="s">
        <v>80</v>
      </c>
      <c r="S18" s="29">
        <v>1050</v>
      </c>
      <c r="T18" s="31" t="s">
        <v>1558</v>
      </c>
      <c r="U18" s="31" t="s">
        <v>81</v>
      </c>
      <c r="V18" s="31" t="s">
        <v>82</v>
      </c>
      <c r="W18" s="50" t="s">
        <v>813</v>
      </c>
      <c r="X18" s="34">
        <v>1050</v>
      </c>
      <c r="Y18" s="34">
        <v>10500</v>
      </c>
      <c r="Z18" s="34" t="s">
        <v>35</v>
      </c>
      <c r="AA18" s="34">
        <f t="shared" si="1"/>
        <v>0</v>
      </c>
      <c r="AB18" s="34">
        <f t="shared" si="2"/>
        <v>0</v>
      </c>
      <c r="AC18" s="25" t="s">
        <v>36</v>
      </c>
      <c r="AD18" s="25" t="s">
        <v>76</v>
      </c>
      <c r="AE18" s="25" t="e">
        <v>#REF!</v>
      </c>
      <c r="AF18" s="25"/>
      <c r="AG18" s="25"/>
      <c r="AH18" s="35"/>
    </row>
    <row r="19" spans="1:34" ht="31.2">
      <c r="A19" s="23" t="s">
        <v>24</v>
      </c>
      <c r="B19" s="81">
        <v>6000023633</v>
      </c>
      <c r="C19" s="25" t="s">
        <v>25</v>
      </c>
      <c r="D19" s="25" t="s">
        <v>78</v>
      </c>
      <c r="E19" s="25">
        <v>10</v>
      </c>
      <c r="F19" s="25">
        <v>1050</v>
      </c>
      <c r="G19" s="26">
        <f t="shared" si="0"/>
        <v>10500</v>
      </c>
      <c r="H19" s="27" t="s">
        <v>37</v>
      </c>
      <c r="I19" s="28" t="s">
        <v>31</v>
      </c>
      <c r="J19" s="29">
        <v>1050</v>
      </c>
      <c r="K19" s="29">
        <v>11</v>
      </c>
      <c r="L19" s="56" t="s">
        <v>40</v>
      </c>
      <c r="M19" s="31">
        <v>10500</v>
      </c>
      <c r="N19" s="31">
        <v>135</v>
      </c>
      <c r="O19" s="31" t="s">
        <v>76</v>
      </c>
      <c r="P19" s="32" t="s">
        <v>28</v>
      </c>
      <c r="Q19" s="33" t="s">
        <v>79</v>
      </c>
      <c r="R19" s="33" t="s">
        <v>83</v>
      </c>
      <c r="S19" s="29">
        <v>1050</v>
      </c>
      <c r="T19" s="31" t="s">
        <v>1558</v>
      </c>
      <c r="U19" s="31" t="s">
        <v>81</v>
      </c>
      <c r="V19" s="31" t="s">
        <v>84</v>
      </c>
      <c r="W19" s="50" t="s">
        <v>851</v>
      </c>
      <c r="X19" s="34">
        <v>1050</v>
      </c>
      <c r="Y19" s="34">
        <v>10500</v>
      </c>
      <c r="Z19" s="34" t="s">
        <v>872</v>
      </c>
      <c r="AA19" s="34">
        <f t="shared" si="1"/>
        <v>0</v>
      </c>
      <c r="AB19" s="34">
        <f t="shared" si="2"/>
        <v>0</v>
      </c>
      <c r="AC19" s="25" t="s">
        <v>36</v>
      </c>
      <c r="AD19" s="25" t="s">
        <v>76</v>
      </c>
      <c r="AE19" s="25" t="e">
        <v>#REF!</v>
      </c>
      <c r="AF19" s="25"/>
      <c r="AG19" s="25"/>
      <c r="AH19" s="35"/>
    </row>
    <row r="20" spans="1:34" ht="46.8">
      <c r="A20" s="23" t="s">
        <v>24</v>
      </c>
      <c r="B20" s="81">
        <v>6000023634</v>
      </c>
      <c r="C20" s="25" t="s">
        <v>85</v>
      </c>
      <c r="D20" s="25" t="s">
        <v>86</v>
      </c>
      <c r="E20" s="25">
        <v>10</v>
      </c>
      <c r="F20" s="25">
        <v>2709</v>
      </c>
      <c r="G20" s="26">
        <f t="shared" si="0"/>
        <v>27090</v>
      </c>
      <c r="H20" s="27" t="s">
        <v>37</v>
      </c>
      <c r="I20" s="28" t="s">
        <v>61</v>
      </c>
      <c r="J20" s="29">
        <v>2709</v>
      </c>
      <c r="K20" s="29">
        <v>140</v>
      </c>
      <c r="L20" s="56" t="s">
        <v>1325</v>
      </c>
      <c r="M20" s="31">
        <v>27090</v>
      </c>
      <c r="N20" s="31">
        <v>301</v>
      </c>
      <c r="O20" s="31" t="s">
        <v>76</v>
      </c>
      <c r="P20" s="32" t="s">
        <v>87</v>
      </c>
      <c r="Q20" s="33" t="s">
        <v>88</v>
      </c>
      <c r="R20" s="33" t="s">
        <v>89</v>
      </c>
      <c r="S20" s="29">
        <v>2709</v>
      </c>
      <c r="T20" s="31" t="s">
        <v>1558</v>
      </c>
      <c r="U20" s="31" t="s">
        <v>90</v>
      </c>
      <c r="V20" s="31" t="s">
        <v>91</v>
      </c>
      <c r="W20" s="50" t="s">
        <v>1373</v>
      </c>
      <c r="X20" s="34">
        <f>1000+1709</f>
        <v>2709</v>
      </c>
      <c r="Y20" s="34">
        <f>10000+10000+7090</f>
        <v>27090</v>
      </c>
      <c r="Z20" s="34" t="s">
        <v>927</v>
      </c>
      <c r="AA20" s="34">
        <f t="shared" si="1"/>
        <v>0</v>
      </c>
      <c r="AB20" s="34">
        <f t="shared" si="2"/>
        <v>0</v>
      </c>
      <c r="AC20" s="25" t="s">
        <v>36</v>
      </c>
      <c r="AD20" s="36" t="s">
        <v>1391</v>
      </c>
      <c r="AE20" s="25" t="e">
        <v>#REF!</v>
      </c>
      <c r="AF20" s="25"/>
      <c r="AG20" s="25"/>
      <c r="AH20" s="35"/>
    </row>
    <row r="21" spans="1:34" ht="31.2">
      <c r="A21" s="23" t="s">
        <v>24</v>
      </c>
      <c r="B21" s="81">
        <v>6000023638</v>
      </c>
      <c r="C21" s="25" t="s">
        <v>25</v>
      </c>
      <c r="D21" s="25" t="s">
        <v>92</v>
      </c>
      <c r="E21" s="25">
        <v>10</v>
      </c>
      <c r="F21" s="25">
        <v>1050</v>
      </c>
      <c r="G21" s="26">
        <f t="shared" si="0"/>
        <v>10500</v>
      </c>
      <c r="H21" s="27" t="s">
        <v>27</v>
      </c>
      <c r="I21" s="28" t="s">
        <v>31</v>
      </c>
      <c r="J21" s="29">
        <v>1050</v>
      </c>
      <c r="K21" s="29">
        <v>11</v>
      </c>
      <c r="L21" s="56" t="s">
        <v>31</v>
      </c>
      <c r="M21" s="31">
        <v>10500</v>
      </c>
      <c r="N21" s="31">
        <v>135</v>
      </c>
      <c r="O21" s="31" t="s">
        <v>76</v>
      </c>
      <c r="P21" s="32" t="s">
        <v>28</v>
      </c>
      <c r="Q21" s="33" t="s">
        <v>93</v>
      </c>
      <c r="R21" s="33" t="s">
        <v>94</v>
      </c>
      <c r="S21" s="29">
        <v>1050</v>
      </c>
      <c r="T21" s="31" t="s">
        <v>1558</v>
      </c>
      <c r="U21" s="31" t="s">
        <v>95</v>
      </c>
      <c r="V21" s="31" t="s">
        <v>96</v>
      </c>
      <c r="W21" s="50">
        <v>45148</v>
      </c>
      <c r="X21" s="34">
        <v>1050</v>
      </c>
      <c r="Y21" s="34">
        <v>10500</v>
      </c>
      <c r="Z21" s="34" t="s">
        <v>35</v>
      </c>
      <c r="AA21" s="34">
        <f t="shared" si="1"/>
        <v>0</v>
      </c>
      <c r="AB21" s="34">
        <f t="shared" si="2"/>
        <v>0</v>
      </c>
      <c r="AC21" s="25" t="s">
        <v>36</v>
      </c>
      <c r="AD21" s="25" t="s">
        <v>76</v>
      </c>
      <c r="AE21" s="25" t="e">
        <v>#REF!</v>
      </c>
      <c r="AF21" s="25"/>
      <c r="AG21" s="25"/>
      <c r="AH21" s="35"/>
    </row>
    <row r="22" spans="1:34" ht="15.75" customHeight="1">
      <c r="A22" s="23" t="s">
        <v>24</v>
      </c>
      <c r="B22" s="81">
        <v>6000023638</v>
      </c>
      <c r="C22" s="25" t="s">
        <v>25</v>
      </c>
      <c r="D22" s="25" t="s">
        <v>92</v>
      </c>
      <c r="E22" s="25">
        <v>10</v>
      </c>
      <c r="F22" s="25">
        <v>1050</v>
      </c>
      <c r="G22" s="26">
        <f t="shared" si="0"/>
        <v>10500</v>
      </c>
      <c r="H22" s="27" t="s">
        <v>37</v>
      </c>
      <c r="I22" s="28" t="s">
        <v>1659</v>
      </c>
      <c r="J22" s="29">
        <v>1050</v>
      </c>
      <c r="K22" s="29">
        <v>32</v>
      </c>
      <c r="L22" s="56" t="s">
        <v>40</v>
      </c>
      <c r="M22" s="31">
        <v>10500</v>
      </c>
      <c r="N22" s="31">
        <v>135</v>
      </c>
      <c r="O22" s="31" t="s">
        <v>76</v>
      </c>
      <c r="P22" s="32" t="s">
        <v>28</v>
      </c>
      <c r="Q22" s="33" t="s">
        <v>93</v>
      </c>
      <c r="R22" s="33" t="s">
        <v>97</v>
      </c>
      <c r="S22" s="29">
        <v>1050</v>
      </c>
      <c r="T22" s="31" t="s">
        <v>1558</v>
      </c>
      <c r="U22" s="31" t="s">
        <v>95</v>
      </c>
      <c r="V22" s="31" t="s">
        <v>98</v>
      </c>
      <c r="W22" s="50" t="s">
        <v>903</v>
      </c>
      <c r="X22" s="34">
        <v>1050</v>
      </c>
      <c r="Y22" s="34">
        <v>10500</v>
      </c>
      <c r="Z22" s="34" t="s">
        <v>905</v>
      </c>
      <c r="AA22" s="34">
        <f t="shared" si="1"/>
        <v>0</v>
      </c>
      <c r="AB22" s="34">
        <f t="shared" si="2"/>
        <v>0</v>
      </c>
      <c r="AC22" s="25" t="s">
        <v>36</v>
      </c>
      <c r="AD22" s="25" t="s">
        <v>76</v>
      </c>
      <c r="AE22" s="25" t="e">
        <v>#REF!</v>
      </c>
      <c r="AF22" s="25"/>
      <c r="AG22" s="25"/>
      <c r="AH22" s="35"/>
    </row>
    <row r="23" spans="1:34" ht="31.2">
      <c r="A23" s="23" t="s">
        <v>24</v>
      </c>
      <c r="B23" s="81">
        <v>6000023639</v>
      </c>
      <c r="C23" s="25" t="s">
        <v>25</v>
      </c>
      <c r="D23" s="25" t="s">
        <v>99</v>
      </c>
      <c r="E23" s="25">
        <v>10</v>
      </c>
      <c r="F23" s="25">
        <v>1050</v>
      </c>
      <c r="G23" s="26">
        <f t="shared" si="0"/>
        <v>10500</v>
      </c>
      <c r="H23" s="27" t="s">
        <v>27</v>
      </c>
      <c r="I23" s="28" t="s">
        <v>61</v>
      </c>
      <c r="J23" s="29">
        <v>1050</v>
      </c>
      <c r="K23" s="29">
        <v>12</v>
      </c>
      <c r="L23" s="56" t="s">
        <v>31</v>
      </c>
      <c r="M23" s="31">
        <v>10500</v>
      </c>
      <c r="N23" s="31">
        <v>135</v>
      </c>
      <c r="O23" s="31" t="s">
        <v>76</v>
      </c>
      <c r="P23" s="32" t="s">
        <v>28</v>
      </c>
      <c r="Q23" s="33" t="s">
        <v>100</v>
      </c>
      <c r="R23" s="33" t="s">
        <v>101</v>
      </c>
      <c r="S23" s="29">
        <v>1050</v>
      </c>
      <c r="T23" s="31" t="s">
        <v>1558</v>
      </c>
      <c r="U23" s="31" t="s">
        <v>102</v>
      </c>
      <c r="V23" s="31" t="s">
        <v>103</v>
      </c>
      <c r="W23" s="50" t="s">
        <v>875</v>
      </c>
      <c r="X23" s="34">
        <v>1050</v>
      </c>
      <c r="Y23" s="34">
        <v>10500</v>
      </c>
      <c r="Z23" s="34" t="s">
        <v>35</v>
      </c>
      <c r="AA23" s="34">
        <f t="shared" si="1"/>
        <v>0</v>
      </c>
      <c r="AB23" s="34">
        <f t="shared" si="2"/>
        <v>0</v>
      </c>
      <c r="AC23" s="25" t="s">
        <v>36</v>
      </c>
      <c r="AD23" s="25" t="s">
        <v>76</v>
      </c>
      <c r="AE23" s="25" t="e">
        <v>#REF!</v>
      </c>
      <c r="AF23" s="25"/>
      <c r="AG23" s="25"/>
      <c r="AH23" s="35"/>
    </row>
    <row r="24" spans="1:34" ht="31.2">
      <c r="A24" s="23" t="s">
        <v>24</v>
      </c>
      <c r="B24" s="81">
        <v>6000023639</v>
      </c>
      <c r="C24" s="25" t="s">
        <v>25</v>
      </c>
      <c r="D24" s="25" t="s">
        <v>99</v>
      </c>
      <c r="E24" s="25">
        <v>10</v>
      </c>
      <c r="F24" s="25">
        <v>1050</v>
      </c>
      <c r="G24" s="26">
        <f t="shared" si="0"/>
        <v>10500</v>
      </c>
      <c r="H24" s="27" t="s">
        <v>37</v>
      </c>
      <c r="I24" s="28" t="s">
        <v>61</v>
      </c>
      <c r="J24" s="29">
        <v>1050</v>
      </c>
      <c r="K24" s="29">
        <v>11</v>
      </c>
      <c r="L24" s="56" t="s">
        <v>104</v>
      </c>
      <c r="M24" s="31">
        <v>10500</v>
      </c>
      <c r="N24" s="31">
        <v>135</v>
      </c>
      <c r="O24" s="31" t="s">
        <v>76</v>
      </c>
      <c r="P24" s="32" t="s">
        <v>28</v>
      </c>
      <c r="Q24" s="33" t="s">
        <v>100</v>
      </c>
      <c r="R24" s="33" t="s">
        <v>101</v>
      </c>
      <c r="S24" s="29">
        <v>1050</v>
      </c>
      <c r="T24" s="31" t="s">
        <v>1558</v>
      </c>
      <c r="U24" s="31" t="s">
        <v>105</v>
      </c>
      <c r="V24" s="31" t="s">
        <v>102</v>
      </c>
      <c r="W24" s="50" t="s">
        <v>920</v>
      </c>
      <c r="X24" s="34">
        <v>1050</v>
      </c>
      <c r="Y24" s="34">
        <v>10500</v>
      </c>
      <c r="Z24" s="34" t="s">
        <v>905</v>
      </c>
      <c r="AA24" s="34">
        <f t="shared" si="1"/>
        <v>0</v>
      </c>
      <c r="AB24" s="34">
        <f t="shared" si="2"/>
        <v>0</v>
      </c>
      <c r="AC24" s="25" t="s">
        <v>36</v>
      </c>
      <c r="AD24" s="25" t="s">
        <v>76</v>
      </c>
      <c r="AE24" s="25" t="e">
        <v>#REF!</v>
      </c>
      <c r="AF24" s="25"/>
      <c r="AG24" s="25"/>
      <c r="AH24" s="35"/>
    </row>
    <row r="25" spans="1:34" ht="62.4">
      <c r="A25" s="23" t="s">
        <v>24</v>
      </c>
      <c r="B25" s="81">
        <v>6000023640</v>
      </c>
      <c r="C25" s="25" t="s">
        <v>44</v>
      </c>
      <c r="D25" s="25" t="s">
        <v>54</v>
      </c>
      <c r="E25" s="25">
        <v>10</v>
      </c>
      <c r="F25" s="25">
        <v>2100</v>
      </c>
      <c r="G25" s="26">
        <f t="shared" si="0"/>
        <v>21000</v>
      </c>
      <c r="H25" s="27" t="s">
        <v>46</v>
      </c>
      <c r="I25" s="28" t="s">
        <v>1321</v>
      </c>
      <c r="J25" s="29">
        <v>2100</v>
      </c>
      <c r="K25" s="29">
        <v>49</v>
      </c>
      <c r="L25" s="56" t="s">
        <v>61</v>
      </c>
      <c r="M25" s="31">
        <v>21000</v>
      </c>
      <c r="N25" s="31">
        <v>240</v>
      </c>
      <c r="O25" s="31" t="s">
        <v>76</v>
      </c>
      <c r="P25" s="32" t="s">
        <v>28</v>
      </c>
      <c r="Q25" s="33" t="s">
        <v>106</v>
      </c>
      <c r="R25" s="33" t="s">
        <v>107</v>
      </c>
      <c r="S25" s="29">
        <v>2100</v>
      </c>
      <c r="T25" s="31" t="s">
        <v>1558</v>
      </c>
      <c r="U25" s="31" t="s">
        <v>108</v>
      </c>
      <c r="V25" s="31" t="s">
        <v>109</v>
      </c>
      <c r="W25" s="50" t="s">
        <v>799</v>
      </c>
      <c r="X25" s="34">
        <v>2100</v>
      </c>
      <c r="Y25" s="34">
        <v>21000</v>
      </c>
      <c r="Z25" s="34" t="s">
        <v>755</v>
      </c>
      <c r="AA25" s="34">
        <f t="shared" si="1"/>
        <v>0</v>
      </c>
      <c r="AB25" s="34">
        <f t="shared" si="2"/>
        <v>0</v>
      </c>
      <c r="AC25" s="25" t="s">
        <v>36</v>
      </c>
      <c r="AD25" s="25" t="s">
        <v>76</v>
      </c>
      <c r="AE25" s="25" t="e">
        <v>#REF!</v>
      </c>
      <c r="AF25" s="25"/>
      <c r="AG25" s="25"/>
      <c r="AH25" s="35"/>
    </row>
    <row r="26" spans="1:34" ht="62.4">
      <c r="A26" s="23" t="s">
        <v>24</v>
      </c>
      <c r="B26" s="81">
        <v>6000023641</v>
      </c>
      <c r="C26" s="25" t="s">
        <v>25</v>
      </c>
      <c r="D26" s="25" t="s">
        <v>110</v>
      </c>
      <c r="E26" s="25">
        <v>10</v>
      </c>
      <c r="F26" s="25">
        <v>330</v>
      </c>
      <c r="G26" s="26">
        <f t="shared" si="0"/>
        <v>3300</v>
      </c>
      <c r="H26" s="27" t="s">
        <v>46</v>
      </c>
      <c r="I26" s="28" t="s">
        <v>1321</v>
      </c>
      <c r="J26" s="29">
        <v>330</v>
      </c>
      <c r="K26" s="29">
        <v>6</v>
      </c>
      <c r="L26" s="56" t="s">
        <v>61</v>
      </c>
      <c r="M26" s="31">
        <v>3300</v>
      </c>
      <c r="N26" s="31">
        <v>63</v>
      </c>
      <c r="O26" s="31" t="s">
        <v>76</v>
      </c>
      <c r="P26" s="32" t="s">
        <v>28</v>
      </c>
      <c r="Q26" s="33" t="s">
        <v>111</v>
      </c>
      <c r="R26" s="33" t="s">
        <v>112</v>
      </c>
      <c r="S26" s="29">
        <v>330</v>
      </c>
      <c r="T26" s="31" t="s">
        <v>1558</v>
      </c>
      <c r="U26" s="31" t="s">
        <v>113</v>
      </c>
      <c r="V26" s="31" t="s">
        <v>114</v>
      </c>
      <c r="W26" s="50">
        <v>45150</v>
      </c>
      <c r="X26" s="34">
        <v>330</v>
      </c>
      <c r="Y26" s="34">
        <v>3300</v>
      </c>
      <c r="Z26" s="34" t="s">
        <v>755</v>
      </c>
      <c r="AA26" s="34">
        <f t="shared" si="1"/>
        <v>0</v>
      </c>
      <c r="AB26" s="34">
        <f t="shared" si="2"/>
        <v>0</v>
      </c>
      <c r="AC26" s="25" t="s">
        <v>36</v>
      </c>
      <c r="AD26" s="25" t="s">
        <v>76</v>
      </c>
      <c r="AE26" s="25" t="e">
        <v>#REF!</v>
      </c>
      <c r="AF26" s="25"/>
      <c r="AG26" s="25"/>
      <c r="AH26" s="35"/>
    </row>
    <row r="27" spans="1:34" ht="31.2">
      <c r="A27" s="23" t="s">
        <v>24</v>
      </c>
      <c r="B27" s="81">
        <v>6000023641</v>
      </c>
      <c r="C27" s="25" t="s">
        <v>25</v>
      </c>
      <c r="D27" s="25" t="s">
        <v>110</v>
      </c>
      <c r="E27" s="25">
        <v>10</v>
      </c>
      <c r="F27" s="25">
        <v>570</v>
      </c>
      <c r="G27" s="26">
        <f t="shared" si="0"/>
        <v>5700</v>
      </c>
      <c r="H27" s="27" t="s">
        <v>37</v>
      </c>
      <c r="I27" s="28" t="s">
        <v>31</v>
      </c>
      <c r="J27" s="29">
        <v>570</v>
      </c>
      <c r="K27" s="29">
        <v>6</v>
      </c>
      <c r="L27" s="56" t="s">
        <v>40</v>
      </c>
      <c r="M27" s="31">
        <v>5700</v>
      </c>
      <c r="N27" s="31">
        <v>87</v>
      </c>
      <c r="O27" s="31" t="s">
        <v>76</v>
      </c>
      <c r="P27" s="32" t="s">
        <v>28</v>
      </c>
      <c r="Q27" s="33" t="s">
        <v>111</v>
      </c>
      <c r="R27" s="33" t="s">
        <v>115</v>
      </c>
      <c r="S27" s="29">
        <v>570</v>
      </c>
      <c r="T27" s="31" t="s">
        <v>1558</v>
      </c>
      <c r="U27" s="31" t="s">
        <v>113</v>
      </c>
      <c r="V27" s="31" t="s">
        <v>116</v>
      </c>
      <c r="W27" s="50" t="s">
        <v>900</v>
      </c>
      <c r="X27" s="34">
        <v>570</v>
      </c>
      <c r="Y27" s="34">
        <v>5700</v>
      </c>
      <c r="Z27" s="34" t="s">
        <v>872</v>
      </c>
      <c r="AA27" s="34">
        <f t="shared" si="1"/>
        <v>0</v>
      </c>
      <c r="AB27" s="34">
        <f t="shared" si="2"/>
        <v>0</v>
      </c>
      <c r="AC27" s="25" t="s">
        <v>36</v>
      </c>
      <c r="AD27" s="25" t="s">
        <v>76</v>
      </c>
      <c r="AE27" s="25" t="e">
        <v>#REF!</v>
      </c>
      <c r="AF27" s="25"/>
      <c r="AG27" s="25"/>
      <c r="AH27" s="35"/>
    </row>
    <row r="28" spans="1:34" ht="46.8">
      <c r="A28" s="23" t="s">
        <v>24</v>
      </c>
      <c r="B28" s="81">
        <v>6000023641</v>
      </c>
      <c r="C28" s="25" t="s">
        <v>85</v>
      </c>
      <c r="D28" s="25" t="s">
        <v>110</v>
      </c>
      <c r="E28" s="25">
        <v>10</v>
      </c>
      <c r="F28" s="25">
        <v>1191</v>
      </c>
      <c r="G28" s="26">
        <f t="shared" si="0"/>
        <v>11910</v>
      </c>
      <c r="H28" s="27" t="s">
        <v>37</v>
      </c>
      <c r="I28" s="28" t="s">
        <v>61</v>
      </c>
      <c r="J28" s="29">
        <v>1191</v>
      </c>
      <c r="K28" s="29">
        <v>40</v>
      </c>
      <c r="L28" s="56" t="s">
        <v>31</v>
      </c>
      <c r="M28" s="31">
        <v>11910</v>
      </c>
      <c r="N28" s="31">
        <v>149</v>
      </c>
      <c r="O28" s="31" t="s">
        <v>76</v>
      </c>
      <c r="P28" s="32" t="s">
        <v>87</v>
      </c>
      <c r="Q28" s="33" t="s">
        <v>117</v>
      </c>
      <c r="R28" s="33" t="s">
        <v>118</v>
      </c>
      <c r="S28" s="29">
        <v>1191</v>
      </c>
      <c r="T28" s="31" t="s">
        <v>1558</v>
      </c>
      <c r="U28" s="31" t="s">
        <v>119</v>
      </c>
      <c r="V28" s="31" t="s">
        <v>120</v>
      </c>
      <c r="W28" s="50" t="s">
        <v>1375</v>
      </c>
      <c r="X28" s="34">
        <v>1191</v>
      </c>
      <c r="Y28" s="34">
        <v>11910</v>
      </c>
      <c r="Z28" s="34" t="s">
        <v>929</v>
      </c>
      <c r="AA28" s="34">
        <f t="shared" si="1"/>
        <v>0</v>
      </c>
      <c r="AB28" s="34">
        <f t="shared" si="2"/>
        <v>0</v>
      </c>
      <c r="AC28" s="25" t="s">
        <v>36</v>
      </c>
      <c r="AD28" s="36" t="s">
        <v>1392</v>
      </c>
      <c r="AE28" s="25" t="e">
        <v>#REF!</v>
      </c>
      <c r="AF28" s="25"/>
      <c r="AG28" s="25"/>
      <c r="AH28" s="35"/>
    </row>
    <row r="29" spans="1:34" ht="31.2">
      <c r="A29" s="23" t="s">
        <v>24</v>
      </c>
      <c r="B29" s="81">
        <v>6000023642</v>
      </c>
      <c r="C29" s="25" t="s">
        <v>25</v>
      </c>
      <c r="D29" s="25" t="s">
        <v>121</v>
      </c>
      <c r="E29" s="25">
        <v>10</v>
      </c>
      <c r="F29" s="25">
        <v>1470</v>
      </c>
      <c r="G29" s="26">
        <f t="shared" si="0"/>
        <v>14700</v>
      </c>
      <c r="H29" s="27" t="s">
        <v>27</v>
      </c>
      <c r="I29" s="28" t="s">
        <v>61</v>
      </c>
      <c r="J29" s="29">
        <v>1470</v>
      </c>
      <c r="K29" s="29">
        <v>20</v>
      </c>
      <c r="L29" s="56" t="s">
        <v>61</v>
      </c>
      <c r="M29" s="31">
        <v>14700</v>
      </c>
      <c r="N29" s="31">
        <v>177</v>
      </c>
      <c r="O29" s="31" t="s">
        <v>76</v>
      </c>
      <c r="P29" s="32" t="s">
        <v>28</v>
      </c>
      <c r="Q29" s="33" t="s">
        <v>122</v>
      </c>
      <c r="R29" s="33" t="s">
        <v>123</v>
      </c>
      <c r="S29" s="29">
        <v>1470</v>
      </c>
      <c r="T29" s="31" t="s">
        <v>1558</v>
      </c>
      <c r="U29" s="31" t="s">
        <v>124</v>
      </c>
      <c r="V29" s="31" t="s">
        <v>125</v>
      </c>
      <c r="W29" s="50">
        <v>45161</v>
      </c>
      <c r="X29" s="34">
        <v>1470</v>
      </c>
      <c r="Y29" s="34">
        <v>14700</v>
      </c>
      <c r="Z29" s="34" t="s">
        <v>35</v>
      </c>
      <c r="AA29" s="34">
        <f t="shared" si="1"/>
        <v>0</v>
      </c>
      <c r="AB29" s="34">
        <f t="shared" si="2"/>
        <v>0</v>
      </c>
      <c r="AC29" s="25" t="s">
        <v>36</v>
      </c>
      <c r="AD29" s="25" t="s">
        <v>76</v>
      </c>
      <c r="AE29" s="25" t="e">
        <v>#REF!</v>
      </c>
      <c r="AF29" s="25"/>
      <c r="AG29" s="25"/>
      <c r="AH29" s="35"/>
    </row>
    <row r="30" spans="1:34" ht="31.2">
      <c r="A30" s="23" t="s">
        <v>24</v>
      </c>
      <c r="B30" s="81">
        <v>6000023642</v>
      </c>
      <c r="C30" s="25" t="s">
        <v>25</v>
      </c>
      <c r="D30" s="25" t="s">
        <v>121</v>
      </c>
      <c r="E30" s="25">
        <v>10</v>
      </c>
      <c r="F30" s="25">
        <v>630</v>
      </c>
      <c r="G30" s="26">
        <f t="shared" si="0"/>
        <v>6300</v>
      </c>
      <c r="H30" s="27" t="s">
        <v>46</v>
      </c>
      <c r="I30" s="28" t="s">
        <v>61</v>
      </c>
      <c r="J30" s="29">
        <v>630</v>
      </c>
      <c r="K30" s="29">
        <v>6</v>
      </c>
      <c r="L30" s="56" t="s">
        <v>61</v>
      </c>
      <c r="M30" s="31">
        <v>6300</v>
      </c>
      <c r="N30" s="31">
        <v>93</v>
      </c>
      <c r="O30" s="31" t="s">
        <v>76</v>
      </c>
      <c r="P30" s="32" t="s">
        <v>28</v>
      </c>
      <c r="Q30" s="33" t="s">
        <v>122</v>
      </c>
      <c r="R30" s="33" t="s">
        <v>123</v>
      </c>
      <c r="S30" s="29">
        <v>630</v>
      </c>
      <c r="T30" s="31" t="s">
        <v>1558</v>
      </c>
      <c r="U30" s="31" t="s">
        <v>124</v>
      </c>
      <c r="V30" s="31" t="s">
        <v>126</v>
      </c>
      <c r="W30" s="50" t="s">
        <v>851</v>
      </c>
      <c r="X30" s="34">
        <v>630</v>
      </c>
      <c r="Y30" s="34">
        <v>6300</v>
      </c>
      <c r="Z30" s="34" t="s">
        <v>755</v>
      </c>
      <c r="AA30" s="34">
        <f t="shared" si="1"/>
        <v>0</v>
      </c>
      <c r="AB30" s="34">
        <f t="shared" si="2"/>
        <v>0</v>
      </c>
      <c r="AC30" s="25" t="s">
        <v>36</v>
      </c>
      <c r="AD30" s="25" t="s">
        <v>76</v>
      </c>
      <c r="AE30" s="25" t="e">
        <v>#REF!</v>
      </c>
      <c r="AF30" s="25"/>
      <c r="AG30" s="25"/>
      <c r="AH30" s="35"/>
    </row>
    <row r="31" spans="1:34" ht="46.8">
      <c r="A31" s="23" t="s">
        <v>24</v>
      </c>
      <c r="B31" s="81">
        <v>6000023643</v>
      </c>
      <c r="C31" s="25" t="s">
        <v>25</v>
      </c>
      <c r="D31" s="25" t="s">
        <v>127</v>
      </c>
      <c r="E31" s="25">
        <v>10</v>
      </c>
      <c r="F31" s="25">
        <v>1050</v>
      </c>
      <c r="G31" s="26">
        <f t="shared" si="0"/>
        <v>10500</v>
      </c>
      <c r="H31" s="27" t="s">
        <v>27</v>
      </c>
      <c r="I31" s="28" t="s">
        <v>61</v>
      </c>
      <c r="J31" s="29">
        <v>1050</v>
      </c>
      <c r="K31" s="29">
        <v>12</v>
      </c>
      <c r="L31" s="56" t="s">
        <v>130</v>
      </c>
      <c r="M31" s="31">
        <v>10500</v>
      </c>
      <c r="N31" s="31">
        <v>135</v>
      </c>
      <c r="O31" s="31" t="s">
        <v>76</v>
      </c>
      <c r="P31" s="32" t="s">
        <v>28</v>
      </c>
      <c r="Q31" s="33" t="s">
        <v>128</v>
      </c>
      <c r="R31" s="33" t="s">
        <v>129</v>
      </c>
      <c r="S31" s="29">
        <v>1050</v>
      </c>
      <c r="T31" s="31" t="s">
        <v>1558</v>
      </c>
      <c r="U31" s="31" t="s">
        <v>131</v>
      </c>
      <c r="V31" s="31" t="s">
        <v>132</v>
      </c>
      <c r="W31" s="50">
        <v>45156</v>
      </c>
      <c r="X31" s="34">
        <v>1050</v>
      </c>
      <c r="Y31" s="34">
        <v>10500</v>
      </c>
      <c r="Z31" s="34" t="s">
        <v>919</v>
      </c>
      <c r="AA31" s="34">
        <f t="shared" si="1"/>
        <v>0</v>
      </c>
      <c r="AB31" s="34">
        <f t="shared" si="2"/>
        <v>0</v>
      </c>
      <c r="AC31" s="25" t="s">
        <v>36</v>
      </c>
      <c r="AD31" s="25" t="s">
        <v>76</v>
      </c>
      <c r="AE31" s="25" t="e">
        <v>#REF!</v>
      </c>
      <c r="AF31" s="25"/>
      <c r="AG31" s="25"/>
      <c r="AH31" s="35"/>
    </row>
    <row r="32" spans="1:34" ht="31.2">
      <c r="A32" s="23" t="s">
        <v>24</v>
      </c>
      <c r="B32" s="81">
        <v>6000023643</v>
      </c>
      <c r="C32" s="25" t="s">
        <v>25</v>
      </c>
      <c r="D32" s="25" t="s">
        <v>127</v>
      </c>
      <c r="E32" s="25">
        <v>10</v>
      </c>
      <c r="F32" s="25">
        <v>1050</v>
      </c>
      <c r="G32" s="26">
        <f t="shared" si="0"/>
        <v>10500</v>
      </c>
      <c r="H32" s="27" t="s">
        <v>37</v>
      </c>
      <c r="I32" s="28" t="s">
        <v>61</v>
      </c>
      <c r="J32" s="29">
        <v>1050</v>
      </c>
      <c r="K32" s="29">
        <v>12</v>
      </c>
      <c r="L32" s="56" t="s">
        <v>133</v>
      </c>
      <c r="M32" s="31">
        <v>10500</v>
      </c>
      <c r="N32" s="31">
        <v>135</v>
      </c>
      <c r="O32" s="31" t="s">
        <v>76</v>
      </c>
      <c r="P32" s="32" t="s">
        <v>28</v>
      </c>
      <c r="Q32" s="33" t="s">
        <v>128</v>
      </c>
      <c r="R32" s="33" t="s">
        <v>129</v>
      </c>
      <c r="S32" s="29">
        <v>1050</v>
      </c>
      <c r="T32" s="31" t="s">
        <v>1558</v>
      </c>
      <c r="U32" s="31" t="s">
        <v>134</v>
      </c>
      <c r="V32" s="31" t="s">
        <v>135</v>
      </c>
      <c r="W32" s="50">
        <v>45159</v>
      </c>
      <c r="X32" s="34">
        <v>1050</v>
      </c>
      <c r="Y32" s="34">
        <v>10500</v>
      </c>
      <c r="Z32" s="34" t="s">
        <v>1345</v>
      </c>
      <c r="AA32" s="34">
        <f t="shared" si="1"/>
        <v>0</v>
      </c>
      <c r="AB32" s="34">
        <f t="shared" si="2"/>
        <v>0</v>
      </c>
      <c r="AC32" s="25" t="s">
        <v>36</v>
      </c>
      <c r="AD32" s="25" t="s">
        <v>76</v>
      </c>
      <c r="AE32" s="25" t="e">
        <v>#REF!</v>
      </c>
      <c r="AF32" s="25"/>
      <c r="AG32" s="25"/>
      <c r="AH32" s="35"/>
    </row>
    <row r="33" spans="1:34" ht="31.2">
      <c r="A33" s="23" t="s">
        <v>136</v>
      </c>
      <c r="B33" s="81">
        <v>6000023473</v>
      </c>
      <c r="C33" s="25" t="s">
        <v>137</v>
      </c>
      <c r="D33" s="25">
        <v>37024</v>
      </c>
      <c r="E33" s="25">
        <v>10</v>
      </c>
      <c r="F33" s="25">
        <v>3000</v>
      </c>
      <c r="G33" s="26">
        <f t="shared" si="0"/>
        <v>30000</v>
      </c>
      <c r="H33" s="27" t="s">
        <v>46</v>
      </c>
      <c r="I33" s="28" t="s">
        <v>138</v>
      </c>
      <c r="J33" s="29">
        <v>3000</v>
      </c>
      <c r="K33" s="29">
        <v>35</v>
      </c>
      <c r="L33" s="56" t="s">
        <v>142</v>
      </c>
      <c r="M33" s="31">
        <v>30000</v>
      </c>
      <c r="N33" s="31">
        <v>150</v>
      </c>
      <c r="O33" s="31" t="s">
        <v>76</v>
      </c>
      <c r="P33" s="32" t="s">
        <v>139</v>
      </c>
      <c r="Q33" s="33" t="s">
        <v>140</v>
      </c>
      <c r="R33" s="33" t="s">
        <v>141</v>
      </c>
      <c r="S33" s="29">
        <v>3000</v>
      </c>
      <c r="T33" s="31" t="s">
        <v>143</v>
      </c>
      <c r="U33" s="31" t="s">
        <v>144</v>
      </c>
      <c r="V33" s="31" t="s">
        <v>145</v>
      </c>
      <c r="W33" s="50" t="s">
        <v>930</v>
      </c>
      <c r="X33" s="34">
        <v>3000</v>
      </c>
      <c r="Y33" s="34">
        <v>30000</v>
      </c>
      <c r="Z33" s="34" t="s">
        <v>931</v>
      </c>
      <c r="AA33" s="34">
        <f t="shared" si="1"/>
        <v>0</v>
      </c>
      <c r="AB33" s="34">
        <f t="shared" si="2"/>
        <v>0</v>
      </c>
      <c r="AC33" s="25" t="s">
        <v>36</v>
      </c>
      <c r="AD33" s="25" t="s">
        <v>76</v>
      </c>
      <c r="AE33" s="25" t="e">
        <v>#REF!</v>
      </c>
      <c r="AF33" s="25"/>
      <c r="AG33" s="25"/>
      <c r="AH33" s="35"/>
    </row>
    <row r="34" spans="1:34" ht="31.2">
      <c r="A34" s="23" t="s">
        <v>136</v>
      </c>
      <c r="B34" s="81">
        <v>6000023473</v>
      </c>
      <c r="C34" s="25" t="s">
        <v>137</v>
      </c>
      <c r="D34" s="25">
        <v>37024</v>
      </c>
      <c r="E34" s="25">
        <v>10</v>
      </c>
      <c r="F34" s="25">
        <v>1500</v>
      </c>
      <c r="G34" s="26">
        <f t="shared" si="0"/>
        <v>15000</v>
      </c>
      <c r="H34" s="27" t="s">
        <v>37</v>
      </c>
      <c r="I34" s="28" t="s">
        <v>138</v>
      </c>
      <c r="J34" s="29">
        <v>1500</v>
      </c>
      <c r="K34" s="29">
        <v>17</v>
      </c>
      <c r="L34" s="56" t="s">
        <v>142</v>
      </c>
      <c r="M34" s="31">
        <v>15000</v>
      </c>
      <c r="N34" s="31">
        <v>75</v>
      </c>
      <c r="O34" s="31" t="s">
        <v>76</v>
      </c>
      <c r="P34" s="32" t="s">
        <v>139</v>
      </c>
      <c r="Q34" s="33" t="s">
        <v>140</v>
      </c>
      <c r="R34" s="33" t="s">
        <v>141</v>
      </c>
      <c r="S34" s="29">
        <v>1500</v>
      </c>
      <c r="T34" s="31" t="s">
        <v>143</v>
      </c>
      <c r="U34" s="31" t="s">
        <v>144</v>
      </c>
      <c r="V34" s="31" t="s">
        <v>145</v>
      </c>
      <c r="W34" s="50" t="s">
        <v>818</v>
      </c>
      <c r="X34" s="34">
        <v>1500</v>
      </c>
      <c r="Y34" s="34">
        <v>15000</v>
      </c>
      <c r="Z34" s="34" t="s">
        <v>800</v>
      </c>
      <c r="AA34" s="34">
        <f t="shared" si="1"/>
        <v>0</v>
      </c>
      <c r="AB34" s="34">
        <f t="shared" si="2"/>
        <v>0</v>
      </c>
      <c r="AC34" s="25" t="s">
        <v>36</v>
      </c>
      <c r="AD34" s="25" t="s">
        <v>76</v>
      </c>
      <c r="AE34" s="25" t="e">
        <v>#REF!</v>
      </c>
      <c r="AF34" s="25"/>
      <c r="AG34" s="25"/>
      <c r="AH34" s="35"/>
    </row>
    <row r="35" spans="1:34" ht="31.2">
      <c r="A35" s="23" t="s">
        <v>136</v>
      </c>
      <c r="B35" s="81">
        <v>6000023473</v>
      </c>
      <c r="C35" s="25" t="s">
        <v>137</v>
      </c>
      <c r="D35" s="25">
        <v>37024</v>
      </c>
      <c r="E35" s="25">
        <v>10</v>
      </c>
      <c r="F35" s="25">
        <v>320</v>
      </c>
      <c r="G35" s="26">
        <f t="shared" si="0"/>
        <v>3200</v>
      </c>
      <c r="H35" s="27" t="s">
        <v>146</v>
      </c>
      <c r="I35" s="28" t="s">
        <v>142</v>
      </c>
      <c r="J35" s="29">
        <v>320</v>
      </c>
      <c r="K35" s="29">
        <v>5</v>
      </c>
      <c r="L35" s="56" t="s">
        <v>148</v>
      </c>
      <c r="M35" s="31">
        <v>3200</v>
      </c>
      <c r="N35" s="31">
        <v>16</v>
      </c>
      <c r="O35" s="31" t="s">
        <v>76</v>
      </c>
      <c r="P35" s="32" t="s">
        <v>139</v>
      </c>
      <c r="Q35" s="33" t="s">
        <v>140</v>
      </c>
      <c r="R35" s="33" t="s">
        <v>147</v>
      </c>
      <c r="S35" s="29">
        <v>320</v>
      </c>
      <c r="T35" s="31" t="s">
        <v>143</v>
      </c>
      <c r="U35" s="31" t="s">
        <v>144</v>
      </c>
      <c r="V35" s="31" t="s">
        <v>149</v>
      </c>
      <c r="W35" s="50" t="s">
        <v>76</v>
      </c>
      <c r="X35" s="34">
        <v>320</v>
      </c>
      <c r="Y35" s="34">
        <v>3200</v>
      </c>
      <c r="Z35" s="34" t="s">
        <v>800</v>
      </c>
      <c r="AA35" s="34">
        <f t="shared" si="1"/>
        <v>0</v>
      </c>
      <c r="AB35" s="34">
        <f t="shared" si="2"/>
        <v>0</v>
      </c>
      <c r="AC35" s="25" t="s">
        <v>36</v>
      </c>
      <c r="AD35" s="25" t="s">
        <v>76</v>
      </c>
      <c r="AE35" s="25" t="e">
        <v>#REF!</v>
      </c>
      <c r="AF35" s="25"/>
      <c r="AG35" s="25"/>
      <c r="AH35" s="35"/>
    </row>
    <row r="36" spans="1:34" ht="46.8">
      <c r="A36" s="23" t="s">
        <v>136</v>
      </c>
      <c r="B36" s="81">
        <v>6000023474</v>
      </c>
      <c r="C36" s="25" t="s">
        <v>137</v>
      </c>
      <c r="D36" s="25">
        <v>37025</v>
      </c>
      <c r="E36" s="25">
        <v>10</v>
      </c>
      <c r="F36" s="25">
        <v>2849</v>
      </c>
      <c r="G36" s="26">
        <f t="shared" si="0"/>
        <v>28490</v>
      </c>
      <c r="H36" s="27" t="s">
        <v>46</v>
      </c>
      <c r="I36" s="28" t="s">
        <v>138</v>
      </c>
      <c r="J36" s="29">
        <v>2849</v>
      </c>
      <c r="K36" s="29">
        <v>31</v>
      </c>
      <c r="L36" s="56" t="s">
        <v>142</v>
      </c>
      <c r="M36" s="31">
        <v>28490</v>
      </c>
      <c r="N36" s="31">
        <v>143</v>
      </c>
      <c r="O36" s="31" t="s">
        <v>76</v>
      </c>
      <c r="P36" s="32" t="s">
        <v>139</v>
      </c>
      <c r="Q36" s="33" t="s">
        <v>150</v>
      </c>
      <c r="R36" s="33" t="s">
        <v>151</v>
      </c>
      <c r="S36" s="29">
        <v>2849</v>
      </c>
      <c r="T36" s="31" t="s">
        <v>152</v>
      </c>
      <c r="U36" s="31" t="s">
        <v>153</v>
      </c>
      <c r="V36" s="31" t="s">
        <v>154</v>
      </c>
      <c r="W36" s="50" t="s">
        <v>932</v>
      </c>
      <c r="X36" s="34">
        <v>2849</v>
      </c>
      <c r="Y36" s="34">
        <v>28490</v>
      </c>
      <c r="Z36" s="34" t="s">
        <v>933</v>
      </c>
      <c r="AA36" s="34">
        <f t="shared" si="1"/>
        <v>0</v>
      </c>
      <c r="AB36" s="34">
        <f t="shared" si="2"/>
        <v>0</v>
      </c>
      <c r="AC36" s="25" t="s">
        <v>36</v>
      </c>
      <c r="AD36" s="25" t="s">
        <v>76</v>
      </c>
      <c r="AE36" s="25" t="e">
        <v>#REF!</v>
      </c>
      <c r="AF36" s="25"/>
      <c r="AG36" s="25"/>
      <c r="AH36" s="35"/>
    </row>
    <row r="37" spans="1:34" ht="31.2">
      <c r="A37" s="23" t="s">
        <v>136</v>
      </c>
      <c r="B37" s="81">
        <v>6000023474</v>
      </c>
      <c r="C37" s="25" t="s">
        <v>137</v>
      </c>
      <c r="D37" s="25">
        <v>37025</v>
      </c>
      <c r="E37" s="25">
        <v>10</v>
      </c>
      <c r="F37" s="25">
        <v>1500</v>
      </c>
      <c r="G37" s="26">
        <f t="shared" si="0"/>
        <v>15000</v>
      </c>
      <c r="H37" s="27" t="s">
        <v>37</v>
      </c>
      <c r="I37" s="28" t="s">
        <v>142</v>
      </c>
      <c r="J37" s="29">
        <v>1500</v>
      </c>
      <c r="K37" s="29">
        <v>17</v>
      </c>
      <c r="L37" s="56" t="s">
        <v>138</v>
      </c>
      <c r="M37" s="31">
        <v>15000</v>
      </c>
      <c r="N37" s="31">
        <v>75</v>
      </c>
      <c r="O37" s="31" t="s">
        <v>76</v>
      </c>
      <c r="P37" s="32" t="s">
        <v>139</v>
      </c>
      <c r="Q37" s="33" t="s">
        <v>150</v>
      </c>
      <c r="R37" s="33" t="s">
        <v>155</v>
      </c>
      <c r="S37" s="29">
        <v>1500</v>
      </c>
      <c r="T37" s="31" t="s">
        <v>152</v>
      </c>
      <c r="U37" s="31" t="s">
        <v>153</v>
      </c>
      <c r="V37" s="31" t="s">
        <v>156</v>
      </c>
      <c r="W37" s="50" t="s">
        <v>880</v>
      </c>
      <c r="X37" s="34">
        <v>1500</v>
      </c>
      <c r="Y37" s="34">
        <v>15000</v>
      </c>
      <c r="Z37" s="34" t="s">
        <v>800</v>
      </c>
      <c r="AA37" s="34">
        <f t="shared" si="1"/>
        <v>0</v>
      </c>
      <c r="AB37" s="34">
        <f t="shared" si="2"/>
        <v>0</v>
      </c>
      <c r="AC37" s="25" t="s">
        <v>36</v>
      </c>
      <c r="AD37" s="25" t="s">
        <v>76</v>
      </c>
      <c r="AE37" s="25" t="e">
        <v>#REF!</v>
      </c>
      <c r="AF37" s="25"/>
      <c r="AG37" s="25"/>
      <c r="AH37" s="35"/>
    </row>
    <row r="38" spans="1:34" ht="31.2">
      <c r="A38" s="23" t="s">
        <v>136</v>
      </c>
      <c r="B38" s="81">
        <v>6000023474</v>
      </c>
      <c r="C38" s="25" t="s">
        <v>137</v>
      </c>
      <c r="D38" s="25">
        <v>37025</v>
      </c>
      <c r="E38" s="25">
        <v>10</v>
      </c>
      <c r="F38" s="25">
        <v>320</v>
      </c>
      <c r="G38" s="26">
        <f t="shared" si="0"/>
        <v>3200</v>
      </c>
      <c r="H38" s="27" t="s">
        <v>146</v>
      </c>
      <c r="I38" s="28" t="s">
        <v>142</v>
      </c>
      <c r="J38" s="29">
        <v>320</v>
      </c>
      <c r="K38" s="29">
        <v>5</v>
      </c>
      <c r="L38" s="56" t="s">
        <v>138</v>
      </c>
      <c r="M38" s="31">
        <v>3200</v>
      </c>
      <c r="N38" s="31">
        <v>16</v>
      </c>
      <c r="O38" s="31" t="s">
        <v>76</v>
      </c>
      <c r="P38" s="32" t="s">
        <v>139</v>
      </c>
      <c r="Q38" s="33" t="s">
        <v>150</v>
      </c>
      <c r="R38" s="33" t="s">
        <v>155</v>
      </c>
      <c r="S38" s="29">
        <v>320</v>
      </c>
      <c r="T38" s="31" t="s">
        <v>152</v>
      </c>
      <c r="U38" s="31" t="s">
        <v>153</v>
      </c>
      <c r="V38" s="31" t="s">
        <v>156</v>
      </c>
      <c r="W38" s="50" t="s">
        <v>76</v>
      </c>
      <c r="X38" s="34">
        <v>320</v>
      </c>
      <c r="Y38" s="34">
        <v>3200</v>
      </c>
      <c r="Z38" s="34" t="s">
        <v>800</v>
      </c>
      <c r="AA38" s="34">
        <f t="shared" si="1"/>
        <v>0</v>
      </c>
      <c r="AB38" s="34">
        <f t="shared" si="2"/>
        <v>0</v>
      </c>
      <c r="AC38" s="25" t="s">
        <v>36</v>
      </c>
      <c r="AD38" s="25" t="s">
        <v>76</v>
      </c>
      <c r="AE38" s="25" t="e">
        <v>#REF!</v>
      </c>
      <c r="AF38" s="25"/>
      <c r="AG38" s="25"/>
      <c r="AH38" s="35"/>
    </row>
    <row r="39" spans="1:34" ht="15.6">
      <c r="A39" s="23" t="s">
        <v>157</v>
      </c>
      <c r="B39" s="81">
        <v>6000023919</v>
      </c>
      <c r="C39" s="25" t="s">
        <v>158</v>
      </c>
      <c r="D39" s="25" t="s">
        <v>159</v>
      </c>
      <c r="E39" s="25">
        <v>15</v>
      </c>
      <c r="F39" s="25">
        <v>180</v>
      </c>
      <c r="G39" s="26">
        <f t="shared" si="0"/>
        <v>2700</v>
      </c>
      <c r="H39" s="27" t="s">
        <v>27</v>
      </c>
      <c r="I39" s="37">
        <v>45120</v>
      </c>
      <c r="J39" s="29">
        <v>180</v>
      </c>
      <c r="K39" s="29">
        <v>4</v>
      </c>
      <c r="L39" s="56" t="s">
        <v>163</v>
      </c>
      <c r="M39" s="31">
        <v>2700</v>
      </c>
      <c r="N39" s="31">
        <v>14</v>
      </c>
      <c r="O39" s="31" t="s">
        <v>76</v>
      </c>
      <c r="P39" s="32" t="s">
        <v>160</v>
      </c>
      <c r="Q39" s="33" t="s">
        <v>161</v>
      </c>
      <c r="R39" s="33" t="s">
        <v>162</v>
      </c>
      <c r="S39" s="29">
        <v>180</v>
      </c>
      <c r="T39" s="31" t="s">
        <v>164</v>
      </c>
      <c r="U39" s="31" t="s">
        <v>165</v>
      </c>
      <c r="V39" s="31" t="s">
        <v>166</v>
      </c>
      <c r="W39" s="50" t="s">
        <v>847</v>
      </c>
      <c r="X39" s="34">
        <v>180</v>
      </c>
      <c r="Y39" s="34">
        <v>2700</v>
      </c>
      <c r="Z39" s="34" t="s">
        <v>848</v>
      </c>
      <c r="AA39" s="34">
        <f t="shared" si="1"/>
        <v>0</v>
      </c>
      <c r="AB39" s="34">
        <f t="shared" si="2"/>
        <v>0</v>
      </c>
      <c r="AC39" s="25" t="s">
        <v>36</v>
      </c>
      <c r="AD39" s="25" t="s">
        <v>76</v>
      </c>
      <c r="AE39" s="25" t="e">
        <v>#REF!</v>
      </c>
      <c r="AF39" s="25"/>
      <c r="AG39" s="25"/>
      <c r="AH39" s="35"/>
    </row>
    <row r="40" spans="1:34" ht="15.6">
      <c r="A40" s="23" t="s">
        <v>157</v>
      </c>
      <c r="B40" s="81">
        <v>6000023919</v>
      </c>
      <c r="C40" s="25" t="s">
        <v>158</v>
      </c>
      <c r="D40" s="25" t="s">
        <v>159</v>
      </c>
      <c r="E40" s="25">
        <v>15</v>
      </c>
      <c r="F40" s="25">
        <v>150</v>
      </c>
      <c r="G40" s="26">
        <f t="shared" si="0"/>
        <v>2250</v>
      </c>
      <c r="H40" s="27" t="s">
        <v>46</v>
      </c>
      <c r="I40" s="37">
        <v>45120</v>
      </c>
      <c r="J40" s="29">
        <v>150</v>
      </c>
      <c r="K40" s="29">
        <v>4</v>
      </c>
      <c r="L40" s="57">
        <v>45129</v>
      </c>
      <c r="M40" s="31">
        <v>2250</v>
      </c>
      <c r="N40" s="31">
        <v>12</v>
      </c>
      <c r="O40" s="31" t="s">
        <v>76</v>
      </c>
      <c r="P40" s="32" t="s">
        <v>160</v>
      </c>
      <c r="Q40" s="33" t="s">
        <v>161</v>
      </c>
      <c r="R40" s="33" t="s">
        <v>162</v>
      </c>
      <c r="S40" s="29">
        <v>150</v>
      </c>
      <c r="T40" s="31" t="s">
        <v>164</v>
      </c>
      <c r="U40" s="31" t="s">
        <v>165</v>
      </c>
      <c r="V40" s="31" t="s">
        <v>168</v>
      </c>
      <c r="W40" s="50" t="s">
        <v>847</v>
      </c>
      <c r="X40" s="34">
        <v>150</v>
      </c>
      <c r="Y40" s="34">
        <v>2250</v>
      </c>
      <c r="Z40" s="34" t="s">
        <v>849</v>
      </c>
      <c r="AA40" s="34">
        <f t="shared" si="1"/>
        <v>0</v>
      </c>
      <c r="AB40" s="34">
        <f t="shared" si="2"/>
        <v>0</v>
      </c>
      <c r="AC40" s="25" t="s">
        <v>36</v>
      </c>
      <c r="AD40" s="25" t="s">
        <v>76</v>
      </c>
      <c r="AE40" s="25" t="e">
        <v>#REF!</v>
      </c>
      <c r="AF40" s="25"/>
      <c r="AG40" s="25"/>
      <c r="AH40" s="35"/>
    </row>
    <row r="41" spans="1:34" ht="31.2">
      <c r="A41" s="23" t="s">
        <v>157</v>
      </c>
      <c r="B41" s="81">
        <v>6000023919</v>
      </c>
      <c r="C41" s="25" t="s">
        <v>158</v>
      </c>
      <c r="D41" s="25" t="s">
        <v>159</v>
      </c>
      <c r="E41" s="25">
        <v>15</v>
      </c>
      <c r="F41" s="25">
        <v>110</v>
      </c>
      <c r="G41" s="26">
        <f t="shared" si="0"/>
        <v>1650</v>
      </c>
      <c r="H41" s="27" t="s">
        <v>37</v>
      </c>
      <c r="I41" s="28" t="s">
        <v>163</v>
      </c>
      <c r="J41" s="29">
        <v>110</v>
      </c>
      <c r="K41" s="29">
        <v>13</v>
      </c>
      <c r="L41" s="57">
        <v>45128</v>
      </c>
      <c r="M41" s="31">
        <v>1650</v>
      </c>
      <c r="N41" s="31">
        <v>9</v>
      </c>
      <c r="O41" s="31" t="s">
        <v>76</v>
      </c>
      <c r="P41" s="32" t="s">
        <v>169</v>
      </c>
      <c r="Q41" s="33" t="s">
        <v>161</v>
      </c>
      <c r="R41" s="33" t="s">
        <v>170</v>
      </c>
      <c r="S41" s="29">
        <v>110</v>
      </c>
      <c r="T41" s="31" t="s">
        <v>152</v>
      </c>
      <c r="U41" s="31" t="s">
        <v>165</v>
      </c>
      <c r="V41" s="31" t="s">
        <v>171</v>
      </c>
      <c r="W41" s="50" t="s">
        <v>920</v>
      </c>
      <c r="X41" s="34">
        <v>110</v>
      </c>
      <c r="Y41" s="34">
        <v>1650</v>
      </c>
      <c r="Z41" s="34" t="s">
        <v>826</v>
      </c>
      <c r="AA41" s="34">
        <f t="shared" si="1"/>
        <v>0</v>
      </c>
      <c r="AB41" s="34">
        <f t="shared" si="2"/>
        <v>0</v>
      </c>
      <c r="AC41" s="25" t="s">
        <v>36</v>
      </c>
      <c r="AD41" s="25" t="s">
        <v>76</v>
      </c>
      <c r="AE41" s="25" t="e">
        <v>#REF!</v>
      </c>
      <c r="AF41" s="25"/>
      <c r="AG41" s="25"/>
      <c r="AH41" s="35"/>
    </row>
    <row r="42" spans="1:34" ht="31.2">
      <c r="A42" s="23" t="s">
        <v>157</v>
      </c>
      <c r="B42" s="81">
        <v>6000023919</v>
      </c>
      <c r="C42" s="25" t="s">
        <v>172</v>
      </c>
      <c r="D42" s="25" t="s">
        <v>159</v>
      </c>
      <c r="E42" s="25">
        <v>15</v>
      </c>
      <c r="F42" s="25">
        <v>100</v>
      </c>
      <c r="G42" s="26">
        <f t="shared" si="0"/>
        <v>1500</v>
      </c>
      <c r="H42" s="27" t="s">
        <v>27</v>
      </c>
      <c r="I42" s="28" t="s">
        <v>163</v>
      </c>
      <c r="J42" s="29">
        <v>100</v>
      </c>
      <c r="K42" s="29">
        <v>3</v>
      </c>
      <c r="L42" s="57">
        <v>45128</v>
      </c>
      <c r="M42" s="31">
        <v>1500</v>
      </c>
      <c r="N42" s="31">
        <v>8</v>
      </c>
      <c r="O42" s="31" t="s">
        <v>76</v>
      </c>
      <c r="P42" s="32" t="s">
        <v>169</v>
      </c>
      <c r="Q42" s="33" t="s">
        <v>173</v>
      </c>
      <c r="R42" s="33" t="s">
        <v>174</v>
      </c>
      <c r="S42" s="29">
        <v>100</v>
      </c>
      <c r="T42" s="31" t="s">
        <v>152</v>
      </c>
      <c r="U42" s="31" t="s">
        <v>175</v>
      </c>
      <c r="V42" s="31" t="s">
        <v>176</v>
      </c>
      <c r="W42" s="50" t="s">
        <v>851</v>
      </c>
      <c r="X42" s="34">
        <v>100</v>
      </c>
      <c r="Y42" s="34">
        <v>1500</v>
      </c>
      <c r="Z42" s="34" t="s">
        <v>801</v>
      </c>
      <c r="AA42" s="34">
        <f t="shared" si="1"/>
        <v>0</v>
      </c>
      <c r="AB42" s="34">
        <f t="shared" si="2"/>
        <v>0</v>
      </c>
      <c r="AC42" s="25" t="s">
        <v>36</v>
      </c>
      <c r="AD42" s="25" t="s">
        <v>76</v>
      </c>
      <c r="AE42" s="25" t="e">
        <v>#REF!</v>
      </c>
      <c r="AF42" s="25"/>
      <c r="AG42" s="25"/>
      <c r="AH42" s="35"/>
    </row>
    <row r="43" spans="1:34" ht="31.2">
      <c r="A43" s="23" t="s">
        <v>157</v>
      </c>
      <c r="B43" s="81">
        <v>6000023919</v>
      </c>
      <c r="C43" s="25" t="s">
        <v>172</v>
      </c>
      <c r="D43" s="25" t="s">
        <v>159</v>
      </c>
      <c r="E43" s="25">
        <v>15</v>
      </c>
      <c r="F43" s="25">
        <v>40</v>
      </c>
      <c r="G43" s="26">
        <f t="shared" si="0"/>
        <v>600</v>
      </c>
      <c r="H43" s="27" t="s">
        <v>46</v>
      </c>
      <c r="I43" s="28" t="s">
        <v>163</v>
      </c>
      <c r="J43" s="29">
        <v>40</v>
      </c>
      <c r="K43" s="29">
        <v>4</v>
      </c>
      <c r="L43" s="56" t="s">
        <v>163</v>
      </c>
      <c r="M43" s="31">
        <v>600</v>
      </c>
      <c r="N43" s="31">
        <v>4</v>
      </c>
      <c r="O43" s="31" t="s">
        <v>76</v>
      </c>
      <c r="P43" s="32" t="s">
        <v>169</v>
      </c>
      <c r="Q43" s="33" t="s">
        <v>173</v>
      </c>
      <c r="R43" s="33" t="s">
        <v>174</v>
      </c>
      <c r="S43" s="29">
        <v>40</v>
      </c>
      <c r="T43" s="31" t="s">
        <v>164</v>
      </c>
      <c r="U43" s="31" t="s">
        <v>175</v>
      </c>
      <c r="V43" s="31" t="s">
        <v>177</v>
      </c>
      <c r="W43" s="50" t="s">
        <v>732</v>
      </c>
      <c r="X43" s="34">
        <v>40</v>
      </c>
      <c r="Y43" s="34">
        <v>600</v>
      </c>
      <c r="Z43" s="34" t="s">
        <v>267</v>
      </c>
      <c r="AA43" s="34">
        <f t="shared" si="1"/>
        <v>0</v>
      </c>
      <c r="AB43" s="34">
        <f t="shared" si="2"/>
        <v>0</v>
      </c>
      <c r="AC43" s="25" t="s">
        <v>36</v>
      </c>
      <c r="AD43" s="25" t="s">
        <v>76</v>
      </c>
      <c r="AE43" s="25" t="e">
        <v>#REF!</v>
      </c>
      <c r="AF43" s="25"/>
      <c r="AG43" s="25"/>
      <c r="AH43" s="35"/>
    </row>
    <row r="44" spans="1:34" ht="31.2">
      <c r="A44" s="23" t="s">
        <v>178</v>
      </c>
      <c r="B44" s="81">
        <v>6000023784</v>
      </c>
      <c r="C44" s="25" t="s">
        <v>179</v>
      </c>
      <c r="D44" s="25">
        <v>4923085006</v>
      </c>
      <c r="E44" s="25">
        <v>4</v>
      </c>
      <c r="F44" s="25">
        <v>1120</v>
      </c>
      <c r="G44" s="26">
        <f t="shared" si="0"/>
        <v>4480</v>
      </c>
      <c r="H44" s="27" t="s">
        <v>46</v>
      </c>
      <c r="I44" s="28" t="s">
        <v>180</v>
      </c>
      <c r="J44" s="29">
        <v>1120</v>
      </c>
      <c r="K44" s="29">
        <v>20</v>
      </c>
      <c r="L44" s="56" t="s">
        <v>183</v>
      </c>
      <c r="M44" s="31">
        <v>4480</v>
      </c>
      <c r="N44" s="31">
        <v>55</v>
      </c>
      <c r="O44" s="31" t="s">
        <v>76</v>
      </c>
      <c r="P44" s="32" t="s">
        <v>28</v>
      </c>
      <c r="Q44" s="33" t="s">
        <v>181</v>
      </c>
      <c r="R44" s="33" t="s">
        <v>182</v>
      </c>
      <c r="S44" s="29">
        <v>1120</v>
      </c>
      <c r="T44" s="31" t="s">
        <v>87</v>
      </c>
      <c r="U44" s="31" t="s">
        <v>184</v>
      </c>
      <c r="V44" s="31" t="s">
        <v>185</v>
      </c>
      <c r="W44" s="50" t="s">
        <v>76</v>
      </c>
      <c r="X44" s="34">
        <f>800+320</f>
        <v>1120</v>
      </c>
      <c r="Y44" s="34">
        <v>4480</v>
      </c>
      <c r="Z44" s="34" t="s">
        <v>1463</v>
      </c>
      <c r="AA44" s="34">
        <f t="shared" si="1"/>
        <v>0</v>
      </c>
      <c r="AB44" s="34">
        <f t="shared" si="2"/>
        <v>0</v>
      </c>
      <c r="AC44" s="25" t="s">
        <v>36</v>
      </c>
      <c r="AD44" s="25" t="s">
        <v>76</v>
      </c>
      <c r="AE44" s="25" t="e">
        <v>#REF!</v>
      </c>
      <c r="AF44" s="25"/>
      <c r="AG44" s="25"/>
      <c r="AH44" s="35"/>
    </row>
    <row r="45" spans="1:34" ht="27" customHeight="1">
      <c r="A45" s="23"/>
      <c r="B45" s="81"/>
      <c r="C45" s="25"/>
      <c r="D45" s="25"/>
      <c r="E45" s="25">
        <v>4</v>
      </c>
      <c r="F45" s="25">
        <v>1120</v>
      </c>
      <c r="G45" s="26">
        <f t="shared" si="0"/>
        <v>4480</v>
      </c>
      <c r="H45" s="27" t="s">
        <v>37</v>
      </c>
      <c r="I45" s="28" t="s">
        <v>180</v>
      </c>
      <c r="J45" s="29">
        <v>1120</v>
      </c>
      <c r="K45" s="29">
        <v>20</v>
      </c>
      <c r="L45" s="56" t="s">
        <v>186</v>
      </c>
      <c r="M45" s="31">
        <v>4480</v>
      </c>
      <c r="N45" s="31">
        <v>55</v>
      </c>
      <c r="O45" s="31" t="s">
        <v>76</v>
      </c>
      <c r="P45" s="32" t="s">
        <v>28</v>
      </c>
      <c r="Q45" s="33" t="s">
        <v>181</v>
      </c>
      <c r="R45" s="33" t="s">
        <v>182</v>
      </c>
      <c r="S45" s="29">
        <v>1120</v>
      </c>
      <c r="T45" s="31" t="s">
        <v>87</v>
      </c>
      <c r="U45" s="31" t="s">
        <v>184</v>
      </c>
      <c r="V45" s="31" t="s">
        <v>187</v>
      </c>
      <c r="W45" s="50" t="s">
        <v>1397</v>
      </c>
      <c r="X45" s="34">
        <v>1120</v>
      </c>
      <c r="Y45" s="34">
        <v>4480</v>
      </c>
      <c r="Z45" s="34" t="s">
        <v>1380</v>
      </c>
      <c r="AA45" s="34">
        <f t="shared" si="1"/>
        <v>0</v>
      </c>
      <c r="AB45" s="34">
        <f t="shared" si="2"/>
        <v>0</v>
      </c>
      <c r="AC45" s="25" t="s">
        <v>36</v>
      </c>
      <c r="AD45" s="25" t="s">
        <v>76</v>
      </c>
      <c r="AE45" s="25" t="e">
        <v>#REF!</v>
      </c>
      <c r="AF45" s="25"/>
      <c r="AG45" s="25"/>
      <c r="AH45" s="35"/>
    </row>
    <row r="46" spans="1:34" ht="27" customHeight="1">
      <c r="A46" s="23"/>
      <c r="B46" s="81"/>
      <c r="C46" s="25"/>
      <c r="D46" s="25"/>
      <c r="E46" s="25">
        <v>4</v>
      </c>
      <c r="F46" s="25">
        <v>4200</v>
      </c>
      <c r="G46" s="26">
        <f t="shared" si="0"/>
        <v>16800</v>
      </c>
      <c r="H46" s="27" t="s">
        <v>146</v>
      </c>
      <c r="I46" s="28" t="s">
        <v>180</v>
      </c>
      <c r="J46" s="29">
        <v>4200</v>
      </c>
      <c r="K46" s="29">
        <v>46</v>
      </c>
      <c r="L46" s="56" t="s">
        <v>188</v>
      </c>
      <c r="M46" s="31">
        <v>16800</v>
      </c>
      <c r="N46" s="31">
        <v>178</v>
      </c>
      <c r="O46" s="31" t="s">
        <v>76</v>
      </c>
      <c r="P46" s="32" t="s">
        <v>28</v>
      </c>
      <c r="Q46" s="33" t="s">
        <v>181</v>
      </c>
      <c r="R46" s="33" t="s">
        <v>182</v>
      </c>
      <c r="S46" s="29">
        <v>4200</v>
      </c>
      <c r="T46" s="31" t="s">
        <v>87</v>
      </c>
      <c r="U46" s="31" t="s">
        <v>184</v>
      </c>
      <c r="V46" s="31" t="s">
        <v>189</v>
      </c>
      <c r="W46" s="50" t="s">
        <v>1446</v>
      </c>
      <c r="X46" s="34">
        <v>4200</v>
      </c>
      <c r="Y46" s="34">
        <v>16800</v>
      </c>
      <c r="Z46" s="34" t="s">
        <v>1451</v>
      </c>
      <c r="AA46" s="34">
        <f t="shared" si="1"/>
        <v>0</v>
      </c>
      <c r="AB46" s="34">
        <f t="shared" si="2"/>
        <v>0</v>
      </c>
      <c r="AC46" s="25" t="s">
        <v>36</v>
      </c>
      <c r="AD46" s="25" t="s">
        <v>76</v>
      </c>
      <c r="AE46" s="25" t="e">
        <v>#REF!</v>
      </c>
      <c r="AF46" s="25"/>
      <c r="AG46" s="25"/>
      <c r="AH46" s="35"/>
    </row>
    <row r="47" spans="1:34" ht="27" customHeight="1">
      <c r="A47" s="23" t="s">
        <v>178</v>
      </c>
      <c r="B47" s="81">
        <v>6000023785</v>
      </c>
      <c r="C47" s="25" t="s">
        <v>190</v>
      </c>
      <c r="D47" s="25">
        <v>4923085007</v>
      </c>
      <c r="E47" s="25">
        <v>4</v>
      </c>
      <c r="F47" s="25">
        <v>840</v>
      </c>
      <c r="G47" s="26">
        <f t="shared" si="0"/>
        <v>3360</v>
      </c>
      <c r="H47" s="27" t="s">
        <v>46</v>
      </c>
      <c r="I47" s="28" t="s">
        <v>191</v>
      </c>
      <c r="J47" s="29">
        <v>840</v>
      </c>
      <c r="K47" s="29">
        <v>9</v>
      </c>
      <c r="L47" s="56" t="s">
        <v>183</v>
      </c>
      <c r="M47" s="31">
        <v>3360</v>
      </c>
      <c r="N47" s="31">
        <v>34</v>
      </c>
      <c r="O47" s="31" t="s">
        <v>76</v>
      </c>
      <c r="P47" s="32" t="s">
        <v>28</v>
      </c>
      <c r="Q47" s="33" t="s">
        <v>192</v>
      </c>
      <c r="R47" s="33" t="s">
        <v>193</v>
      </c>
      <c r="S47" s="29">
        <v>840</v>
      </c>
      <c r="T47" s="31" t="s">
        <v>87</v>
      </c>
      <c r="U47" s="31" t="s">
        <v>194</v>
      </c>
      <c r="V47" s="31" t="s">
        <v>195</v>
      </c>
      <c r="W47" s="50" t="s">
        <v>1381</v>
      </c>
      <c r="X47" s="34">
        <v>840</v>
      </c>
      <c r="Y47" s="34">
        <v>3360</v>
      </c>
      <c r="Z47" s="34" t="s">
        <v>934</v>
      </c>
      <c r="AA47" s="34">
        <f t="shared" si="1"/>
        <v>0</v>
      </c>
      <c r="AB47" s="34">
        <f t="shared" si="2"/>
        <v>0</v>
      </c>
      <c r="AC47" s="25" t="s">
        <v>36</v>
      </c>
      <c r="AD47" s="25" t="s">
        <v>76</v>
      </c>
      <c r="AE47" s="25" t="e">
        <v>#REF!</v>
      </c>
      <c r="AF47" s="25"/>
      <c r="AG47" s="25"/>
      <c r="AH47" s="35"/>
    </row>
    <row r="48" spans="1:34" ht="31.2">
      <c r="A48" s="23" t="s">
        <v>178</v>
      </c>
      <c r="B48" s="81"/>
      <c r="C48" s="25"/>
      <c r="D48" s="25"/>
      <c r="E48" s="25">
        <v>4</v>
      </c>
      <c r="F48" s="25">
        <v>3220</v>
      </c>
      <c r="G48" s="26">
        <f t="shared" si="0"/>
        <v>12880</v>
      </c>
      <c r="H48" s="27" t="s">
        <v>37</v>
      </c>
      <c r="I48" s="28" t="s">
        <v>191</v>
      </c>
      <c r="J48" s="29">
        <v>3220</v>
      </c>
      <c r="K48" s="29">
        <v>36</v>
      </c>
      <c r="L48" s="56" t="s">
        <v>188</v>
      </c>
      <c r="M48" s="31">
        <v>12880</v>
      </c>
      <c r="N48" s="31">
        <v>129</v>
      </c>
      <c r="O48" s="31" t="s">
        <v>76</v>
      </c>
      <c r="P48" s="32" t="s">
        <v>28</v>
      </c>
      <c r="Q48" s="33" t="s">
        <v>192</v>
      </c>
      <c r="R48" s="33" t="s">
        <v>193</v>
      </c>
      <c r="S48" s="29">
        <v>3220</v>
      </c>
      <c r="T48" s="31" t="s">
        <v>87</v>
      </c>
      <c r="U48" s="31" t="s">
        <v>194</v>
      </c>
      <c r="V48" s="31" t="s">
        <v>196</v>
      </c>
      <c r="W48" s="50" t="s">
        <v>42</v>
      </c>
      <c r="X48" s="34">
        <v>3220</v>
      </c>
      <c r="Y48" s="34">
        <v>12880</v>
      </c>
      <c r="Z48" s="34" t="s">
        <v>197</v>
      </c>
      <c r="AA48" s="34">
        <f t="shared" si="1"/>
        <v>0</v>
      </c>
      <c r="AB48" s="34">
        <f t="shared" si="2"/>
        <v>0</v>
      </c>
      <c r="AC48" s="25" t="s">
        <v>36</v>
      </c>
      <c r="AD48" s="25" t="s">
        <v>76</v>
      </c>
      <c r="AE48" s="25" t="e">
        <v>#REF!</v>
      </c>
      <c r="AF48" s="25"/>
      <c r="AG48" s="25"/>
      <c r="AH48" s="35"/>
    </row>
    <row r="49" spans="1:34" ht="31.2">
      <c r="A49" s="23" t="s">
        <v>178</v>
      </c>
      <c r="B49" s="81"/>
      <c r="C49" s="25"/>
      <c r="D49" s="25"/>
      <c r="E49" s="25">
        <v>4</v>
      </c>
      <c r="F49" s="25">
        <v>2380</v>
      </c>
      <c r="G49" s="26">
        <f t="shared" si="0"/>
        <v>9520</v>
      </c>
      <c r="H49" s="27" t="s">
        <v>146</v>
      </c>
      <c r="I49" s="28" t="s">
        <v>191</v>
      </c>
      <c r="J49" s="29">
        <v>2380</v>
      </c>
      <c r="K49" s="29">
        <v>12</v>
      </c>
      <c r="L49" s="56" t="s">
        <v>183</v>
      </c>
      <c r="M49" s="31">
        <v>9520</v>
      </c>
      <c r="N49" s="31">
        <v>95</v>
      </c>
      <c r="O49" s="31" t="s">
        <v>76</v>
      </c>
      <c r="P49" s="32" t="s">
        <v>28</v>
      </c>
      <c r="Q49" s="33" t="s">
        <v>192</v>
      </c>
      <c r="R49" s="33" t="s">
        <v>193</v>
      </c>
      <c r="S49" s="29">
        <v>2380</v>
      </c>
      <c r="T49" s="31" t="s">
        <v>87</v>
      </c>
      <c r="U49" s="31" t="s">
        <v>194</v>
      </c>
      <c r="V49" s="31" t="s">
        <v>195</v>
      </c>
      <c r="W49" s="50" t="s">
        <v>820</v>
      </c>
      <c r="X49" s="34">
        <v>2380</v>
      </c>
      <c r="Y49" s="34">
        <v>9520</v>
      </c>
      <c r="Z49" s="34" t="s">
        <v>825</v>
      </c>
      <c r="AA49" s="34">
        <f t="shared" si="1"/>
        <v>0</v>
      </c>
      <c r="AB49" s="34">
        <f t="shared" si="2"/>
        <v>0</v>
      </c>
      <c r="AC49" s="25" t="s">
        <v>36</v>
      </c>
      <c r="AD49" s="25" t="s">
        <v>76</v>
      </c>
      <c r="AE49" s="25" t="e">
        <v>#REF!</v>
      </c>
      <c r="AF49" s="25"/>
      <c r="AG49" s="25"/>
      <c r="AH49" s="35"/>
    </row>
    <row r="50" spans="1:34" ht="31.2">
      <c r="A50" s="23" t="s">
        <v>178</v>
      </c>
      <c r="B50" s="81">
        <v>6000023786</v>
      </c>
      <c r="C50" s="25" t="s">
        <v>190</v>
      </c>
      <c r="D50" s="25">
        <v>4923085008</v>
      </c>
      <c r="E50" s="25">
        <v>4</v>
      </c>
      <c r="F50" s="25">
        <v>840</v>
      </c>
      <c r="G50" s="26">
        <f t="shared" si="0"/>
        <v>3360</v>
      </c>
      <c r="H50" s="27" t="s">
        <v>46</v>
      </c>
      <c r="I50" s="37">
        <v>45120</v>
      </c>
      <c r="J50" s="29">
        <v>840</v>
      </c>
      <c r="K50" s="29">
        <v>8</v>
      </c>
      <c r="L50" s="56" t="s">
        <v>183</v>
      </c>
      <c r="M50" s="31">
        <v>3360</v>
      </c>
      <c r="N50" s="31">
        <v>34</v>
      </c>
      <c r="O50" s="31" t="s">
        <v>76</v>
      </c>
      <c r="P50" s="32" t="s">
        <v>199</v>
      </c>
      <c r="Q50" s="33" t="s">
        <v>200</v>
      </c>
      <c r="R50" s="33" t="s">
        <v>201</v>
      </c>
      <c r="S50" s="29">
        <v>840</v>
      </c>
      <c r="T50" s="31" t="s">
        <v>87</v>
      </c>
      <c r="U50" s="31" t="s">
        <v>202</v>
      </c>
      <c r="V50" s="31" t="s">
        <v>203</v>
      </c>
      <c r="W50" s="50" t="s">
        <v>1382</v>
      </c>
      <c r="X50" s="34">
        <v>840</v>
      </c>
      <c r="Y50" s="34">
        <v>3360</v>
      </c>
      <c r="Z50" s="34" t="s">
        <v>935</v>
      </c>
      <c r="AA50" s="34">
        <f t="shared" si="1"/>
        <v>0</v>
      </c>
      <c r="AB50" s="34">
        <f t="shared" si="2"/>
        <v>0</v>
      </c>
      <c r="AC50" s="25" t="s">
        <v>36</v>
      </c>
      <c r="AD50" s="25" t="s">
        <v>76</v>
      </c>
      <c r="AE50" s="25" t="e">
        <v>#REF!</v>
      </c>
      <c r="AF50" s="25"/>
      <c r="AG50" s="25"/>
      <c r="AH50" s="35"/>
    </row>
    <row r="51" spans="1:34" ht="31.2">
      <c r="A51" s="23" t="s">
        <v>178</v>
      </c>
      <c r="B51" s="81">
        <v>6000023786</v>
      </c>
      <c r="C51" s="25" t="s">
        <v>190</v>
      </c>
      <c r="D51" s="25">
        <v>4923085008</v>
      </c>
      <c r="E51" s="25">
        <v>4</v>
      </c>
      <c r="F51" s="25">
        <v>3220</v>
      </c>
      <c r="G51" s="26">
        <f t="shared" si="0"/>
        <v>12880</v>
      </c>
      <c r="H51" s="27" t="s">
        <v>37</v>
      </c>
      <c r="I51" s="28" t="s">
        <v>191</v>
      </c>
      <c r="J51" s="29">
        <v>3220</v>
      </c>
      <c r="K51" s="29">
        <v>32</v>
      </c>
      <c r="L51" s="56" t="s">
        <v>188</v>
      </c>
      <c r="M51" s="31">
        <v>12880</v>
      </c>
      <c r="N51" s="31">
        <v>129</v>
      </c>
      <c r="O51" s="31" t="s">
        <v>76</v>
      </c>
      <c r="P51" s="32" t="s">
        <v>28</v>
      </c>
      <c r="Q51" s="33" t="s">
        <v>201</v>
      </c>
      <c r="R51" s="33" t="s">
        <v>204</v>
      </c>
      <c r="S51" s="29">
        <v>3220</v>
      </c>
      <c r="T51" s="31" t="s">
        <v>87</v>
      </c>
      <c r="U51" s="31" t="s">
        <v>202</v>
      </c>
      <c r="V51" s="31" t="s">
        <v>205</v>
      </c>
      <c r="W51" s="50" t="s">
        <v>1383</v>
      </c>
      <c r="X51" s="34">
        <f>1500+1720</f>
        <v>3220</v>
      </c>
      <c r="Y51" s="34">
        <f>6000+6880</f>
        <v>12880</v>
      </c>
      <c r="Z51" s="34" t="s">
        <v>197</v>
      </c>
      <c r="AA51" s="34">
        <f t="shared" si="1"/>
        <v>0</v>
      </c>
      <c r="AB51" s="34">
        <f t="shared" si="2"/>
        <v>0</v>
      </c>
      <c r="AC51" s="25" t="s">
        <v>36</v>
      </c>
      <c r="AD51" s="25" t="s">
        <v>76</v>
      </c>
      <c r="AE51" s="25" t="e">
        <v>#REF!</v>
      </c>
      <c r="AF51" s="25"/>
      <c r="AG51" s="25"/>
      <c r="AH51" s="35"/>
    </row>
    <row r="52" spans="1:34" ht="31.2">
      <c r="A52" s="23" t="s">
        <v>178</v>
      </c>
      <c r="B52" s="81">
        <v>6000023786</v>
      </c>
      <c r="C52" s="25" t="s">
        <v>190</v>
      </c>
      <c r="D52" s="25">
        <v>4923085008</v>
      </c>
      <c r="E52" s="25">
        <v>4</v>
      </c>
      <c r="F52" s="25">
        <v>2380</v>
      </c>
      <c r="G52" s="26">
        <f t="shared" si="0"/>
        <v>9520</v>
      </c>
      <c r="H52" s="27" t="s">
        <v>146</v>
      </c>
      <c r="I52" s="28" t="s">
        <v>198</v>
      </c>
      <c r="J52" s="29">
        <v>2380</v>
      </c>
      <c r="K52" s="29">
        <v>27</v>
      </c>
      <c r="L52" s="56" t="s">
        <v>183</v>
      </c>
      <c r="M52" s="31">
        <v>9520</v>
      </c>
      <c r="N52" s="31">
        <v>95</v>
      </c>
      <c r="O52" s="31" t="s">
        <v>76</v>
      </c>
      <c r="P52" s="32" t="s">
        <v>199</v>
      </c>
      <c r="Q52" s="33" t="s">
        <v>200</v>
      </c>
      <c r="R52" s="33" t="s">
        <v>207</v>
      </c>
      <c r="S52" s="29">
        <v>2380</v>
      </c>
      <c r="T52" s="31" t="s">
        <v>87</v>
      </c>
      <c r="U52" s="31" t="s">
        <v>202</v>
      </c>
      <c r="V52" s="31" t="s">
        <v>203</v>
      </c>
      <c r="W52" s="50" t="s">
        <v>1383</v>
      </c>
      <c r="X52" s="34">
        <v>2380</v>
      </c>
      <c r="Y52" s="34">
        <v>9520</v>
      </c>
      <c r="Z52" s="34" t="s">
        <v>936</v>
      </c>
      <c r="AA52" s="34">
        <f t="shared" si="1"/>
        <v>0</v>
      </c>
      <c r="AB52" s="34">
        <f t="shared" si="2"/>
        <v>0</v>
      </c>
      <c r="AC52" s="25" t="s">
        <v>36</v>
      </c>
      <c r="AD52" s="25" t="s">
        <v>76</v>
      </c>
      <c r="AE52" s="25" t="e">
        <v>#REF!</v>
      </c>
      <c r="AF52" s="25"/>
      <c r="AG52" s="25"/>
      <c r="AH52" s="35"/>
    </row>
    <row r="53" spans="1:34" ht="31.2">
      <c r="A53" s="23" t="s">
        <v>208</v>
      </c>
      <c r="B53" s="81">
        <v>6000023724</v>
      </c>
      <c r="C53" s="25" t="s">
        <v>209</v>
      </c>
      <c r="D53" s="25">
        <v>7705</v>
      </c>
      <c r="E53" s="25">
        <v>8</v>
      </c>
      <c r="F53" s="25">
        <v>434</v>
      </c>
      <c r="G53" s="26">
        <f t="shared" si="0"/>
        <v>3472</v>
      </c>
      <c r="H53" s="27" t="s">
        <v>27</v>
      </c>
      <c r="I53" s="28" t="s">
        <v>210</v>
      </c>
      <c r="J53" s="29">
        <v>434</v>
      </c>
      <c r="K53" s="29">
        <v>6</v>
      </c>
      <c r="L53" s="56" t="s">
        <v>163</v>
      </c>
      <c r="M53" s="31">
        <v>3472</v>
      </c>
      <c r="N53" s="31">
        <v>35</v>
      </c>
      <c r="O53" s="38" t="s">
        <v>796</v>
      </c>
      <c r="P53" s="32" t="s">
        <v>139</v>
      </c>
      <c r="Q53" s="33" t="s">
        <v>211</v>
      </c>
      <c r="R53" s="33" t="s">
        <v>212</v>
      </c>
      <c r="S53" s="29">
        <v>434</v>
      </c>
      <c r="T53" s="31" t="s">
        <v>87</v>
      </c>
      <c r="U53" s="31" t="s">
        <v>213</v>
      </c>
      <c r="V53" s="31" t="s">
        <v>214</v>
      </c>
      <c r="W53" s="50">
        <v>45185</v>
      </c>
      <c r="X53" s="34">
        <v>434</v>
      </c>
      <c r="Y53" s="34">
        <v>3472</v>
      </c>
      <c r="Z53" s="34" t="s">
        <v>800</v>
      </c>
      <c r="AA53" s="34">
        <f t="shared" si="1"/>
        <v>0</v>
      </c>
      <c r="AB53" s="34">
        <f t="shared" si="2"/>
        <v>0</v>
      </c>
      <c r="AC53" s="25" t="s">
        <v>36</v>
      </c>
      <c r="AD53" s="25" t="s">
        <v>76</v>
      </c>
      <c r="AE53" s="25" t="e">
        <v>#REF!</v>
      </c>
      <c r="AF53" s="25"/>
      <c r="AG53" s="25"/>
      <c r="AH53" s="35"/>
    </row>
    <row r="54" spans="1:34" ht="31.2">
      <c r="A54" s="23"/>
      <c r="B54" s="81"/>
      <c r="C54" s="25"/>
      <c r="D54" s="25">
        <v>7705</v>
      </c>
      <c r="E54" s="25">
        <v>8</v>
      </c>
      <c r="F54" s="25">
        <v>532</v>
      </c>
      <c r="G54" s="26">
        <f t="shared" si="0"/>
        <v>4256</v>
      </c>
      <c r="H54" s="27" t="s">
        <v>46</v>
      </c>
      <c r="I54" s="28" t="s">
        <v>210</v>
      </c>
      <c r="J54" s="29">
        <v>532</v>
      </c>
      <c r="K54" s="29">
        <v>15</v>
      </c>
      <c r="L54" s="56" t="s">
        <v>163</v>
      </c>
      <c r="M54" s="31">
        <v>4256</v>
      </c>
      <c r="N54" s="31">
        <v>43</v>
      </c>
      <c r="O54" s="38" t="s">
        <v>1439</v>
      </c>
      <c r="P54" s="32" t="s">
        <v>139</v>
      </c>
      <c r="Q54" s="33" t="s">
        <v>211</v>
      </c>
      <c r="R54" s="33" t="s">
        <v>212</v>
      </c>
      <c r="S54" s="29">
        <v>532</v>
      </c>
      <c r="T54" s="31" t="s">
        <v>87</v>
      </c>
      <c r="U54" s="31" t="s">
        <v>213</v>
      </c>
      <c r="V54" s="31" t="s">
        <v>214</v>
      </c>
      <c r="W54" s="50">
        <v>48473</v>
      </c>
      <c r="X54" s="34">
        <v>532</v>
      </c>
      <c r="Y54" s="34">
        <v>4256</v>
      </c>
      <c r="Z54" s="34" t="s">
        <v>800</v>
      </c>
      <c r="AA54" s="34">
        <f t="shared" si="1"/>
        <v>0</v>
      </c>
      <c r="AB54" s="34">
        <f t="shared" si="2"/>
        <v>0</v>
      </c>
      <c r="AC54" s="25" t="s">
        <v>36</v>
      </c>
      <c r="AD54" s="25" t="s">
        <v>76</v>
      </c>
      <c r="AE54" s="25" t="e">
        <v>#REF!</v>
      </c>
      <c r="AF54" s="25"/>
      <c r="AG54" s="25"/>
      <c r="AH54" s="35"/>
    </row>
    <row r="55" spans="1:34" ht="31.2">
      <c r="A55" s="23"/>
      <c r="B55" s="81"/>
      <c r="C55" s="25"/>
      <c r="D55" s="25">
        <v>7705</v>
      </c>
      <c r="E55" s="25">
        <v>8</v>
      </c>
      <c r="F55" s="25">
        <v>350</v>
      </c>
      <c r="G55" s="26">
        <f t="shared" si="0"/>
        <v>2800</v>
      </c>
      <c r="H55" s="27" t="s">
        <v>37</v>
      </c>
      <c r="I55" s="28" t="s">
        <v>210</v>
      </c>
      <c r="J55" s="29">
        <v>350</v>
      </c>
      <c r="K55" s="29">
        <v>5</v>
      </c>
      <c r="L55" s="56" t="s">
        <v>163</v>
      </c>
      <c r="M55" s="31">
        <v>2800</v>
      </c>
      <c r="N55" s="31">
        <v>28</v>
      </c>
      <c r="O55" s="38" t="s">
        <v>1351</v>
      </c>
      <c r="P55" s="32" t="s">
        <v>139</v>
      </c>
      <c r="Q55" s="33" t="s">
        <v>211</v>
      </c>
      <c r="R55" s="33" t="s">
        <v>212</v>
      </c>
      <c r="S55" s="29">
        <v>350</v>
      </c>
      <c r="T55" s="31" t="s">
        <v>87</v>
      </c>
      <c r="U55" s="31" t="s">
        <v>213</v>
      </c>
      <c r="V55" s="31" t="s">
        <v>215</v>
      </c>
      <c r="W55" s="50">
        <v>45192</v>
      </c>
      <c r="X55" s="34">
        <v>350</v>
      </c>
      <c r="Y55" s="34">
        <v>2800</v>
      </c>
      <c r="Z55" s="34" t="s">
        <v>800</v>
      </c>
      <c r="AA55" s="34">
        <f t="shared" si="1"/>
        <v>0</v>
      </c>
      <c r="AB55" s="34">
        <f t="shared" si="2"/>
        <v>0</v>
      </c>
      <c r="AC55" s="25" t="s">
        <v>36</v>
      </c>
      <c r="AD55" s="25" t="s">
        <v>76</v>
      </c>
      <c r="AE55" s="25" t="e">
        <v>#REF!</v>
      </c>
      <c r="AF55" s="25"/>
      <c r="AG55" s="25"/>
      <c r="AH55" s="35"/>
    </row>
    <row r="56" spans="1:34" ht="31.2">
      <c r="A56" s="23"/>
      <c r="B56" s="81"/>
      <c r="C56" s="25"/>
      <c r="D56" s="25">
        <v>7705</v>
      </c>
      <c r="E56" s="25">
        <v>8</v>
      </c>
      <c r="F56" s="25">
        <v>84</v>
      </c>
      <c r="G56" s="26">
        <f t="shared" si="0"/>
        <v>672</v>
      </c>
      <c r="H56" s="27" t="s">
        <v>146</v>
      </c>
      <c r="I56" s="28" t="s">
        <v>210</v>
      </c>
      <c r="J56" s="29">
        <v>84</v>
      </c>
      <c r="K56" s="29">
        <v>3</v>
      </c>
      <c r="L56" s="56" t="s">
        <v>163</v>
      </c>
      <c r="M56" s="31">
        <v>672</v>
      </c>
      <c r="N56" s="31">
        <v>7</v>
      </c>
      <c r="O56" s="38" t="s">
        <v>1637</v>
      </c>
      <c r="P56" s="32" t="s">
        <v>139</v>
      </c>
      <c r="Q56" s="33" t="s">
        <v>216</v>
      </c>
      <c r="R56" s="33" t="s">
        <v>217</v>
      </c>
      <c r="S56" s="29">
        <v>84</v>
      </c>
      <c r="T56" s="31" t="s">
        <v>87</v>
      </c>
      <c r="U56" s="31" t="s">
        <v>218</v>
      </c>
      <c r="V56" s="31" t="s">
        <v>219</v>
      </c>
      <c r="W56" s="50">
        <v>45192</v>
      </c>
      <c r="X56" s="34">
        <v>84</v>
      </c>
      <c r="Y56" s="34">
        <v>672</v>
      </c>
      <c r="Z56" s="34" t="s">
        <v>800</v>
      </c>
      <c r="AA56" s="34">
        <f t="shared" si="1"/>
        <v>0</v>
      </c>
      <c r="AB56" s="34">
        <f t="shared" si="2"/>
        <v>0</v>
      </c>
      <c r="AC56" s="25" t="s">
        <v>36</v>
      </c>
      <c r="AD56" s="25" t="s">
        <v>76</v>
      </c>
      <c r="AE56" s="25" t="e">
        <v>#REF!</v>
      </c>
      <c r="AF56" s="25"/>
      <c r="AG56" s="25"/>
      <c r="AH56" s="35"/>
    </row>
    <row r="57" spans="1:34" ht="31.2">
      <c r="A57" s="23" t="s">
        <v>208</v>
      </c>
      <c r="B57" s="81">
        <v>6000023725</v>
      </c>
      <c r="C57" s="25" t="s">
        <v>209</v>
      </c>
      <c r="D57" s="25">
        <v>7706</v>
      </c>
      <c r="E57" s="25">
        <v>8</v>
      </c>
      <c r="F57" s="25">
        <v>434</v>
      </c>
      <c r="G57" s="26">
        <f t="shared" si="0"/>
        <v>3472</v>
      </c>
      <c r="H57" s="27" t="s">
        <v>27</v>
      </c>
      <c r="I57" s="28" t="s">
        <v>210</v>
      </c>
      <c r="J57" s="29">
        <v>434</v>
      </c>
      <c r="K57" s="29">
        <v>6</v>
      </c>
      <c r="L57" s="56" t="s">
        <v>163</v>
      </c>
      <c r="M57" s="31">
        <v>3472</v>
      </c>
      <c r="N57" s="31">
        <v>35</v>
      </c>
      <c r="O57" s="38" t="s">
        <v>1565</v>
      </c>
      <c r="P57" s="32" t="s">
        <v>139</v>
      </c>
      <c r="Q57" s="33" t="s">
        <v>220</v>
      </c>
      <c r="R57" s="33" t="s">
        <v>221</v>
      </c>
      <c r="S57" s="29">
        <v>434</v>
      </c>
      <c r="T57" s="31" t="s">
        <v>87</v>
      </c>
      <c r="U57" s="31" t="s">
        <v>222</v>
      </c>
      <c r="V57" s="31" t="s">
        <v>223</v>
      </c>
      <c r="W57" s="50">
        <v>45176</v>
      </c>
      <c r="X57" s="34">
        <v>434</v>
      </c>
      <c r="Y57" s="34">
        <v>3472</v>
      </c>
      <c r="Z57" s="34" t="s">
        <v>800</v>
      </c>
      <c r="AA57" s="34">
        <f t="shared" si="1"/>
        <v>0</v>
      </c>
      <c r="AB57" s="34">
        <f t="shared" si="2"/>
        <v>0</v>
      </c>
      <c r="AC57" s="25" t="s">
        <v>36</v>
      </c>
      <c r="AD57" s="25" t="s">
        <v>76</v>
      </c>
      <c r="AE57" s="25" t="e">
        <v>#REF!</v>
      </c>
      <c r="AF57" s="25"/>
      <c r="AG57" s="25"/>
      <c r="AH57" s="35"/>
    </row>
    <row r="58" spans="1:34" ht="31.2">
      <c r="A58" s="23"/>
      <c r="B58" s="81"/>
      <c r="C58" s="25"/>
      <c r="D58" s="25">
        <v>7706</v>
      </c>
      <c r="E58" s="25">
        <v>8</v>
      </c>
      <c r="F58" s="25">
        <v>532</v>
      </c>
      <c r="G58" s="26">
        <f t="shared" si="0"/>
        <v>4256</v>
      </c>
      <c r="H58" s="27" t="s">
        <v>46</v>
      </c>
      <c r="I58" s="28" t="s">
        <v>210</v>
      </c>
      <c r="J58" s="29">
        <v>532</v>
      </c>
      <c r="K58" s="29">
        <v>7</v>
      </c>
      <c r="L58" s="56" t="s">
        <v>163</v>
      </c>
      <c r="M58" s="31">
        <v>4256</v>
      </c>
      <c r="N58" s="31">
        <v>43</v>
      </c>
      <c r="O58" s="38" t="s">
        <v>1638</v>
      </c>
      <c r="P58" s="32" t="s">
        <v>139</v>
      </c>
      <c r="Q58" s="33" t="s">
        <v>220</v>
      </c>
      <c r="R58" s="33" t="s">
        <v>221</v>
      </c>
      <c r="S58" s="29">
        <v>532</v>
      </c>
      <c r="T58" s="31" t="s">
        <v>87</v>
      </c>
      <c r="U58" s="31" t="s">
        <v>222</v>
      </c>
      <c r="V58" s="31" t="s">
        <v>223</v>
      </c>
      <c r="W58" s="50">
        <v>45176</v>
      </c>
      <c r="X58" s="34">
        <v>532</v>
      </c>
      <c r="Y58" s="34">
        <v>4256</v>
      </c>
      <c r="Z58" s="34" t="s">
        <v>800</v>
      </c>
      <c r="AA58" s="34">
        <f t="shared" si="1"/>
        <v>0</v>
      </c>
      <c r="AB58" s="34">
        <f t="shared" si="2"/>
        <v>0</v>
      </c>
      <c r="AC58" s="25" t="s">
        <v>36</v>
      </c>
      <c r="AD58" s="25" t="s">
        <v>76</v>
      </c>
      <c r="AE58" s="25" t="e">
        <v>#REF!</v>
      </c>
      <c r="AF58" s="25"/>
      <c r="AG58" s="25"/>
      <c r="AH58" s="35"/>
    </row>
    <row r="59" spans="1:34" ht="31.2">
      <c r="A59" s="23"/>
      <c r="B59" s="81"/>
      <c r="C59" s="25"/>
      <c r="D59" s="25">
        <v>7706</v>
      </c>
      <c r="E59" s="25">
        <v>8</v>
      </c>
      <c r="F59" s="25">
        <v>350</v>
      </c>
      <c r="G59" s="26">
        <f t="shared" si="0"/>
        <v>2800</v>
      </c>
      <c r="H59" s="27" t="s">
        <v>37</v>
      </c>
      <c r="I59" s="28" t="s">
        <v>210</v>
      </c>
      <c r="J59" s="29">
        <v>350</v>
      </c>
      <c r="K59" s="29">
        <v>4</v>
      </c>
      <c r="L59" s="56" t="s">
        <v>163</v>
      </c>
      <c r="M59" s="31">
        <v>2800</v>
      </c>
      <c r="N59" s="31">
        <v>28</v>
      </c>
      <c r="O59" s="38" t="s">
        <v>812</v>
      </c>
      <c r="P59" s="32" t="s">
        <v>139</v>
      </c>
      <c r="Q59" s="33" t="s">
        <v>220</v>
      </c>
      <c r="R59" s="33" t="s">
        <v>221</v>
      </c>
      <c r="S59" s="29">
        <v>350</v>
      </c>
      <c r="T59" s="31" t="s">
        <v>87</v>
      </c>
      <c r="U59" s="31" t="s">
        <v>222</v>
      </c>
      <c r="V59" s="31" t="s">
        <v>223</v>
      </c>
      <c r="W59" s="50">
        <v>45176</v>
      </c>
      <c r="X59" s="34">
        <v>350</v>
      </c>
      <c r="Y59" s="34">
        <v>2800</v>
      </c>
      <c r="Z59" s="34" t="s">
        <v>800</v>
      </c>
      <c r="AA59" s="34">
        <f t="shared" si="1"/>
        <v>0</v>
      </c>
      <c r="AB59" s="34">
        <f t="shared" si="2"/>
        <v>0</v>
      </c>
      <c r="AC59" s="25" t="s">
        <v>36</v>
      </c>
      <c r="AD59" s="25" t="s">
        <v>76</v>
      </c>
      <c r="AE59" s="25" t="e">
        <v>#REF!</v>
      </c>
      <c r="AF59" s="25"/>
      <c r="AG59" s="25"/>
      <c r="AH59" s="35"/>
    </row>
    <row r="60" spans="1:34" ht="31.2">
      <c r="A60" s="23"/>
      <c r="B60" s="81"/>
      <c r="C60" s="25"/>
      <c r="D60" s="25">
        <v>7706</v>
      </c>
      <c r="E60" s="25">
        <v>8</v>
      </c>
      <c r="F60" s="25">
        <v>84</v>
      </c>
      <c r="G60" s="26">
        <f t="shared" si="0"/>
        <v>672</v>
      </c>
      <c r="H60" s="27" t="s">
        <v>146</v>
      </c>
      <c r="I60" s="28" t="s">
        <v>210</v>
      </c>
      <c r="J60" s="29">
        <v>84</v>
      </c>
      <c r="K60" s="29">
        <v>2</v>
      </c>
      <c r="L60" s="56" t="s">
        <v>163</v>
      </c>
      <c r="M60" s="31">
        <v>672</v>
      </c>
      <c r="N60" s="31">
        <v>7</v>
      </c>
      <c r="O60" s="38" t="s">
        <v>1637</v>
      </c>
      <c r="P60" s="32" t="s">
        <v>139</v>
      </c>
      <c r="Q60" s="33" t="s">
        <v>224</v>
      </c>
      <c r="R60" s="33" t="s">
        <v>225</v>
      </c>
      <c r="S60" s="29">
        <v>84</v>
      </c>
      <c r="T60" s="31" t="s">
        <v>87</v>
      </c>
      <c r="U60" s="31" t="s">
        <v>226</v>
      </c>
      <c r="V60" s="31" t="s">
        <v>227</v>
      </c>
      <c r="W60" s="50">
        <v>45176</v>
      </c>
      <c r="X60" s="34">
        <v>84</v>
      </c>
      <c r="Y60" s="34">
        <v>672</v>
      </c>
      <c r="Z60" s="34" t="s">
        <v>800</v>
      </c>
      <c r="AA60" s="34">
        <f t="shared" si="1"/>
        <v>0</v>
      </c>
      <c r="AB60" s="34">
        <f t="shared" si="2"/>
        <v>0</v>
      </c>
      <c r="AC60" s="25" t="s">
        <v>36</v>
      </c>
      <c r="AD60" s="25" t="s">
        <v>76</v>
      </c>
      <c r="AE60" s="25" t="e">
        <v>#REF!</v>
      </c>
      <c r="AF60" s="25"/>
      <c r="AG60" s="25"/>
      <c r="AH60" s="35"/>
    </row>
    <row r="61" spans="1:34" ht="62.4">
      <c r="A61" s="23" t="s">
        <v>208</v>
      </c>
      <c r="B61" s="81">
        <v>6000023726</v>
      </c>
      <c r="C61" s="25" t="s">
        <v>228</v>
      </c>
      <c r="D61" s="25">
        <v>7704</v>
      </c>
      <c r="E61" s="25">
        <v>8</v>
      </c>
      <c r="F61" s="25">
        <v>350</v>
      </c>
      <c r="G61" s="26">
        <f t="shared" si="0"/>
        <v>2800</v>
      </c>
      <c r="H61" s="27" t="s">
        <v>27</v>
      </c>
      <c r="I61" s="28" t="s">
        <v>1323</v>
      </c>
      <c r="J61" s="29">
        <v>350</v>
      </c>
      <c r="K61" s="29">
        <v>9</v>
      </c>
      <c r="L61" s="56" t="s">
        <v>163</v>
      </c>
      <c r="M61" s="31">
        <v>2800</v>
      </c>
      <c r="N61" s="31">
        <v>28</v>
      </c>
      <c r="O61" s="31" t="s">
        <v>76</v>
      </c>
      <c r="P61" s="32" t="s">
        <v>139</v>
      </c>
      <c r="Q61" s="33" t="s">
        <v>229</v>
      </c>
      <c r="R61" s="33" t="s">
        <v>230</v>
      </c>
      <c r="S61" s="29">
        <v>350</v>
      </c>
      <c r="T61" s="31" t="s">
        <v>87</v>
      </c>
      <c r="U61" s="31" t="s">
        <v>231</v>
      </c>
      <c r="V61" s="31" t="s">
        <v>232</v>
      </c>
      <c r="W61" s="50" t="s">
        <v>920</v>
      </c>
      <c r="X61" s="34">
        <v>350</v>
      </c>
      <c r="Y61" s="34">
        <v>2800</v>
      </c>
      <c r="Z61" s="34" t="s">
        <v>826</v>
      </c>
      <c r="AA61" s="34">
        <f t="shared" si="1"/>
        <v>0</v>
      </c>
      <c r="AB61" s="34">
        <f t="shared" si="2"/>
        <v>0</v>
      </c>
      <c r="AC61" s="25" t="s">
        <v>36</v>
      </c>
      <c r="AD61" s="25" t="s">
        <v>76</v>
      </c>
      <c r="AE61" s="25" t="e">
        <v>#REF!</v>
      </c>
      <c r="AF61" s="25"/>
      <c r="AG61" s="25"/>
      <c r="AH61" s="35"/>
    </row>
    <row r="62" spans="1:34" ht="62.4">
      <c r="A62" s="23"/>
      <c r="B62" s="81"/>
      <c r="C62" s="25"/>
      <c r="D62" s="25">
        <v>7704</v>
      </c>
      <c r="E62" s="25">
        <v>8</v>
      </c>
      <c r="F62" s="25">
        <v>600</v>
      </c>
      <c r="G62" s="26">
        <f t="shared" si="0"/>
        <v>4800</v>
      </c>
      <c r="H62" s="27" t="s">
        <v>46</v>
      </c>
      <c r="I62" s="28" t="s">
        <v>1461</v>
      </c>
      <c r="J62" s="29">
        <v>600</v>
      </c>
      <c r="K62" s="29">
        <v>15</v>
      </c>
      <c r="L62" s="56" t="s">
        <v>163</v>
      </c>
      <c r="M62" s="31">
        <v>4800</v>
      </c>
      <c r="N62" s="31">
        <v>48</v>
      </c>
      <c r="O62" s="31" t="s">
        <v>76</v>
      </c>
      <c r="P62" s="32" t="s">
        <v>139</v>
      </c>
      <c r="Q62" s="33" t="s">
        <v>233</v>
      </c>
      <c r="R62" s="33" t="s">
        <v>234</v>
      </c>
      <c r="S62" s="29">
        <v>600</v>
      </c>
      <c r="T62" s="31" t="s">
        <v>87</v>
      </c>
      <c r="U62" s="31" t="s">
        <v>231</v>
      </c>
      <c r="V62" s="31" t="s">
        <v>232</v>
      </c>
      <c r="W62" s="50" t="s">
        <v>920</v>
      </c>
      <c r="X62" s="34">
        <v>600</v>
      </c>
      <c r="Y62" s="34">
        <v>4800</v>
      </c>
      <c r="Z62" s="34" t="s">
        <v>826</v>
      </c>
      <c r="AA62" s="34">
        <f t="shared" si="1"/>
        <v>0</v>
      </c>
      <c r="AB62" s="34">
        <f t="shared" si="2"/>
        <v>0</v>
      </c>
      <c r="AC62" s="25" t="s">
        <v>36</v>
      </c>
      <c r="AD62" s="25" t="s">
        <v>76</v>
      </c>
      <c r="AE62" s="25" t="e">
        <v>#REF!</v>
      </c>
      <c r="AF62" s="25"/>
      <c r="AG62" s="25"/>
      <c r="AH62" s="35"/>
    </row>
    <row r="63" spans="1:34" ht="31.2">
      <c r="A63" s="23"/>
      <c r="B63" s="81"/>
      <c r="C63" s="25"/>
      <c r="D63" s="25">
        <v>7704</v>
      </c>
      <c r="E63" s="25">
        <v>8</v>
      </c>
      <c r="F63" s="25">
        <v>150</v>
      </c>
      <c r="G63" s="26">
        <f t="shared" si="0"/>
        <v>1200</v>
      </c>
      <c r="H63" s="27" t="s">
        <v>37</v>
      </c>
      <c r="I63" s="28" t="s">
        <v>210</v>
      </c>
      <c r="J63" s="29">
        <v>150</v>
      </c>
      <c r="K63" s="29">
        <v>4</v>
      </c>
      <c r="L63" s="56" t="s">
        <v>163</v>
      </c>
      <c r="M63" s="31">
        <v>1200</v>
      </c>
      <c r="N63" s="31">
        <v>12</v>
      </c>
      <c r="O63" s="31" t="s">
        <v>76</v>
      </c>
      <c r="P63" s="32" t="s">
        <v>139</v>
      </c>
      <c r="Q63" s="33" t="s">
        <v>229</v>
      </c>
      <c r="R63" s="33" t="s">
        <v>234</v>
      </c>
      <c r="S63" s="29">
        <v>150</v>
      </c>
      <c r="T63" s="31" t="s">
        <v>87</v>
      </c>
      <c r="U63" s="31" t="s">
        <v>231</v>
      </c>
      <c r="V63" s="31" t="s">
        <v>232</v>
      </c>
      <c r="W63" s="50" t="s">
        <v>920</v>
      </c>
      <c r="X63" s="34">
        <v>150</v>
      </c>
      <c r="Y63" s="34">
        <v>1200</v>
      </c>
      <c r="Z63" s="34" t="s">
        <v>826</v>
      </c>
      <c r="AA63" s="34">
        <f t="shared" si="1"/>
        <v>0</v>
      </c>
      <c r="AB63" s="34">
        <f t="shared" si="2"/>
        <v>0</v>
      </c>
      <c r="AC63" s="25" t="s">
        <v>36</v>
      </c>
      <c r="AD63" s="25" t="s">
        <v>76</v>
      </c>
      <c r="AE63" s="25" t="e">
        <v>#REF!</v>
      </c>
      <c r="AF63" s="25"/>
      <c r="AG63" s="25"/>
      <c r="AH63" s="35"/>
    </row>
    <row r="64" spans="1:34" ht="31.2">
      <c r="A64" s="23" t="s">
        <v>208</v>
      </c>
      <c r="B64" s="81">
        <v>6000023726</v>
      </c>
      <c r="C64" s="25" t="s">
        <v>235</v>
      </c>
      <c r="D64" s="25">
        <v>7704</v>
      </c>
      <c r="E64" s="25">
        <v>8</v>
      </c>
      <c r="F64" s="25">
        <v>100</v>
      </c>
      <c r="G64" s="26">
        <f t="shared" si="0"/>
        <v>800</v>
      </c>
      <c r="H64" s="27" t="s">
        <v>27</v>
      </c>
      <c r="I64" s="28" t="s">
        <v>210</v>
      </c>
      <c r="J64" s="29">
        <v>100</v>
      </c>
      <c r="K64" s="29">
        <v>2</v>
      </c>
      <c r="L64" s="56" t="s">
        <v>163</v>
      </c>
      <c r="M64" s="31">
        <v>800</v>
      </c>
      <c r="N64" s="31">
        <v>8</v>
      </c>
      <c r="O64" s="31" t="s">
        <v>76</v>
      </c>
      <c r="P64" s="32" t="s">
        <v>139</v>
      </c>
      <c r="Q64" s="33" t="s">
        <v>236</v>
      </c>
      <c r="R64" s="33" t="s">
        <v>237</v>
      </c>
      <c r="S64" s="29">
        <v>100</v>
      </c>
      <c r="T64" s="31" t="s">
        <v>87</v>
      </c>
      <c r="U64" s="31" t="s">
        <v>238</v>
      </c>
      <c r="V64" s="31" t="s">
        <v>239</v>
      </c>
      <c r="W64" s="50">
        <v>45176</v>
      </c>
      <c r="X64" s="34">
        <v>100</v>
      </c>
      <c r="Y64" s="34">
        <v>800</v>
      </c>
      <c r="Z64" s="34" t="s">
        <v>826</v>
      </c>
      <c r="AA64" s="34">
        <f t="shared" si="1"/>
        <v>0</v>
      </c>
      <c r="AB64" s="34">
        <f t="shared" si="2"/>
        <v>0</v>
      </c>
      <c r="AC64" s="25" t="s">
        <v>36</v>
      </c>
      <c r="AD64" s="25" t="s">
        <v>76</v>
      </c>
      <c r="AE64" s="25" t="e">
        <v>#REF!</v>
      </c>
      <c r="AF64" s="25"/>
      <c r="AG64" s="25"/>
      <c r="AH64" s="35"/>
    </row>
    <row r="65" spans="1:34" ht="31.2">
      <c r="A65" s="23"/>
      <c r="B65" s="81"/>
      <c r="C65" s="25"/>
      <c r="D65" s="25">
        <v>7704</v>
      </c>
      <c r="E65" s="25">
        <v>8</v>
      </c>
      <c r="F65" s="25">
        <v>200</v>
      </c>
      <c r="G65" s="26">
        <f t="shared" si="0"/>
        <v>1600</v>
      </c>
      <c r="H65" s="27" t="s">
        <v>46</v>
      </c>
      <c r="I65" s="28" t="s">
        <v>210</v>
      </c>
      <c r="J65" s="29">
        <v>200</v>
      </c>
      <c r="K65" s="29">
        <v>3</v>
      </c>
      <c r="L65" s="56" t="s">
        <v>163</v>
      </c>
      <c r="M65" s="31">
        <v>1600</v>
      </c>
      <c r="N65" s="31">
        <v>16</v>
      </c>
      <c r="O65" s="31" t="s">
        <v>76</v>
      </c>
      <c r="P65" s="32" t="s">
        <v>139</v>
      </c>
      <c r="Q65" s="33" t="s">
        <v>236</v>
      </c>
      <c r="R65" s="33" t="s">
        <v>237</v>
      </c>
      <c r="S65" s="29">
        <v>200</v>
      </c>
      <c r="T65" s="31" t="s">
        <v>87</v>
      </c>
      <c r="U65" s="31" t="s">
        <v>238</v>
      </c>
      <c r="V65" s="31" t="s">
        <v>239</v>
      </c>
      <c r="W65" s="50">
        <v>45176</v>
      </c>
      <c r="X65" s="34">
        <v>200</v>
      </c>
      <c r="Y65" s="34">
        <v>1600</v>
      </c>
      <c r="Z65" s="34" t="s">
        <v>826</v>
      </c>
      <c r="AA65" s="34">
        <f t="shared" si="1"/>
        <v>0</v>
      </c>
      <c r="AB65" s="34">
        <f t="shared" si="2"/>
        <v>0</v>
      </c>
      <c r="AC65" s="25" t="s">
        <v>36</v>
      </c>
      <c r="AD65" s="25" t="s">
        <v>76</v>
      </c>
      <c r="AE65" s="25" t="e">
        <v>#REF!</v>
      </c>
      <c r="AF65" s="25"/>
      <c r="AG65" s="25"/>
      <c r="AH65" s="35"/>
    </row>
    <row r="66" spans="1:34" ht="62.4">
      <c r="A66" s="23" t="s">
        <v>240</v>
      </c>
      <c r="B66" s="81">
        <v>6000023870</v>
      </c>
      <c r="C66" s="25" t="s">
        <v>241</v>
      </c>
      <c r="D66" s="25" t="s">
        <v>242</v>
      </c>
      <c r="E66" s="25">
        <v>30</v>
      </c>
      <c r="F66" s="25">
        <v>100</v>
      </c>
      <c r="G66" s="26">
        <f t="shared" si="0"/>
        <v>3000</v>
      </c>
      <c r="H66" s="27" t="s">
        <v>243</v>
      </c>
      <c r="I66" s="28" t="s">
        <v>1322</v>
      </c>
      <c r="J66" s="29">
        <v>100</v>
      </c>
      <c r="K66" s="29">
        <v>1</v>
      </c>
      <c r="L66" s="56" t="s">
        <v>880</v>
      </c>
      <c r="M66" s="31">
        <v>3000</v>
      </c>
      <c r="N66" s="31">
        <v>30</v>
      </c>
      <c r="O66" s="31" t="s">
        <v>887</v>
      </c>
      <c r="P66" s="32" t="s">
        <v>28</v>
      </c>
      <c r="Q66" s="33" t="s">
        <v>938</v>
      </c>
      <c r="R66" s="33" t="s">
        <v>939</v>
      </c>
      <c r="S66" s="29">
        <v>100</v>
      </c>
      <c r="T66" s="31" t="s">
        <v>794</v>
      </c>
      <c r="U66" s="31" t="s">
        <v>940</v>
      </c>
      <c r="V66" s="31" t="s">
        <v>941</v>
      </c>
      <c r="W66" s="50" t="s">
        <v>920</v>
      </c>
      <c r="X66" s="34">
        <v>100</v>
      </c>
      <c r="Y66" s="34">
        <v>3000</v>
      </c>
      <c r="Z66" s="34" t="s">
        <v>826</v>
      </c>
      <c r="AA66" s="34">
        <f t="shared" si="1"/>
        <v>0</v>
      </c>
      <c r="AB66" s="34">
        <f t="shared" si="2"/>
        <v>0</v>
      </c>
      <c r="AC66" s="25" t="s">
        <v>36</v>
      </c>
      <c r="AD66" s="25"/>
      <c r="AE66" s="25"/>
      <c r="AF66" s="25"/>
      <c r="AG66" s="25"/>
      <c r="AH66" s="35"/>
    </row>
    <row r="67" spans="1:34" ht="31.2">
      <c r="A67" s="23" t="s">
        <v>240</v>
      </c>
      <c r="B67" s="81">
        <v>6000023870</v>
      </c>
      <c r="C67" s="25" t="s">
        <v>241</v>
      </c>
      <c r="D67" s="25" t="s">
        <v>242</v>
      </c>
      <c r="E67" s="25">
        <v>30</v>
      </c>
      <c r="F67" s="25">
        <v>130</v>
      </c>
      <c r="G67" s="26">
        <f t="shared" si="0"/>
        <v>3900</v>
      </c>
      <c r="H67" s="27" t="s">
        <v>27</v>
      </c>
      <c r="I67" s="28" t="s">
        <v>813</v>
      </c>
      <c r="J67" s="29">
        <v>130</v>
      </c>
      <c r="K67" s="29">
        <v>1</v>
      </c>
      <c r="L67" s="56" t="s">
        <v>880</v>
      </c>
      <c r="M67" s="31">
        <v>3900</v>
      </c>
      <c r="N67" s="31">
        <v>39</v>
      </c>
      <c r="O67" s="31" t="s">
        <v>887</v>
      </c>
      <c r="P67" s="32" t="s">
        <v>28</v>
      </c>
      <c r="Q67" s="33" t="s">
        <v>938</v>
      </c>
      <c r="R67" s="33" t="s">
        <v>939</v>
      </c>
      <c r="S67" s="29">
        <v>130</v>
      </c>
      <c r="T67" s="31" t="s">
        <v>794</v>
      </c>
      <c r="U67" s="31" t="s">
        <v>940</v>
      </c>
      <c r="V67" s="31" t="s">
        <v>941</v>
      </c>
      <c r="W67" s="50" t="s">
        <v>920</v>
      </c>
      <c r="X67" s="34">
        <v>130</v>
      </c>
      <c r="Y67" s="34">
        <v>3900</v>
      </c>
      <c r="Z67" s="34" t="s">
        <v>826</v>
      </c>
      <c r="AA67" s="34">
        <f t="shared" si="1"/>
        <v>0</v>
      </c>
      <c r="AB67" s="34">
        <f t="shared" si="2"/>
        <v>0</v>
      </c>
      <c r="AC67" s="25" t="s">
        <v>36</v>
      </c>
      <c r="AD67" s="25"/>
      <c r="AE67" s="25"/>
      <c r="AF67" s="25"/>
      <c r="AG67" s="25"/>
      <c r="AH67" s="35"/>
    </row>
    <row r="68" spans="1:34" ht="31.2">
      <c r="A68" s="23" t="s">
        <v>240</v>
      </c>
      <c r="B68" s="81">
        <v>6000023870</v>
      </c>
      <c r="C68" s="25" t="s">
        <v>241</v>
      </c>
      <c r="D68" s="25" t="s">
        <v>242</v>
      </c>
      <c r="E68" s="25">
        <v>30</v>
      </c>
      <c r="F68" s="25">
        <v>220</v>
      </c>
      <c r="G68" s="26">
        <f t="shared" si="0"/>
        <v>6600</v>
      </c>
      <c r="H68" s="27" t="s">
        <v>46</v>
      </c>
      <c r="I68" s="28" t="s">
        <v>813</v>
      </c>
      <c r="J68" s="29">
        <v>220</v>
      </c>
      <c r="K68" s="29">
        <v>2</v>
      </c>
      <c r="L68" s="56" t="s">
        <v>880</v>
      </c>
      <c r="M68" s="31">
        <v>6600</v>
      </c>
      <c r="N68" s="31">
        <v>66</v>
      </c>
      <c r="O68" s="31" t="s">
        <v>874</v>
      </c>
      <c r="P68" s="32" t="s">
        <v>28</v>
      </c>
      <c r="Q68" s="33" t="s">
        <v>938</v>
      </c>
      <c r="R68" s="33" t="s">
        <v>939</v>
      </c>
      <c r="S68" s="29">
        <v>220</v>
      </c>
      <c r="T68" s="31" t="s">
        <v>794</v>
      </c>
      <c r="U68" s="31" t="s">
        <v>940</v>
      </c>
      <c r="V68" s="31" t="s">
        <v>941</v>
      </c>
      <c r="W68" s="50">
        <v>45164</v>
      </c>
      <c r="X68" s="34">
        <v>220</v>
      </c>
      <c r="Y68" s="34">
        <v>6600</v>
      </c>
      <c r="Z68" s="34" t="s">
        <v>800</v>
      </c>
      <c r="AA68" s="34">
        <f t="shared" si="1"/>
        <v>0</v>
      </c>
      <c r="AB68" s="34">
        <f t="shared" si="2"/>
        <v>0</v>
      </c>
      <c r="AC68" s="25" t="s">
        <v>36</v>
      </c>
      <c r="AD68" s="25"/>
      <c r="AE68" s="25"/>
      <c r="AF68" s="25"/>
      <c r="AG68" s="25"/>
      <c r="AH68" s="35"/>
    </row>
    <row r="69" spans="1:34" ht="31.2">
      <c r="A69" s="23" t="s">
        <v>240</v>
      </c>
      <c r="B69" s="81">
        <v>6000023870</v>
      </c>
      <c r="C69" s="25" t="s">
        <v>241</v>
      </c>
      <c r="D69" s="25" t="s">
        <v>242</v>
      </c>
      <c r="E69" s="25">
        <v>30</v>
      </c>
      <c r="F69" s="25">
        <v>50</v>
      </c>
      <c r="G69" s="26">
        <f t="shared" si="0"/>
        <v>1500</v>
      </c>
      <c r="H69" s="27" t="s">
        <v>37</v>
      </c>
      <c r="I69" s="28" t="s">
        <v>813</v>
      </c>
      <c r="J69" s="29">
        <v>50</v>
      </c>
      <c r="K69" s="29">
        <v>2</v>
      </c>
      <c r="L69" s="56" t="s">
        <v>880</v>
      </c>
      <c r="M69" s="31">
        <v>1500</v>
      </c>
      <c r="N69" s="31">
        <v>15</v>
      </c>
      <c r="O69" s="31" t="s">
        <v>887</v>
      </c>
      <c r="P69" s="32" t="s">
        <v>28</v>
      </c>
      <c r="Q69" s="33" t="s">
        <v>938</v>
      </c>
      <c r="R69" s="33" t="s">
        <v>939</v>
      </c>
      <c r="S69" s="29">
        <v>50</v>
      </c>
      <c r="T69" s="31" t="s">
        <v>794</v>
      </c>
      <c r="U69" s="31" t="s">
        <v>940</v>
      </c>
      <c r="V69" s="31" t="s">
        <v>941</v>
      </c>
      <c r="W69" s="50" t="s">
        <v>920</v>
      </c>
      <c r="X69" s="34">
        <v>50</v>
      </c>
      <c r="Y69" s="34">
        <v>1500</v>
      </c>
      <c r="Z69" s="34" t="s">
        <v>826</v>
      </c>
      <c r="AA69" s="34">
        <f t="shared" si="1"/>
        <v>0</v>
      </c>
      <c r="AB69" s="34">
        <f t="shared" si="2"/>
        <v>0</v>
      </c>
      <c r="AC69" s="25" t="s">
        <v>36</v>
      </c>
      <c r="AD69" s="25"/>
      <c r="AE69" s="25"/>
      <c r="AF69" s="25"/>
      <c r="AG69" s="25"/>
      <c r="AH69" s="35"/>
    </row>
    <row r="70" spans="1:34" ht="31.2">
      <c r="A70" s="23" t="s">
        <v>240</v>
      </c>
      <c r="B70" s="81">
        <v>6000023870</v>
      </c>
      <c r="C70" s="25" t="s">
        <v>241</v>
      </c>
      <c r="D70" s="25" t="s">
        <v>244</v>
      </c>
      <c r="E70" s="25">
        <v>0</v>
      </c>
      <c r="F70" s="25">
        <v>10</v>
      </c>
      <c r="G70" s="26">
        <f t="shared" si="0"/>
        <v>0</v>
      </c>
      <c r="H70" s="27" t="s">
        <v>243</v>
      </c>
      <c r="I70" s="28" t="s">
        <v>813</v>
      </c>
      <c r="J70" s="29">
        <v>10</v>
      </c>
      <c r="K70" s="29">
        <v>0</v>
      </c>
      <c r="L70" s="56" t="s">
        <v>880</v>
      </c>
      <c r="M70" s="31">
        <v>30</v>
      </c>
      <c r="N70" s="31">
        <v>0</v>
      </c>
      <c r="O70" s="31" t="s">
        <v>76</v>
      </c>
      <c r="P70" s="32" t="s">
        <v>28</v>
      </c>
      <c r="Q70" s="33" t="s">
        <v>942</v>
      </c>
      <c r="R70" s="33" t="s">
        <v>943</v>
      </c>
      <c r="S70" s="29">
        <v>10</v>
      </c>
      <c r="T70" s="31" t="s">
        <v>794</v>
      </c>
      <c r="U70" s="31" t="s">
        <v>944</v>
      </c>
      <c r="V70" s="31" t="s">
        <v>945</v>
      </c>
      <c r="W70" s="50">
        <v>45169</v>
      </c>
      <c r="X70" s="34">
        <v>10</v>
      </c>
      <c r="Y70" s="34">
        <v>30</v>
      </c>
      <c r="Z70" s="34" t="s">
        <v>826</v>
      </c>
      <c r="AA70" s="34">
        <f t="shared" si="1"/>
        <v>0</v>
      </c>
      <c r="AB70" s="34">
        <f t="shared" si="2"/>
        <v>0</v>
      </c>
      <c r="AC70" s="25" t="s">
        <v>36</v>
      </c>
      <c r="AD70" s="25" t="s">
        <v>76</v>
      </c>
      <c r="AE70" s="25"/>
      <c r="AF70" s="25"/>
      <c r="AG70" s="25"/>
      <c r="AH70" s="35"/>
    </row>
    <row r="71" spans="1:34" ht="31.2">
      <c r="A71" s="23" t="s">
        <v>240</v>
      </c>
      <c r="B71" s="81">
        <v>6000023870</v>
      </c>
      <c r="C71" s="25" t="s">
        <v>241</v>
      </c>
      <c r="D71" s="25" t="s">
        <v>244</v>
      </c>
      <c r="E71" s="25">
        <v>0</v>
      </c>
      <c r="F71" s="25">
        <v>20</v>
      </c>
      <c r="G71" s="26">
        <f t="shared" si="0"/>
        <v>0</v>
      </c>
      <c r="H71" s="27" t="s">
        <v>27</v>
      </c>
      <c r="I71" s="28" t="s">
        <v>813</v>
      </c>
      <c r="J71" s="29">
        <v>20</v>
      </c>
      <c r="K71" s="29">
        <v>0</v>
      </c>
      <c r="L71" s="56" t="s">
        <v>880</v>
      </c>
      <c r="M71" s="31">
        <v>60</v>
      </c>
      <c r="N71" s="31">
        <v>0</v>
      </c>
      <c r="O71" s="31" t="s">
        <v>76</v>
      </c>
      <c r="P71" s="32" t="s">
        <v>28</v>
      </c>
      <c r="Q71" s="33" t="s">
        <v>942</v>
      </c>
      <c r="R71" s="33" t="s">
        <v>943</v>
      </c>
      <c r="S71" s="29">
        <v>20</v>
      </c>
      <c r="T71" s="31" t="s">
        <v>794</v>
      </c>
      <c r="U71" s="31" t="s">
        <v>944</v>
      </c>
      <c r="V71" s="31" t="s">
        <v>945</v>
      </c>
      <c r="W71" s="50">
        <v>45169</v>
      </c>
      <c r="X71" s="34">
        <v>20</v>
      </c>
      <c r="Y71" s="34">
        <v>60</v>
      </c>
      <c r="Z71" s="34" t="s">
        <v>826</v>
      </c>
      <c r="AA71" s="34">
        <f t="shared" si="1"/>
        <v>0</v>
      </c>
      <c r="AB71" s="34">
        <f t="shared" si="2"/>
        <v>0</v>
      </c>
      <c r="AC71" s="25" t="s">
        <v>36</v>
      </c>
      <c r="AD71" s="25" t="s">
        <v>76</v>
      </c>
      <c r="AE71" s="25"/>
      <c r="AF71" s="25"/>
      <c r="AG71" s="25"/>
      <c r="AH71" s="35"/>
    </row>
    <row r="72" spans="1:34" ht="31.2">
      <c r="A72" s="23" t="s">
        <v>240</v>
      </c>
      <c r="B72" s="81">
        <v>6000023870</v>
      </c>
      <c r="C72" s="25" t="s">
        <v>241</v>
      </c>
      <c r="D72" s="25" t="s">
        <v>244</v>
      </c>
      <c r="E72" s="25">
        <v>0</v>
      </c>
      <c r="F72" s="25">
        <v>20</v>
      </c>
      <c r="G72" s="26">
        <f t="shared" si="0"/>
        <v>0</v>
      </c>
      <c r="H72" s="27" t="s">
        <v>46</v>
      </c>
      <c r="I72" s="28" t="s">
        <v>813</v>
      </c>
      <c r="J72" s="29">
        <v>20</v>
      </c>
      <c r="K72" s="29">
        <v>0</v>
      </c>
      <c r="L72" s="56" t="s">
        <v>880</v>
      </c>
      <c r="M72" s="31">
        <v>60</v>
      </c>
      <c r="N72" s="31">
        <v>0</v>
      </c>
      <c r="O72" s="31" t="s">
        <v>76</v>
      </c>
      <c r="P72" s="32" t="s">
        <v>28</v>
      </c>
      <c r="Q72" s="33" t="s">
        <v>942</v>
      </c>
      <c r="R72" s="33" t="s">
        <v>943</v>
      </c>
      <c r="S72" s="29">
        <v>20</v>
      </c>
      <c r="T72" s="31" t="s">
        <v>794</v>
      </c>
      <c r="U72" s="31" t="s">
        <v>944</v>
      </c>
      <c r="V72" s="31" t="s">
        <v>945</v>
      </c>
      <c r="W72" s="50">
        <v>45169</v>
      </c>
      <c r="X72" s="34">
        <v>20</v>
      </c>
      <c r="Y72" s="34">
        <v>60</v>
      </c>
      <c r="Z72" s="34" t="s">
        <v>826</v>
      </c>
      <c r="AA72" s="34">
        <f t="shared" si="1"/>
        <v>0</v>
      </c>
      <c r="AB72" s="34">
        <f t="shared" si="2"/>
        <v>0</v>
      </c>
      <c r="AC72" s="25" t="s">
        <v>36</v>
      </c>
      <c r="AD72" s="25" t="s">
        <v>76</v>
      </c>
      <c r="AE72" s="25"/>
      <c r="AF72" s="25"/>
      <c r="AG72" s="25"/>
      <c r="AH72" s="35"/>
    </row>
    <row r="73" spans="1:34" ht="31.2">
      <c r="A73" s="23" t="s">
        <v>240</v>
      </c>
      <c r="B73" s="81">
        <v>6000023870</v>
      </c>
      <c r="C73" s="25" t="s">
        <v>241</v>
      </c>
      <c r="D73" s="25" t="s">
        <v>244</v>
      </c>
      <c r="E73" s="25">
        <v>0</v>
      </c>
      <c r="F73" s="25">
        <v>10</v>
      </c>
      <c r="G73" s="26">
        <f t="shared" si="0"/>
        <v>0</v>
      </c>
      <c r="H73" s="27" t="s">
        <v>37</v>
      </c>
      <c r="I73" s="28" t="s">
        <v>813</v>
      </c>
      <c r="J73" s="29">
        <v>10</v>
      </c>
      <c r="K73" s="29">
        <v>0</v>
      </c>
      <c r="L73" s="56" t="s">
        <v>880</v>
      </c>
      <c r="M73" s="31">
        <v>20</v>
      </c>
      <c r="N73" s="31">
        <v>0</v>
      </c>
      <c r="O73" s="31" t="s">
        <v>76</v>
      </c>
      <c r="P73" s="32" t="s">
        <v>28</v>
      </c>
      <c r="Q73" s="33" t="s">
        <v>942</v>
      </c>
      <c r="R73" s="33" t="s">
        <v>943</v>
      </c>
      <c r="S73" s="29">
        <v>10</v>
      </c>
      <c r="T73" s="31" t="s">
        <v>794</v>
      </c>
      <c r="U73" s="31" t="s">
        <v>944</v>
      </c>
      <c r="V73" s="31" t="s">
        <v>945</v>
      </c>
      <c r="W73" s="50">
        <v>45169</v>
      </c>
      <c r="X73" s="34">
        <v>10</v>
      </c>
      <c r="Y73" s="34">
        <v>20</v>
      </c>
      <c r="Z73" s="34" t="s">
        <v>826</v>
      </c>
      <c r="AA73" s="34">
        <f t="shared" si="1"/>
        <v>0</v>
      </c>
      <c r="AB73" s="34">
        <f t="shared" si="2"/>
        <v>0</v>
      </c>
      <c r="AC73" s="25" t="s">
        <v>36</v>
      </c>
      <c r="AD73" s="25" t="s">
        <v>76</v>
      </c>
      <c r="AE73" s="25"/>
      <c r="AF73" s="25"/>
      <c r="AG73" s="25"/>
      <c r="AH73" s="35"/>
    </row>
    <row r="74" spans="1:34" ht="62.4">
      <c r="A74" s="23" t="s">
        <v>240</v>
      </c>
      <c r="B74" s="81">
        <v>6000023892</v>
      </c>
      <c r="C74" s="25" t="s">
        <v>245</v>
      </c>
      <c r="D74" s="25" t="s">
        <v>246</v>
      </c>
      <c r="E74" s="25">
        <v>10</v>
      </c>
      <c r="F74" s="25">
        <v>1000</v>
      </c>
      <c r="G74" s="26">
        <f t="shared" ref="G74:G137" si="3">F74*E74</f>
        <v>10000</v>
      </c>
      <c r="H74" s="27" t="s">
        <v>243</v>
      </c>
      <c r="I74" s="28" t="s">
        <v>1462</v>
      </c>
      <c r="J74" s="29">
        <v>1000</v>
      </c>
      <c r="K74" s="29">
        <v>20</v>
      </c>
      <c r="L74" s="56" t="s">
        <v>188</v>
      </c>
      <c r="M74" s="31">
        <v>10000</v>
      </c>
      <c r="N74" s="31">
        <v>100</v>
      </c>
      <c r="O74" s="31" t="s">
        <v>76</v>
      </c>
      <c r="P74" s="32" t="s">
        <v>160</v>
      </c>
      <c r="Q74" s="33" t="s">
        <v>247</v>
      </c>
      <c r="R74" s="33" t="s">
        <v>248</v>
      </c>
      <c r="S74" s="29">
        <v>1000</v>
      </c>
      <c r="T74" s="31" t="s">
        <v>794</v>
      </c>
      <c r="U74" s="31" t="s">
        <v>249</v>
      </c>
      <c r="V74" s="31" t="s">
        <v>250</v>
      </c>
      <c r="W74" s="50" t="s">
        <v>813</v>
      </c>
      <c r="X74" s="34">
        <v>1000</v>
      </c>
      <c r="Y74" s="34">
        <v>10000</v>
      </c>
      <c r="Z74" s="34" t="s">
        <v>817</v>
      </c>
      <c r="AA74" s="34">
        <f t="shared" si="1"/>
        <v>0</v>
      </c>
      <c r="AB74" s="34">
        <f t="shared" si="2"/>
        <v>0</v>
      </c>
      <c r="AC74" s="25" t="s">
        <v>36</v>
      </c>
      <c r="AD74" s="25" t="s">
        <v>76</v>
      </c>
      <c r="AE74" s="25"/>
      <c r="AF74" s="25"/>
      <c r="AG74" s="25"/>
      <c r="AH74" s="35"/>
    </row>
    <row r="75" spans="1:34" ht="31.2">
      <c r="A75" s="23" t="s">
        <v>240</v>
      </c>
      <c r="B75" s="81">
        <v>6000023893</v>
      </c>
      <c r="C75" s="25" t="s">
        <v>245</v>
      </c>
      <c r="D75" s="25" t="s">
        <v>251</v>
      </c>
      <c r="E75" s="25">
        <v>10</v>
      </c>
      <c r="F75" s="25">
        <v>1000</v>
      </c>
      <c r="G75" s="26">
        <f t="shared" si="3"/>
        <v>10000</v>
      </c>
      <c r="H75" s="27" t="s">
        <v>27</v>
      </c>
      <c r="I75" s="28" t="s">
        <v>210</v>
      </c>
      <c r="J75" s="29">
        <v>1000</v>
      </c>
      <c r="K75" s="29">
        <v>25</v>
      </c>
      <c r="L75" s="56" t="s">
        <v>946</v>
      </c>
      <c r="M75" s="31">
        <v>10000</v>
      </c>
      <c r="N75" s="31">
        <v>100</v>
      </c>
      <c r="O75" s="31" t="s">
        <v>949</v>
      </c>
      <c r="P75" s="32" t="s">
        <v>139</v>
      </c>
      <c r="Q75" s="33" t="s">
        <v>252</v>
      </c>
      <c r="R75" s="33" t="s">
        <v>253</v>
      </c>
      <c r="S75" s="29">
        <v>1000</v>
      </c>
      <c r="T75" s="31" t="s">
        <v>794</v>
      </c>
      <c r="U75" s="31" t="s">
        <v>947</v>
      </c>
      <c r="V75" s="31" t="s">
        <v>948</v>
      </c>
      <c r="W75" s="50" t="s">
        <v>1326</v>
      </c>
      <c r="X75" s="34">
        <v>1000</v>
      </c>
      <c r="Y75" s="34">
        <v>10000</v>
      </c>
      <c r="Z75" s="34" t="s">
        <v>950</v>
      </c>
      <c r="AA75" s="34">
        <f t="shared" ref="AA75:AA138" si="4">J75-X75</f>
        <v>0</v>
      </c>
      <c r="AB75" s="34">
        <f t="shared" ref="AB75:AB138" si="5">M75-Y75</f>
        <v>0</v>
      </c>
      <c r="AC75" s="25" t="s">
        <v>36</v>
      </c>
      <c r="AD75" s="25"/>
      <c r="AE75" s="25"/>
      <c r="AF75" s="25"/>
      <c r="AG75" s="25"/>
      <c r="AH75" s="35"/>
    </row>
    <row r="76" spans="1:34" ht="31.2">
      <c r="A76" s="23" t="s">
        <v>254</v>
      </c>
      <c r="B76" s="81">
        <v>6000023778</v>
      </c>
      <c r="C76" s="25" t="s">
        <v>255</v>
      </c>
      <c r="D76" s="25" t="s">
        <v>256</v>
      </c>
      <c r="E76" s="25">
        <v>30</v>
      </c>
      <c r="F76" s="25">
        <v>40</v>
      </c>
      <c r="G76" s="26">
        <f t="shared" si="3"/>
        <v>1200</v>
      </c>
      <c r="H76" s="27" t="s">
        <v>243</v>
      </c>
      <c r="I76" s="28" t="s">
        <v>163</v>
      </c>
      <c r="J76" s="29">
        <v>40</v>
      </c>
      <c r="K76" s="29">
        <v>3</v>
      </c>
      <c r="L76" s="56" t="s">
        <v>163</v>
      </c>
      <c r="M76" s="31">
        <v>1200</v>
      </c>
      <c r="N76" s="31">
        <v>6</v>
      </c>
      <c r="O76" s="31" t="s">
        <v>76</v>
      </c>
      <c r="P76" s="32" t="s">
        <v>160</v>
      </c>
      <c r="Q76" s="33" t="s">
        <v>257</v>
      </c>
      <c r="R76" s="33" t="s">
        <v>258</v>
      </c>
      <c r="S76" s="29">
        <v>40</v>
      </c>
      <c r="T76" s="31" t="s">
        <v>152</v>
      </c>
      <c r="U76" s="31" t="s">
        <v>259</v>
      </c>
      <c r="V76" s="31" t="s">
        <v>260</v>
      </c>
      <c r="W76" s="50" t="s">
        <v>799</v>
      </c>
      <c r="X76" s="34">
        <v>40</v>
      </c>
      <c r="Y76" s="34">
        <v>1200</v>
      </c>
      <c r="Z76" s="34" t="s">
        <v>802</v>
      </c>
      <c r="AA76" s="34">
        <f t="shared" si="4"/>
        <v>0</v>
      </c>
      <c r="AB76" s="34">
        <f t="shared" si="5"/>
        <v>0</v>
      </c>
      <c r="AC76" s="25" t="s">
        <v>36</v>
      </c>
      <c r="AD76" s="25" t="s">
        <v>76</v>
      </c>
      <c r="AE76" s="25"/>
      <c r="AF76" s="25"/>
      <c r="AG76" s="25"/>
      <c r="AH76" s="35"/>
    </row>
    <row r="77" spans="1:34" ht="31.2">
      <c r="A77" s="23" t="s">
        <v>254</v>
      </c>
      <c r="B77" s="81">
        <v>6000023778</v>
      </c>
      <c r="C77" s="25" t="s">
        <v>255</v>
      </c>
      <c r="D77" s="25" t="s">
        <v>256</v>
      </c>
      <c r="E77" s="25">
        <v>30</v>
      </c>
      <c r="F77" s="25">
        <v>210</v>
      </c>
      <c r="G77" s="26">
        <f t="shared" si="3"/>
        <v>6300</v>
      </c>
      <c r="H77" s="27" t="s">
        <v>27</v>
      </c>
      <c r="I77" s="28" t="s">
        <v>261</v>
      </c>
      <c r="J77" s="29">
        <v>210</v>
      </c>
      <c r="K77" s="29">
        <v>10</v>
      </c>
      <c r="L77" s="56" t="s">
        <v>163</v>
      </c>
      <c r="M77" s="31">
        <v>6300</v>
      </c>
      <c r="N77" s="31">
        <v>32</v>
      </c>
      <c r="O77" s="31" t="s">
        <v>76</v>
      </c>
      <c r="P77" s="32" t="s">
        <v>160</v>
      </c>
      <c r="Q77" s="33" t="s">
        <v>257</v>
      </c>
      <c r="R77" s="33" t="s">
        <v>262</v>
      </c>
      <c r="S77" s="29">
        <v>210</v>
      </c>
      <c r="T77" s="31" t="s">
        <v>152</v>
      </c>
      <c r="U77" s="31" t="s">
        <v>259</v>
      </c>
      <c r="V77" s="31" t="s">
        <v>260</v>
      </c>
      <c r="W77" s="50" t="s">
        <v>799</v>
      </c>
      <c r="X77" s="34">
        <v>210</v>
      </c>
      <c r="Y77" s="34">
        <v>6300</v>
      </c>
      <c r="Z77" s="34" t="s">
        <v>801</v>
      </c>
      <c r="AA77" s="34">
        <f t="shared" si="4"/>
        <v>0</v>
      </c>
      <c r="AB77" s="34">
        <f t="shared" si="5"/>
        <v>0</v>
      </c>
      <c r="AC77" s="25" t="s">
        <v>36</v>
      </c>
      <c r="AD77" s="25" t="s">
        <v>76</v>
      </c>
      <c r="AE77" s="25"/>
      <c r="AF77" s="25"/>
      <c r="AG77" s="25"/>
      <c r="AH77" s="35"/>
    </row>
    <row r="78" spans="1:34" ht="31.2">
      <c r="A78" s="23" t="s">
        <v>254</v>
      </c>
      <c r="B78" s="81">
        <v>6000023778</v>
      </c>
      <c r="C78" s="25" t="s">
        <v>255</v>
      </c>
      <c r="D78" s="25" t="s">
        <v>256</v>
      </c>
      <c r="E78" s="25">
        <v>30</v>
      </c>
      <c r="F78" s="25">
        <v>250</v>
      </c>
      <c r="G78" s="26">
        <f t="shared" si="3"/>
        <v>7500</v>
      </c>
      <c r="H78" s="27" t="s">
        <v>46</v>
      </c>
      <c r="I78" s="28" t="s">
        <v>261</v>
      </c>
      <c r="J78" s="29">
        <v>250</v>
      </c>
      <c r="K78" s="29">
        <v>5</v>
      </c>
      <c r="L78" s="56" t="s">
        <v>163</v>
      </c>
      <c r="M78" s="31">
        <v>7500</v>
      </c>
      <c r="N78" s="31">
        <v>38</v>
      </c>
      <c r="O78" s="31" t="s">
        <v>76</v>
      </c>
      <c r="P78" s="32" t="s">
        <v>160</v>
      </c>
      <c r="Q78" s="33" t="s">
        <v>263</v>
      </c>
      <c r="R78" s="33" t="s">
        <v>264</v>
      </c>
      <c r="S78" s="29">
        <v>250</v>
      </c>
      <c r="T78" s="31" t="s">
        <v>152</v>
      </c>
      <c r="U78" s="31" t="s">
        <v>265</v>
      </c>
      <c r="V78" s="31" t="s">
        <v>266</v>
      </c>
      <c r="W78" s="50" t="s">
        <v>69</v>
      </c>
      <c r="X78" s="34">
        <v>250</v>
      </c>
      <c r="Y78" s="34">
        <v>7500</v>
      </c>
      <c r="Z78" s="34" t="s">
        <v>267</v>
      </c>
      <c r="AA78" s="34">
        <f t="shared" si="4"/>
        <v>0</v>
      </c>
      <c r="AB78" s="34">
        <f t="shared" si="5"/>
        <v>0</v>
      </c>
      <c r="AC78" s="25" t="s">
        <v>36</v>
      </c>
      <c r="AD78" s="25" t="s">
        <v>76</v>
      </c>
      <c r="AE78" s="25"/>
      <c r="AF78" s="25"/>
      <c r="AG78" s="25"/>
      <c r="AH78" s="35"/>
    </row>
    <row r="79" spans="1:34" ht="31.2">
      <c r="A79" s="23" t="s">
        <v>254</v>
      </c>
      <c r="B79" s="81">
        <v>6000023778</v>
      </c>
      <c r="C79" s="25" t="s">
        <v>255</v>
      </c>
      <c r="D79" s="25" t="s">
        <v>256</v>
      </c>
      <c r="E79" s="25">
        <v>30</v>
      </c>
      <c r="F79" s="25">
        <v>10</v>
      </c>
      <c r="G79" s="26">
        <f t="shared" si="3"/>
        <v>300</v>
      </c>
      <c r="H79" s="27" t="s">
        <v>46</v>
      </c>
      <c r="I79" s="28" t="s">
        <v>163</v>
      </c>
      <c r="J79" s="29">
        <v>10</v>
      </c>
      <c r="K79" s="29">
        <v>1</v>
      </c>
      <c r="L79" s="56" t="s">
        <v>163</v>
      </c>
      <c r="M79" s="31">
        <v>300</v>
      </c>
      <c r="N79" s="31">
        <v>2</v>
      </c>
      <c r="O79" s="31" t="s">
        <v>76</v>
      </c>
      <c r="P79" s="32" t="s">
        <v>160</v>
      </c>
      <c r="Q79" s="33" t="s">
        <v>263</v>
      </c>
      <c r="R79" s="33" t="s">
        <v>268</v>
      </c>
      <c r="S79" s="29">
        <v>10</v>
      </c>
      <c r="T79" s="31" t="s">
        <v>152</v>
      </c>
      <c r="U79" s="31" t="s">
        <v>265</v>
      </c>
      <c r="V79" s="31" t="s">
        <v>266</v>
      </c>
      <c r="W79" s="50">
        <v>45146</v>
      </c>
      <c r="X79" s="34">
        <v>10</v>
      </c>
      <c r="Y79" s="34">
        <v>300</v>
      </c>
      <c r="Z79" s="34" t="s">
        <v>800</v>
      </c>
      <c r="AA79" s="34">
        <f t="shared" si="4"/>
        <v>0</v>
      </c>
      <c r="AB79" s="34">
        <f t="shared" si="5"/>
        <v>0</v>
      </c>
      <c r="AC79" s="25" t="s">
        <v>36</v>
      </c>
      <c r="AD79" s="25" t="s">
        <v>76</v>
      </c>
      <c r="AE79" s="25"/>
      <c r="AF79" s="25"/>
      <c r="AG79" s="25"/>
      <c r="AH79" s="35"/>
    </row>
    <row r="80" spans="1:34" ht="31.2">
      <c r="A80" s="23" t="s">
        <v>254</v>
      </c>
      <c r="B80" s="81">
        <v>6000023778</v>
      </c>
      <c r="C80" s="25" t="s">
        <v>255</v>
      </c>
      <c r="D80" s="25" t="s">
        <v>269</v>
      </c>
      <c r="E80" s="25">
        <v>30</v>
      </c>
      <c r="F80" s="25">
        <v>40</v>
      </c>
      <c r="G80" s="26">
        <f t="shared" si="3"/>
        <v>1200</v>
      </c>
      <c r="H80" s="27" t="s">
        <v>37</v>
      </c>
      <c r="I80" s="28" t="s">
        <v>163</v>
      </c>
      <c r="J80" s="29">
        <v>40</v>
      </c>
      <c r="K80" s="29">
        <v>3</v>
      </c>
      <c r="L80" s="56" t="s">
        <v>163</v>
      </c>
      <c r="M80" s="31">
        <v>1200</v>
      </c>
      <c r="N80" s="31">
        <v>6</v>
      </c>
      <c r="O80" s="31" t="s">
        <v>76</v>
      </c>
      <c r="P80" s="32" t="s">
        <v>160</v>
      </c>
      <c r="Q80" s="33" t="s">
        <v>263</v>
      </c>
      <c r="R80" s="33" t="s">
        <v>268</v>
      </c>
      <c r="S80" s="29">
        <v>40</v>
      </c>
      <c r="T80" s="31" t="s">
        <v>152</v>
      </c>
      <c r="U80" s="31" t="s">
        <v>265</v>
      </c>
      <c r="V80" s="31" t="s">
        <v>266</v>
      </c>
      <c r="W80" s="50">
        <v>45150</v>
      </c>
      <c r="X80" s="34">
        <v>40</v>
      </c>
      <c r="Y80" s="34">
        <v>1200</v>
      </c>
      <c r="Z80" s="34" t="s">
        <v>338</v>
      </c>
      <c r="AA80" s="34">
        <f t="shared" si="4"/>
        <v>0</v>
      </c>
      <c r="AB80" s="34">
        <f t="shared" si="5"/>
        <v>0</v>
      </c>
      <c r="AC80" s="25" t="s">
        <v>36</v>
      </c>
      <c r="AD80" s="25" t="s">
        <v>76</v>
      </c>
      <c r="AE80" s="25"/>
      <c r="AF80" s="25"/>
      <c r="AG80" s="25"/>
      <c r="AH80" s="35"/>
    </row>
    <row r="81" spans="1:34" ht="31.2">
      <c r="A81" s="23" t="s">
        <v>254</v>
      </c>
      <c r="B81" s="81">
        <v>6000023778</v>
      </c>
      <c r="C81" s="25" t="s">
        <v>255</v>
      </c>
      <c r="D81" s="25" t="s">
        <v>244</v>
      </c>
      <c r="E81" s="25">
        <v>2</v>
      </c>
      <c r="F81" s="25">
        <v>5</v>
      </c>
      <c r="G81" s="26">
        <f t="shared" si="3"/>
        <v>10</v>
      </c>
      <c r="H81" s="27" t="s">
        <v>243</v>
      </c>
      <c r="I81" s="28" t="s">
        <v>163</v>
      </c>
      <c r="J81" s="29">
        <v>5</v>
      </c>
      <c r="K81" s="29">
        <v>0</v>
      </c>
      <c r="L81" s="56" t="s">
        <v>163</v>
      </c>
      <c r="M81" s="31">
        <v>10</v>
      </c>
      <c r="N81" s="31">
        <v>1</v>
      </c>
      <c r="O81" s="31" t="s">
        <v>76</v>
      </c>
      <c r="P81" s="32" t="s">
        <v>160</v>
      </c>
      <c r="Q81" s="33" t="s">
        <v>270</v>
      </c>
      <c r="R81" s="33" t="s">
        <v>271</v>
      </c>
      <c r="S81" s="29">
        <v>5</v>
      </c>
      <c r="T81" s="31" t="s">
        <v>152</v>
      </c>
      <c r="U81" s="31" t="s">
        <v>272</v>
      </c>
      <c r="V81" s="31" t="s">
        <v>273</v>
      </c>
      <c r="W81" s="50">
        <v>45160</v>
      </c>
      <c r="X81" s="34">
        <v>5</v>
      </c>
      <c r="Y81" s="34">
        <v>10</v>
      </c>
      <c r="Z81" s="34" t="s">
        <v>76</v>
      </c>
      <c r="AA81" s="34">
        <f t="shared" si="4"/>
        <v>0</v>
      </c>
      <c r="AB81" s="34">
        <f t="shared" si="5"/>
        <v>0</v>
      </c>
      <c r="AC81" s="25" t="s">
        <v>36</v>
      </c>
      <c r="AD81" s="25" t="s">
        <v>76</v>
      </c>
      <c r="AE81" s="25"/>
      <c r="AF81" s="25"/>
      <c r="AG81" s="25"/>
      <c r="AH81" s="35"/>
    </row>
    <row r="82" spans="1:34" ht="31.2">
      <c r="A82" s="23" t="s">
        <v>254</v>
      </c>
      <c r="B82" s="81">
        <v>6000023778</v>
      </c>
      <c r="C82" s="25" t="s">
        <v>255</v>
      </c>
      <c r="D82" s="25" t="s">
        <v>244</v>
      </c>
      <c r="E82" s="25">
        <v>2</v>
      </c>
      <c r="F82" s="25">
        <v>5</v>
      </c>
      <c r="G82" s="26">
        <f t="shared" si="3"/>
        <v>10</v>
      </c>
      <c r="H82" s="27" t="s">
        <v>27</v>
      </c>
      <c r="I82" s="28" t="s">
        <v>163</v>
      </c>
      <c r="J82" s="29">
        <v>5</v>
      </c>
      <c r="K82" s="29">
        <v>0</v>
      </c>
      <c r="L82" s="56" t="s">
        <v>163</v>
      </c>
      <c r="M82" s="31">
        <v>10</v>
      </c>
      <c r="N82" s="31">
        <v>1</v>
      </c>
      <c r="O82" s="31" t="s">
        <v>76</v>
      </c>
      <c r="P82" s="32" t="s">
        <v>160</v>
      </c>
      <c r="Q82" s="33" t="s">
        <v>270</v>
      </c>
      <c r="R82" s="33" t="s">
        <v>76</v>
      </c>
      <c r="S82" s="29">
        <v>5</v>
      </c>
      <c r="T82" s="31" t="s">
        <v>152</v>
      </c>
      <c r="U82" s="31" t="s">
        <v>272</v>
      </c>
      <c r="V82" s="31" t="s">
        <v>273</v>
      </c>
      <c r="W82" s="50">
        <v>45160</v>
      </c>
      <c r="X82" s="34">
        <v>5</v>
      </c>
      <c r="Y82" s="34">
        <v>10</v>
      </c>
      <c r="Z82" s="34" t="s">
        <v>76</v>
      </c>
      <c r="AA82" s="34">
        <f t="shared" si="4"/>
        <v>0</v>
      </c>
      <c r="AB82" s="34">
        <f t="shared" si="5"/>
        <v>0</v>
      </c>
      <c r="AC82" s="25" t="s">
        <v>36</v>
      </c>
      <c r="AD82" s="25" t="s">
        <v>76</v>
      </c>
      <c r="AE82" s="25"/>
      <c r="AF82" s="25"/>
      <c r="AG82" s="25"/>
      <c r="AH82" s="35"/>
    </row>
    <row r="83" spans="1:34" ht="31.2">
      <c r="A83" s="23" t="s">
        <v>254</v>
      </c>
      <c r="B83" s="81">
        <v>6000023778</v>
      </c>
      <c r="C83" s="25" t="s">
        <v>255</v>
      </c>
      <c r="D83" s="25" t="s">
        <v>244</v>
      </c>
      <c r="E83" s="25">
        <v>2</v>
      </c>
      <c r="F83" s="25">
        <v>5</v>
      </c>
      <c r="G83" s="26">
        <f t="shared" si="3"/>
        <v>10</v>
      </c>
      <c r="H83" s="27" t="s">
        <v>46</v>
      </c>
      <c r="I83" s="28" t="s">
        <v>163</v>
      </c>
      <c r="J83" s="29">
        <v>5</v>
      </c>
      <c r="K83" s="29">
        <v>0</v>
      </c>
      <c r="L83" s="56" t="s">
        <v>163</v>
      </c>
      <c r="M83" s="31">
        <v>10</v>
      </c>
      <c r="N83" s="31">
        <v>1</v>
      </c>
      <c r="O83" s="31" t="s">
        <v>76</v>
      </c>
      <c r="P83" s="32" t="s">
        <v>160</v>
      </c>
      <c r="Q83" s="33" t="s">
        <v>274</v>
      </c>
      <c r="R83" s="33" t="s">
        <v>275</v>
      </c>
      <c r="S83" s="29">
        <v>5</v>
      </c>
      <c r="T83" s="31" t="s">
        <v>152</v>
      </c>
      <c r="U83" s="31" t="s">
        <v>276</v>
      </c>
      <c r="V83" s="31" t="s">
        <v>277</v>
      </c>
      <c r="W83" s="50">
        <v>45160</v>
      </c>
      <c r="X83" s="34">
        <v>5</v>
      </c>
      <c r="Y83" s="34">
        <v>10</v>
      </c>
      <c r="Z83" s="34" t="s">
        <v>76</v>
      </c>
      <c r="AA83" s="34">
        <f t="shared" si="4"/>
        <v>0</v>
      </c>
      <c r="AB83" s="34">
        <f t="shared" si="5"/>
        <v>0</v>
      </c>
      <c r="AC83" s="25" t="s">
        <v>36</v>
      </c>
      <c r="AD83" s="25" t="s">
        <v>76</v>
      </c>
      <c r="AE83" s="25"/>
      <c r="AF83" s="25"/>
      <c r="AG83" s="25"/>
      <c r="AH83" s="35"/>
    </row>
    <row r="84" spans="1:34" ht="31.2">
      <c r="A84" s="23" t="s">
        <v>254</v>
      </c>
      <c r="B84" s="81">
        <v>6000023778</v>
      </c>
      <c r="C84" s="25" t="s">
        <v>255</v>
      </c>
      <c r="D84" s="25" t="s">
        <v>244</v>
      </c>
      <c r="E84" s="25">
        <v>2</v>
      </c>
      <c r="F84" s="25">
        <v>5</v>
      </c>
      <c r="G84" s="26">
        <f t="shared" si="3"/>
        <v>10</v>
      </c>
      <c r="H84" s="27" t="s">
        <v>37</v>
      </c>
      <c r="I84" s="28" t="s">
        <v>163</v>
      </c>
      <c r="J84" s="29">
        <v>5</v>
      </c>
      <c r="K84" s="29">
        <v>0</v>
      </c>
      <c r="L84" s="56" t="s">
        <v>163</v>
      </c>
      <c r="M84" s="31">
        <v>10</v>
      </c>
      <c r="N84" s="31">
        <v>1</v>
      </c>
      <c r="O84" s="31" t="s">
        <v>76</v>
      </c>
      <c r="P84" s="32" t="s">
        <v>160</v>
      </c>
      <c r="Q84" s="33" t="s">
        <v>274</v>
      </c>
      <c r="R84" s="33" t="s">
        <v>275</v>
      </c>
      <c r="S84" s="29">
        <v>5</v>
      </c>
      <c r="T84" s="31" t="s">
        <v>152</v>
      </c>
      <c r="U84" s="31" t="s">
        <v>276</v>
      </c>
      <c r="V84" s="31" t="s">
        <v>278</v>
      </c>
      <c r="W84" s="50">
        <v>45160</v>
      </c>
      <c r="X84" s="34">
        <v>5</v>
      </c>
      <c r="Y84" s="34">
        <v>10</v>
      </c>
      <c r="Z84" s="34" t="s">
        <v>76</v>
      </c>
      <c r="AA84" s="34">
        <f t="shared" si="4"/>
        <v>0</v>
      </c>
      <c r="AB84" s="34">
        <f t="shared" si="5"/>
        <v>0</v>
      </c>
      <c r="AC84" s="25" t="s">
        <v>36</v>
      </c>
      <c r="AD84" s="25" t="s">
        <v>76</v>
      </c>
      <c r="AE84" s="25"/>
      <c r="AF84" s="25"/>
      <c r="AG84" s="25"/>
      <c r="AH84" s="35"/>
    </row>
    <row r="85" spans="1:34" ht="62.4">
      <c r="A85" s="23" t="s">
        <v>279</v>
      </c>
      <c r="B85" s="81">
        <v>6000022160</v>
      </c>
      <c r="C85" s="25" t="s">
        <v>280</v>
      </c>
      <c r="D85" s="25" t="s">
        <v>281</v>
      </c>
      <c r="E85" s="25">
        <v>10</v>
      </c>
      <c r="F85" s="25">
        <v>2520</v>
      </c>
      <c r="G85" s="26">
        <f t="shared" si="3"/>
        <v>25200</v>
      </c>
      <c r="H85" s="27" t="s">
        <v>46</v>
      </c>
      <c r="I85" s="28" t="s">
        <v>282</v>
      </c>
      <c r="J85" s="29">
        <v>2520</v>
      </c>
      <c r="K85" s="29">
        <v>39</v>
      </c>
      <c r="L85" s="56" t="s">
        <v>799</v>
      </c>
      <c r="M85" s="31">
        <v>25200</v>
      </c>
      <c r="N85" s="31">
        <v>277</v>
      </c>
      <c r="O85" s="31" t="s">
        <v>76</v>
      </c>
      <c r="P85" s="32" t="s">
        <v>28</v>
      </c>
      <c r="Q85" s="33" t="s">
        <v>283</v>
      </c>
      <c r="R85" s="33" t="s">
        <v>284</v>
      </c>
      <c r="S85" s="29">
        <v>2520</v>
      </c>
      <c r="T85" s="31" t="s">
        <v>87</v>
      </c>
      <c r="U85" s="31" t="s">
        <v>951</v>
      </c>
      <c r="V85" s="31" t="s">
        <v>952</v>
      </c>
      <c r="W85" s="50" t="s">
        <v>1376</v>
      </c>
      <c r="X85" s="34">
        <f>1250+400+870</f>
        <v>2520</v>
      </c>
      <c r="Y85" s="34">
        <f>12500+4000+8700</f>
        <v>25200</v>
      </c>
      <c r="Z85" s="34" t="s">
        <v>1377</v>
      </c>
      <c r="AA85" s="34">
        <f t="shared" si="4"/>
        <v>0</v>
      </c>
      <c r="AB85" s="34">
        <f t="shared" si="5"/>
        <v>0</v>
      </c>
      <c r="AC85" s="25" t="s">
        <v>285</v>
      </c>
      <c r="AD85" s="25" t="s">
        <v>76</v>
      </c>
      <c r="AE85" s="25"/>
      <c r="AF85" s="25"/>
      <c r="AG85" s="25"/>
      <c r="AH85" s="35"/>
    </row>
    <row r="86" spans="1:34" ht="31.2">
      <c r="A86" s="23" t="s">
        <v>286</v>
      </c>
      <c r="B86" s="81">
        <v>6000022962</v>
      </c>
      <c r="C86" s="25" t="s">
        <v>287</v>
      </c>
      <c r="D86" s="25">
        <v>309101471</v>
      </c>
      <c r="E86" s="25">
        <v>8</v>
      </c>
      <c r="F86" s="25">
        <v>300</v>
      </c>
      <c r="G86" s="26">
        <f t="shared" si="3"/>
        <v>2400</v>
      </c>
      <c r="H86" s="27" t="s">
        <v>27</v>
      </c>
      <c r="I86" s="28" t="s">
        <v>180</v>
      </c>
      <c r="J86" s="29">
        <v>300</v>
      </c>
      <c r="K86" s="29">
        <v>5</v>
      </c>
      <c r="L86" s="56" t="s">
        <v>76</v>
      </c>
      <c r="M86" s="31">
        <v>0</v>
      </c>
      <c r="N86" s="31">
        <v>0</v>
      </c>
      <c r="O86" s="31" t="s">
        <v>76</v>
      </c>
      <c r="P86" s="32" t="s">
        <v>160</v>
      </c>
      <c r="Q86" s="33" t="s">
        <v>288</v>
      </c>
      <c r="R86" s="33" t="s">
        <v>289</v>
      </c>
      <c r="S86" s="29">
        <v>300</v>
      </c>
      <c r="T86" s="31" t="s">
        <v>76</v>
      </c>
      <c r="U86" s="31" t="s">
        <v>76</v>
      </c>
      <c r="V86" s="31" t="s">
        <v>76</v>
      </c>
      <c r="W86" s="50">
        <v>45141</v>
      </c>
      <c r="X86" s="34">
        <v>300</v>
      </c>
      <c r="Y86" s="34">
        <v>0</v>
      </c>
      <c r="Z86" s="34" t="s">
        <v>760</v>
      </c>
      <c r="AA86" s="34">
        <f t="shared" si="4"/>
        <v>0</v>
      </c>
      <c r="AB86" s="34">
        <f t="shared" si="5"/>
        <v>0</v>
      </c>
      <c r="AC86" s="25" t="s">
        <v>36</v>
      </c>
      <c r="AD86" s="25" t="s">
        <v>76</v>
      </c>
      <c r="AE86" s="25"/>
      <c r="AF86" s="25"/>
      <c r="AG86" s="25"/>
      <c r="AH86" s="35"/>
    </row>
    <row r="87" spans="1:34" ht="31.2">
      <c r="A87" s="23" t="s">
        <v>286</v>
      </c>
      <c r="B87" s="81">
        <v>6000022962</v>
      </c>
      <c r="C87" s="25" t="s">
        <v>287</v>
      </c>
      <c r="D87" s="25">
        <v>309101472</v>
      </c>
      <c r="E87" s="25">
        <v>8</v>
      </c>
      <c r="F87" s="25">
        <v>625</v>
      </c>
      <c r="G87" s="26">
        <f t="shared" si="3"/>
        <v>5000</v>
      </c>
      <c r="H87" s="27" t="s">
        <v>46</v>
      </c>
      <c r="I87" s="28" t="s">
        <v>180</v>
      </c>
      <c r="J87" s="29">
        <v>625</v>
      </c>
      <c r="K87" s="29">
        <v>9</v>
      </c>
      <c r="L87" s="56" t="s">
        <v>76</v>
      </c>
      <c r="M87" s="31">
        <v>0</v>
      </c>
      <c r="N87" s="31">
        <v>0</v>
      </c>
      <c r="O87" s="31" t="s">
        <v>76</v>
      </c>
      <c r="P87" s="32" t="s">
        <v>160</v>
      </c>
      <c r="Q87" s="33" t="s">
        <v>290</v>
      </c>
      <c r="R87" s="33" t="s">
        <v>291</v>
      </c>
      <c r="S87" s="29">
        <v>625</v>
      </c>
      <c r="T87" s="31" t="s">
        <v>76</v>
      </c>
      <c r="U87" s="31" t="s">
        <v>76</v>
      </c>
      <c r="V87" s="31" t="s">
        <v>76</v>
      </c>
      <c r="W87" s="50">
        <v>45141</v>
      </c>
      <c r="X87" s="34">
        <v>625</v>
      </c>
      <c r="Y87" s="34">
        <v>0</v>
      </c>
      <c r="Z87" s="34" t="s">
        <v>760</v>
      </c>
      <c r="AA87" s="34">
        <f t="shared" si="4"/>
        <v>0</v>
      </c>
      <c r="AB87" s="34">
        <f t="shared" si="5"/>
        <v>0</v>
      </c>
      <c r="AC87" s="25" t="s">
        <v>36</v>
      </c>
      <c r="AD87" s="25" t="s">
        <v>76</v>
      </c>
      <c r="AE87" s="25"/>
      <c r="AF87" s="25"/>
      <c r="AG87" s="25"/>
      <c r="AH87" s="35"/>
    </row>
    <row r="88" spans="1:34" ht="31.2">
      <c r="A88" s="23" t="s">
        <v>286</v>
      </c>
      <c r="B88" s="81">
        <v>6000022962</v>
      </c>
      <c r="C88" s="25" t="s">
        <v>287</v>
      </c>
      <c r="D88" s="25">
        <v>309101473</v>
      </c>
      <c r="E88" s="25">
        <v>8</v>
      </c>
      <c r="F88" s="25">
        <v>375</v>
      </c>
      <c r="G88" s="26">
        <f t="shared" si="3"/>
        <v>3000</v>
      </c>
      <c r="H88" s="27" t="s">
        <v>37</v>
      </c>
      <c r="I88" s="28" t="s">
        <v>180</v>
      </c>
      <c r="J88" s="29">
        <v>375</v>
      </c>
      <c r="K88" s="29">
        <v>5</v>
      </c>
      <c r="L88" s="56" t="s">
        <v>76</v>
      </c>
      <c r="M88" s="31">
        <v>0</v>
      </c>
      <c r="N88" s="31">
        <v>0</v>
      </c>
      <c r="O88" s="31" t="s">
        <v>76</v>
      </c>
      <c r="P88" s="32" t="s">
        <v>160</v>
      </c>
      <c r="Q88" s="33" t="s">
        <v>292</v>
      </c>
      <c r="R88" s="33" t="s">
        <v>293</v>
      </c>
      <c r="S88" s="29">
        <v>375</v>
      </c>
      <c r="T88" s="31" t="s">
        <v>76</v>
      </c>
      <c r="U88" s="31" t="s">
        <v>76</v>
      </c>
      <c r="V88" s="31" t="s">
        <v>76</v>
      </c>
      <c r="W88" s="50">
        <v>45141</v>
      </c>
      <c r="X88" s="34">
        <v>375</v>
      </c>
      <c r="Y88" s="34">
        <v>0</v>
      </c>
      <c r="Z88" s="34" t="s">
        <v>760</v>
      </c>
      <c r="AA88" s="34">
        <f t="shared" si="4"/>
        <v>0</v>
      </c>
      <c r="AB88" s="34">
        <f t="shared" si="5"/>
        <v>0</v>
      </c>
      <c r="AC88" s="25" t="s">
        <v>36</v>
      </c>
      <c r="AD88" s="25" t="s">
        <v>76</v>
      </c>
      <c r="AE88" s="25"/>
      <c r="AF88" s="25"/>
      <c r="AG88" s="25"/>
      <c r="AH88" s="35"/>
    </row>
    <row r="89" spans="1:34" ht="31.2">
      <c r="A89" s="23" t="s">
        <v>286</v>
      </c>
      <c r="B89" s="81">
        <v>6000022962</v>
      </c>
      <c r="C89" s="25" t="s">
        <v>287</v>
      </c>
      <c r="D89" s="25">
        <v>309101474</v>
      </c>
      <c r="E89" s="25">
        <v>8</v>
      </c>
      <c r="F89" s="25">
        <v>100</v>
      </c>
      <c r="G89" s="26">
        <f t="shared" si="3"/>
        <v>800</v>
      </c>
      <c r="H89" s="27" t="s">
        <v>146</v>
      </c>
      <c r="I89" s="28" t="s">
        <v>180</v>
      </c>
      <c r="J89" s="29">
        <v>100</v>
      </c>
      <c r="K89" s="29">
        <v>3</v>
      </c>
      <c r="L89" s="56" t="s">
        <v>76</v>
      </c>
      <c r="M89" s="31">
        <v>0</v>
      </c>
      <c r="N89" s="31">
        <v>0</v>
      </c>
      <c r="O89" s="31" t="s">
        <v>76</v>
      </c>
      <c r="P89" s="32" t="s">
        <v>160</v>
      </c>
      <c r="Q89" s="33" t="s">
        <v>294</v>
      </c>
      <c r="R89" s="33" t="s">
        <v>295</v>
      </c>
      <c r="S89" s="29">
        <v>100</v>
      </c>
      <c r="T89" s="31" t="s">
        <v>76</v>
      </c>
      <c r="U89" s="31" t="s">
        <v>76</v>
      </c>
      <c r="V89" s="31" t="s">
        <v>76</v>
      </c>
      <c r="W89" s="50">
        <v>45141</v>
      </c>
      <c r="X89" s="34">
        <v>100</v>
      </c>
      <c r="Y89" s="34">
        <v>0</v>
      </c>
      <c r="Z89" s="34" t="s">
        <v>760</v>
      </c>
      <c r="AA89" s="34">
        <f t="shared" si="4"/>
        <v>0</v>
      </c>
      <c r="AB89" s="34">
        <f t="shared" si="5"/>
        <v>0</v>
      </c>
      <c r="AC89" s="25" t="s">
        <v>36</v>
      </c>
      <c r="AD89" s="25" t="s">
        <v>76</v>
      </c>
      <c r="AE89" s="25"/>
      <c r="AF89" s="25"/>
      <c r="AG89" s="25"/>
      <c r="AH89" s="35"/>
    </row>
    <row r="90" spans="1:34" ht="15.6">
      <c r="A90" s="23" t="s">
        <v>296</v>
      </c>
      <c r="B90" s="81">
        <v>6000024024</v>
      </c>
      <c r="C90" s="25" t="s">
        <v>297</v>
      </c>
      <c r="D90" s="25" t="s">
        <v>298</v>
      </c>
      <c r="E90" s="25">
        <v>10</v>
      </c>
      <c r="F90" s="25">
        <v>1840</v>
      </c>
      <c r="G90" s="26">
        <f t="shared" si="3"/>
        <v>18400</v>
      </c>
      <c r="H90" s="27" t="s">
        <v>46</v>
      </c>
      <c r="I90" s="28" t="s">
        <v>167</v>
      </c>
      <c r="J90" s="29">
        <v>1840</v>
      </c>
      <c r="K90" s="29">
        <v>9</v>
      </c>
      <c r="L90" s="56" t="s">
        <v>167</v>
      </c>
      <c r="M90" s="31">
        <v>18400</v>
      </c>
      <c r="N90" s="31">
        <v>92</v>
      </c>
      <c r="O90" s="31" t="s">
        <v>76</v>
      </c>
      <c r="P90" s="32" t="s">
        <v>28</v>
      </c>
      <c r="Q90" s="33" t="s">
        <v>299</v>
      </c>
      <c r="R90" s="33" t="s">
        <v>300</v>
      </c>
      <c r="S90" s="29">
        <v>1840</v>
      </c>
      <c r="T90" s="31" t="s">
        <v>152</v>
      </c>
      <c r="U90" s="31" t="s">
        <v>301</v>
      </c>
      <c r="V90" s="31" t="s">
        <v>302</v>
      </c>
      <c r="W90" s="50" t="s">
        <v>799</v>
      </c>
      <c r="X90" s="34">
        <v>1840</v>
      </c>
      <c r="Y90" s="34">
        <v>18400</v>
      </c>
      <c r="Z90" s="34" t="s">
        <v>267</v>
      </c>
      <c r="AA90" s="34">
        <f t="shared" si="4"/>
        <v>0</v>
      </c>
      <c r="AB90" s="34">
        <f t="shared" si="5"/>
        <v>0</v>
      </c>
      <c r="AC90" s="25" t="s">
        <v>36</v>
      </c>
      <c r="AD90" s="25" t="s">
        <v>76</v>
      </c>
      <c r="AE90" s="25"/>
      <c r="AF90" s="25"/>
      <c r="AG90" s="25"/>
      <c r="AH90" s="35"/>
    </row>
    <row r="91" spans="1:34" ht="15.6">
      <c r="A91" s="23" t="s">
        <v>296</v>
      </c>
      <c r="B91" s="81">
        <v>6000024025</v>
      </c>
      <c r="C91" s="25" t="s">
        <v>297</v>
      </c>
      <c r="D91" s="25" t="s">
        <v>303</v>
      </c>
      <c r="E91" s="25">
        <v>10</v>
      </c>
      <c r="F91" s="25">
        <v>1840</v>
      </c>
      <c r="G91" s="26">
        <f t="shared" si="3"/>
        <v>18400</v>
      </c>
      <c r="H91" s="27" t="s">
        <v>46</v>
      </c>
      <c r="I91" s="28" t="s">
        <v>167</v>
      </c>
      <c r="J91" s="29">
        <v>1840</v>
      </c>
      <c r="K91" s="29">
        <v>14</v>
      </c>
      <c r="L91" s="56" t="s">
        <v>167</v>
      </c>
      <c r="M91" s="31">
        <v>18400</v>
      </c>
      <c r="N91" s="31">
        <v>92</v>
      </c>
      <c r="O91" s="31" t="s">
        <v>76</v>
      </c>
      <c r="P91" s="32" t="s">
        <v>28</v>
      </c>
      <c r="Q91" s="33" t="s">
        <v>304</v>
      </c>
      <c r="R91" s="33" t="s">
        <v>305</v>
      </c>
      <c r="S91" s="29">
        <v>1840</v>
      </c>
      <c r="T91" s="31" t="s">
        <v>152</v>
      </c>
      <c r="U91" s="31" t="s">
        <v>306</v>
      </c>
      <c r="V91" s="31" t="s">
        <v>307</v>
      </c>
      <c r="W91" s="50">
        <v>45142</v>
      </c>
      <c r="X91" s="34">
        <v>1840</v>
      </c>
      <c r="Y91" s="34">
        <v>18400</v>
      </c>
      <c r="Z91" s="34" t="s">
        <v>267</v>
      </c>
      <c r="AA91" s="34">
        <f t="shared" si="4"/>
        <v>0</v>
      </c>
      <c r="AB91" s="34">
        <f t="shared" si="5"/>
        <v>0</v>
      </c>
      <c r="AC91" s="25" t="s">
        <v>36</v>
      </c>
      <c r="AD91" s="25" t="s">
        <v>76</v>
      </c>
      <c r="AE91" s="25"/>
      <c r="AF91" s="25"/>
      <c r="AG91" s="25"/>
      <c r="AH91" s="35"/>
    </row>
    <row r="92" spans="1:34" ht="31.2">
      <c r="A92" s="23" t="s">
        <v>296</v>
      </c>
      <c r="B92" s="81">
        <v>6000024026</v>
      </c>
      <c r="C92" s="25" t="s">
        <v>297</v>
      </c>
      <c r="D92" s="25" t="s">
        <v>308</v>
      </c>
      <c r="E92" s="25">
        <v>10</v>
      </c>
      <c r="F92" s="25">
        <v>100</v>
      </c>
      <c r="G92" s="26">
        <f t="shared" si="3"/>
        <v>1000</v>
      </c>
      <c r="H92" s="27" t="s">
        <v>243</v>
      </c>
      <c r="I92" s="28" t="s">
        <v>42</v>
      </c>
      <c r="J92" s="29">
        <v>100</v>
      </c>
      <c r="K92" s="29">
        <v>2</v>
      </c>
      <c r="L92" s="56" t="s">
        <v>186</v>
      </c>
      <c r="M92" s="31">
        <v>1000</v>
      </c>
      <c r="N92" s="31">
        <v>5</v>
      </c>
      <c r="O92" s="31" t="s">
        <v>76</v>
      </c>
      <c r="P92" s="32" t="s">
        <v>28</v>
      </c>
      <c r="Q92" s="33" t="s">
        <v>309</v>
      </c>
      <c r="R92" s="33" t="s">
        <v>310</v>
      </c>
      <c r="S92" s="29">
        <v>100</v>
      </c>
      <c r="T92" s="31" t="s">
        <v>152</v>
      </c>
      <c r="U92" s="31" t="s">
        <v>311</v>
      </c>
      <c r="V92" s="31" t="s">
        <v>312</v>
      </c>
      <c r="W92" s="50">
        <v>45150</v>
      </c>
      <c r="X92" s="34">
        <v>100</v>
      </c>
      <c r="Y92" s="34">
        <v>1000</v>
      </c>
      <c r="Z92" s="34" t="s">
        <v>802</v>
      </c>
      <c r="AA92" s="34">
        <f t="shared" si="4"/>
        <v>0</v>
      </c>
      <c r="AB92" s="34">
        <f t="shared" si="5"/>
        <v>0</v>
      </c>
      <c r="AC92" s="25" t="s">
        <v>36</v>
      </c>
      <c r="AD92" s="25" t="s">
        <v>76</v>
      </c>
      <c r="AE92" s="25"/>
      <c r="AF92" s="25"/>
      <c r="AG92" s="25"/>
      <c r="AH92" s="35"/>
    </row>
    <row r="93" spans="1:34" ht="31.2">
      <c r="A93" s="23" t="s">
        <v>296</v>
      </c>
      <c r="B93" s="81">
        <v>6000024026</v>
      </c>
      <c r="C93" s="25" t="s">
        <v>297</v>
      </c>
      <c r="D93" s="25" t="s">
        <v>308</v>
      </c>
      <c r="E93" s="25">
        <v>10</v>
      </c>
      <c r="F93" s="25">
        <v>540</v>
      </c>
      <c r="G93" s="26">
        <f t="shared" si="3"/>
        <v>5400</v>
      </c>
      <c r="H93" s="27" t="s">
        <v>27</v>
      </c>
      <c r="I93" s="28" t="s">
        <v>42</v>
      </c>
      <c r="J93" s="29">
        <v>540</v>
      </c>
      <c r="K93" s="29">
        <v>5</v>
      </c>
      <c r="L93" s="56" t="s">
        <v>186</v>
      </c>
      <c r="M93" s="31">
        <v>5400</v>
      </c>
      <c r="N93" s="31">
        <v>27</v>
      </c>
      <c r="O93" s="31" t="s">
        <v>76</v>
      </c>
      <c r="P93" s="32" t="s">
        <v>28</v>
      </c>
      <c r="Q93" s="33" t="s">
        <v>309</v>
      </c>
      <c r="R93" s="33" t="s">
        <v>310</v>
      </c>
      <c r="S93" s="29">
        <v>540</v>
      </c>
      <c r="T93" s="31" t="s">
        <v>152</v>
      </c>
      <c r="U93" s="31" t="s">
        <v>311</v>
      </c>
      <c r="V93" s="31" t="s">
        <v>312</v>
      </c>
      <c r="W93" s="50">
        <v>45150</v>
      </c>
      <c r="X93" s="34">
        <v>540</v>
      </c>
      <c r="Y93" s="34">
        <v>5400</v>
      </c>
      <c r="Z93" s="34" t="s">
        <v>801</v>
      </c>
      <c r="AA93" s="34">
        <f t="shared" si="4"/>
        <v>0</v>
      </c>
      <c r="AB93" s="34">
        <f t="shared" si="5"/>
        <v>0</v>
      </c>
      <c r="AC93" s="25" t="s">
        <v>36</v>
      </c>
      <c r="AD93" s="25" t="s">
        <v>76</v>
      </c>
      <c r="AE93" s="25"/>
      <c r="AF93" s="25"/>
      <c r="AG93" s="25"/>
      <c r="AH93" s="35"/>
    </row>
    <row r="94" spans="1:34" ht="31.2">
      <c r="A94" s="23" t="s">
        <v>296</v>
      </c>
      <c r="B94" s="81">
        <v>6000024026</v>
      </c>
      <c r="C94" s="25" t="s">
        <v>297</v>
      </c>
      <c r="D94" s="25" t="s">
        <v>308</v>
      </c>
      <c r="E94" s="25">
        <v>10</v>
      </c>
      <c r="F94" s="25">
        <v>840</v>
      </c>
      <c r="G94" s="26">
        <f t="shared" si="3"/>
        <v>8400</v>
      </c>
      <c r="H94" s="27" t="s">
        <v>46</v>
      </c>
      <c r="I94" s="28" t="s">
        <v>313</v>
      </c>
      <c r="J94" s="29">
        <v>840</v>
      </c>
      <c r="K94" s="29">
        <v>10</v>
      </c>
      <c r="L94" s="56" t="s">
        <v>167</v>
      </c>
      <c r="M94" s="31">
        <v>8400</v>
      </c>
      <c r="N94" s="31">
        <v>42</v>
      </c>
      <c r="O94" s="31" t="s">
        <v>76</v>
      </c>
      <c r="P94" s="32" t="s">
        <v>28</v>
      </c>
      <c r="Q94" s="33" t="s">
        <v>309</v>
      </c>
      <c r="R94" s="33" t="s">
        <v>314</v>
      </c>
      <c r="S94" s="29">
        <v>840</v>
      </c>
      <c r="T94" s="31" t="s">
        <v>152</v>
      </c>
      <c r="U94" s="31" t="s">
        <v>311</v>
      </c>
      <c r="V94" s="31" t="s">
        <v>315</v>
      </c>
      <c r="W94" s="50" t="s">
        <v>753</v>
      </c>
      <c r="X94" s="34">
        <v>840</v>
      </c>
      <c r="Y94" s="34">
        <v>8400</v>
      </c>
      <c r="Z94" s="34" t="s">
        <v>267</v>
      </c>
      <c r="AA94" s="34">
        <f t="shared" si="4"/>
        <v>0</v>
      </c>
      <c r="AB94" s="34">
        <f t="shared" si="5"/>
        <v>0</v>
      </c>
      <c r="AC94" s="25" t="s">
        <v>36</v>
      </c>
      <c r="AD94" s="25" t="s">
        <v>76</v>
      </c>
      <c r="AE94" s="25"/>
      <c r="AF94" s="25"/>
      <c r="AG94" s="25"/>
      <c r="AH94" s="35"/>
    </row>
    <row r="95" spans="1:34" ht="31.2">
      <c r="A95" s="23" t="s">
        <v>296</v>
      </c>
      <c r="B95" s="81">
        <v>6000024026</v>
      </c>
      <c r="C95" s="25" t="s">
        <v>297</v>
      </c>
      <c r="D95" s="25" t="s">
        <v>308</v>
      </c>
      <c r="E95" s="25">
        <v>10</v>
      </c>
      <c r="F95" s="25">
        <v>360</v>
      </c>
      <c r="G95" s="26">
        <f t="shared" si="3"/>
        <v>3600</v>
      </c>
      <c r="H95" s="27" t="s">
        <v>37</v>
      </c>
      <c r="I95" s="28" t="s">
        <v>313</v>
      </c>
      <c r="J95" s="29">
        <v>360</v>
      </c>
      <c r="K95" s="29">
        <v>4</v>
      </c>
      <c r="L95" s="56" t="s">
        <v>167</v>
      </c>
      <c r="M95" s="31">
        <v>3600</v>
      </c>
      <c r="N95" s="31">
        <v>18</v>
      </c>
      <c r="O95" s="31" t="s">
        <v>76</v>
      </c>
      <c r="P95" s="32" t="s">
        <v>28</v>
      </c>
      <c r="Q95" s="33" t="s">
        <v>309</v>
      </c>
      <c r="R95" s="33" t="s">
        <v>314</v>
      </c>
      <c r="S95" s="29">
        <v>360</v>
      </c>
      <c r="T95" s="31" t="s">
        <v>152</v>
      </c>
      <c r="U95" s="31" t="s">
        <v>311</v>
      </c>
      <c r="V95" s="31" t="s">
        <v>315</v>
      </c>
      <c r="W95" s="50">
        <v>45148</v>
      </c>
      <c r="X95" s="34">
        <v>360</v>
      </c>
      <c r="Y95" s="34">
        <v>3600</v>
      </c>
      <c r="Z95" s="34" t="s">
        <v>800</v>
      </c>
      <c r="AA95" s="34">
        <f t="shared" si="4"/>
        <v>0</v>
      </c>
      <c r="AB95" s="34">
        <f t="shared" si="5"/>
        <v>0</v>
      </c>
      <c r="AC95" s="25" t="s">
        <v>36</v>
      </c>
      <c r="AD95" s="25" t="s">
        <v>76</v>
      </c>
      <c r="AE95" s="25"/>
      <c r="AF95" s="25"/>
      <c r="AG95" s="25"/>
      <c r="AH95" s="35"/>
    </row>
    <row r="96" spans="1:34" ht="31.2">
      <c r="A96" s="23" t="s">
        <v>316</v>
      </c>
      <c r="B96" s="81">
        <v>6000024053</v>
      </c>
      <c r="C96" s="25" t="s">
        <v>317</v>
      </c>
      <c r="D96" s="25" t="s">
        <v>318</v>
      </c>
      <c r="E96" s="25">
        <v>10</v>
      </c>
      <c r="F96" s="25">
        <v>672</v>
      </c>
      <c r="G96" s="26">
        <f t="shared" si="3"/>
        <v>6720</v>
      </c>
      <c r="H96" s="27" t="s">
        <v>27</v>
      </c>
      <c r="I96" s="28" t="s">
        <v>180</v>
      </c>
      <c r="J96" s="29">
        <v>672</v>
      </c>
      <c r="K96" s="29">
        <v>15</v>
      </c>
      <c r="L96" s="56" t="s">
        <v>321</v>
      </c>
      <c r="M96" s="31">
        <v>6720</v>
      </c>
      <c r="N96" s="31">
        <v>34</v>
      </c>
      <c r="O96" s="31" t="s">
        <v>76</v>
      </c>
      <c r="P96" s="32" t="s">
        <v>160</v>
      </c>
      <c r="Q96" s="33" t="s">
        <v>319</v>
      </c>
      <c r="R96" s="33" t="s">
        <v>320</v>
      </c>
      <c r="S96" s="29">
        <v>672</v>
      </c>
      <c r="T96" s="31" t="s">
        <v>152</v>
      </c>
      <c r="U96" s="31" t="s">
        <v>322</v>
      </c>
      <c r="V96" s="31" t="s">
        <v>323</v>
      </c>
      <c r="W96" s="50" t="s">
        <v>851</v>
      </c>
      <c r="X96" s="34">
        <v>672</v>
      </c>
      <c r="Y96" s="34">
        <v>6720</v>
      </c>
      <c r="Z96" s="34" t="s">
        <v>338</v>
      </c>
      <c r="AA96" s="34">
        <f t="shared" si="4"/>
        <v>0</v>
      </c>
      <c r="AB96" s="34">
        <f t="shared" si="5"/>
        <v>0</v>
      </c>
      <c r="AC96" s="25" t="s">
        <v>36</v>
      </c>
      <c r="AD96" s="25" t="s">
        <v>76</v>
      </c>
      <c r="AE96" s="25"/>
      <c r="AF96" s="25"/>
      <c r="AG96" s="25"/>
      <c r="AH96" s="35"/>
    </row>
    <row r="97" spans="1:34" ht="31.2">
      <c r="A97" s="23" t="s">
        <v>316</v>
      </c>
      <c r="B97" s="81">
        <v>6000024053</v>
      </c>
      <c r="C97" s="25" t="s">
        <v>317</v>
      </c>
      <c r="D97" s="25" t="s">
        <v>318</v>
      </c>
      <c r="E97" s="25">
        <v>10</v>
      </c>
      <c r="F97" s="25">
        <v>1680</v>
      </c>
      <c r="G97" s="26">
        <f t="shared" si="3"/>
        <v>16800</v>
      </c>
      <c r="H97" s="27" t="s">
        <v>46</v>
      </c>
      <c r="I97" s="28" t="s">
        <v>180</v>
      </c>
      <c r="J97" s="29">
        <v>1680</v>
      </c>
      <c r="K97" s="29">
        <v>35</v>
      </c>
      <c r="L97" s="56" t="s">
        <v>183</v>
      </c>
      <c r="M97" s="31">
        <v>16800</v>
      </c>
      <c r="N97" s="31">
        <v>84</v>
      </c>
      <c r="O97" s="31" t="s">
        <v>76</v>
      </c>
      <c r="P97" s="32" t="s">
        <v>160</v>
      </c>
      <c r="Q97" s="33" t="s">
        <v>319</v>
      </c>
      <c r="R97" s="33" t="s">
        <v>320</v>
      </c>
      <c r="S97" s="29">
        <v>1680</v>
      </c>
      <c r="T97" s="31" t="s">
        <v>152</v>
      </c>
      <c r="U97" s="31" t="s">
        <v>324</v>
      </c>
      <c r="V97" s="31" t="s">
        <v>325</v>
      </c>
      <c r="W97" s="50" t="s">
        <v>903</v>
      </c>
      <c r="X97" s="34">
        <v>1680</v>
      </c>
      <c r="Y97" s="34">
        <v>16800</v>
      </c>
      <c r="Z97" s="34" t="s">
        <v>800</v>
      </c>
      <c r="AA97" s="34">
        <f t="shared" si="4"/>
        <v>0</v>
      </c>
      <c r="AB97" s="34">
        <f t="shared" si="5"/>
        <v>0</v>
      </c>
      <c r="AC97" s="25" t="s">
        <v>36</v>
      </c>
      <c r="AD97" s="25" t="s">
        <v>76</v>
      </c>
      <c r="AE97" s="25"/>
      <c r="AF97" s="25"/>
      <c r="AG97" s="25"/>
      <c r="AH97" s="35"/>
    </row>
    <row r="98" spans="1:34" ht="31.2">
      <c r="A98" s="23" t="s">
        <v>316</v>
      </c>
      <c r="B98" s="81">
        <v>6000024053</v>
      </c>
      <c r="C98" s="25" t="s">
        <v>317</v>
      </c>
      <c r="D98" s="25" t="s">
        <v>318</v>
      </c>
      <c r="E98" s="25">
        <v>10</v>
      </c>
      <c r="F98" s="25">
        <v>1536</v>
      </c>
      <c r="G98" s="26">
        <f t="shared" si="3"/>
        <v>15360</v>
      </c>
      <c r="H98" s="27" t="s">
        <v>37</v>
      </c>
      <c r="I98" s="28" t="s">
        <v>180</v>
      </c>
      <c r="J98" s="29">
        <v>1536</v>
      </c>
      <c r="K98" s="29">
        <v>34</v>
      </c>
      <c r="L98" s="56" t="s">
        <v>183</v>
      </c>
      <c r="M98" s="31">
        <v>15360</v>
      </c>
      <c r="N98" s="31">
        <v>77</v>
      </c>
      <c r="O98" s="31" t="s">
        <v>76</v>
      </c>
      <c r="P98" s="32" t="s">
        <v>160</v>
      </c>
      <c r="Q98" s="33" t="s">
        <v>326</v>
      </c>
      <c r="R98" s="33" t="s">
        <v>327</v>
      </c>
      <c r="S98" s="29">
        <v>1536</v>
      </c>
      <c r="T98" s="31" t="s">
        <v>152</v>
      </c>
      <c r="U98" s="31" t="s">
        <v>324</v>
      </c>
      <c r="V98" s="31" t="s">
        <v>325</v>
      </c>
      <c r="W98" s="50" t="s">
        <v>920</v>
      </c>
      <c r="X98" s="34">
        <v>1536</v>
      </c>
      <c r="Y98" s="34">
        <v>15360</v>
      </c>
      <c r="Z98" s="34" t="s">
        <v>338</v>
      </c>
      <c r="AA98" s="34">
        <f t="shared" si="4"/>
        <v>0</v>
      </c>
      <c r="AB98" s="34">
        <f t="shared" si="5"/>
        <v>0</v>
      </c>
      <c r="AC98" s="25" t="s">
        <v>36</v>
      </c>
      <c r="AD98" s="25" t="s">
        <v>76</v>
      </c>
      <c r="AE98" s="25"/>
      <c r="AF98" s="25"/>
      <c r="AG98" s="25"/>
      <c r="AH98" s="35"/>
    </row>
    <row r="99" spans="1:34" ht="31.2">
      <c r="A99" s="23" t="s">
        <v>316</v>
      </c>
      <c r="B99" s="81">
        <v>6000024053</v>
      </c>
      <c r="C99" s="25" t="s">
        <v>317</v>
      </c>
      <c r="D99" s="25" t="s">
        <v>318</v>
      </c>
      <c r="E99" s="25">
        <v>10</v>
      </c>
      <c r="F99" s="25">
        <v>112</v>
      </c>
      <c r="G99" s="26">
        <f t="shared" si="3"/>
        <v>1120</v>
      </c>
      <c r="H99" s="27" t="s">
        <v>146</v>
      </c>
      <c r="I99" s="28" t="s">
        <v>180</v>
      </c>
      <c r="J99" s="29">
        <v>112</v>
      </c>
      <c r="K99" s="29">
        <v>6</v>
      </c>
      <c r="L99" s="56" t="s">
        <v>183</v>
      </c>
      <c r="M99" s="31">
        <v>1120</v>
      </c>
      <c r="N99" s="31">
        <v>6</v>
      </c>
      <c r="O99" s="31" t="s">
        <v>76</v>
      </c>
      <c r="P99" s="32" t="s">
        <v>160</v>
      </c>
      <c r="Q99" s="33" t="s">
        <v>328</v>
      </c>
      <c r="R99" s="33" t="s">
        <v>329</v>
      </c>
      <c r="S99" s="29">
        <v>112</v>
      </c>
      <c r="T99" s="31" t="s">
        <v>152</v>
      </c>
      <c r="U99" s="31" t="s">
        <v>330</v>
      </c>
      <c r="V99" s="31" t="s">
        <v>331</v>
      </c>
      <c r="W99" s="50">
        <v>45159</v>
      </c>
      <c r="X99" s="34">
        <v>112</v>
      </c>
      <c r="Y99" s="34">
        <v>1120</v>
      </c>
      <c r="Z99" s="34" t="s">
        <v>800</v>
      </c>
      <c r="AA99" s="34">
        <f t="shared" si="4"/>
        <v>0</v>
      </c>
      <c r="AB99" s="34">
        <f t="shared" si="5"/>
        <v>0</v>
      </c>
      <c r="AC99" s="25" t="s">
        <v>36</v>
      </c>
      <c r="AD99" s="25" t="s">
        <v>76</v>
      </c>
      <c r="AE99" s="25"/>
      <c r="AF99" s="25"/>
      <c r="AG99" s="25"/>
      <c r="AH99" s="35"/>
    </row>
    <row r="100" spans="1:34" ht="31.2">
      <c r="A100" s="23" t="s">
        <v>286</v>
      </c>
      <c r="B100" s="81">
        <v>6000023888</v>
      </c>
      <c r="C100" s="25" t="s">
        <v>332</v>
      </c>
      <c r="D100" s="25">
        <v>309102071</v>
      </c>
      <c r="E100" s="25">
        <v>8</v>
      </c>
      <c r="F100" s="25">
        <v>190</v>
      </c>
      <c r="G100" s="26">
        <f t="shared" si="3"/>
        <v>1520</v>
      </c>
      <c r="H100" s="27" t="s">
        <v>27</v>
      </c>
      <c r="I100" s="28" t="s">
        <v>180</v>
      </c>
      <c r="J100" s="29">
        <v>190</v>
      </c>
      <c r="K100" s="29">
        <v>5</v>
      </c>
      <c r="L100" s="56" t="s">
        <v>335</v>
      </c>
      <c r="M100" s="31">
        <v>1520</v>
      </c>
      <c r="N100" s="31">
        <v>8</v>
      </c>
      <c r="O100" s="31" t="s">
        <v>76</v>
      </c>
      <c r="P100" s="32" t="s">
        <v>160</v>
      </c>
      <c r="Q100" s="33" t="s">
        <v>333</v>
      </c>
      <c r="R100" s="33" t="s">
        <v>334</v>
      </c>
      <c r="S100" s="29">
        <v>190</v>
      </c>
      <c r="T100" s="31" t="s">
        <v>152</v>
      </c>
      <c r="U100" s="31" t="s">
        <v>336</v>
      </c>
      <c r="V100" s="31" t="s">
        <v>337</v>
      </c>
      <c r="W100" s="50" t="s">
        <v>69</v>
      </c>
      <c r="X100" s="34">
        <v>190</v>
      </c>
      <c r="Y100" s="34">
        <v>1520</v>
      </c>
      <c r="Z100" s="34" t="s">
        <v>338</v>
      </c>
      <c r="AA100" s="34">
        <f t="shared" si="4"/>
        <v>0</v>
      </c>
      <c r="AB100" s="34">
        <f t="shared" si="5"/>
        <v>0</v>
      </c>
      <c r="AC100" s="25" t="s">
        <v>36</v>
      </c>
      <c r="AD100" s="25" t="s">
        <v>76</v>
      </c>
      <c r="AE100" s="25"/>
      <c r="AF100" s="25"/>
      <c r="AG100" s="25"/>
      <c r="AH100" s="35"/>
    </row>
    <row r="101" spans="1:34" ht="31.2">
      <c r="A101" s="23" t="s">
        <v>286</v>
      </c>
      <c r="B101" s="81">
        <v>6000023888</v>
      </c>
      <c r="C101" s="25" t="s">
        <v>332</v>
      </c>
      <c r="D101" s="25">
        <v>309102072</v>
      </c>
      <c r="E101" s="25">
        <v>8</v>
      </c>
      <c r="F101" s="25">
        <v>370</v>
      </c>
      <c r="G101" s="26">
        <f t="shared" si="3"/>
        <v>2960</v>
      </c>
      <c r="H101" s="27" t="s">
        <v>46</v>
      </c>
      <c r="I101" s="28" t="s">
        <v>180</v>
      </c>
      <c r="J101" s="29">
        <v>370</v>
      </c>
      <c r="K101" s="29">
        <v>14</v>
      </c>
      <c r="L101" s="56" t="s">
        <v>335</v>
      </c>
      <c r="M101" s="31">
        <v>2960</v>
      </c>
      <c r="N101" s="31">
        <v>15</v>
      </c>
      <c r="O101" s="31" t="s">
        <v>76</v>
      </c>
      <c r="P101" s="32" t="s">
        <v>160</v>
      </c>
      <c r="Q101" s="33" t="s">
        <v>339</v>
      </c>
      <c r="R101" s="33" t="s">
        <v>340</v>
      </c>
      <c r="S101" s="29">
        <v>370</v>
      </c>
      <c r="T101" s="31" t="s">
        <v>152</v>
      </c>
      <c r="U101" s="31" t="s">
        <v>341</v>
      </c>
      <c r="V101" s="31" t="s">
        <v>342</v>
      </c>
      <c r="W101" s="50" t="s">
        <v>69</v>
      </c>
      <c r="X101" s="34">
        <v>370</v>
      </c>
      <c r="Y101" s="34">
        <v>2960</v>
      </c>
      <c r="Z101" s="34" t="s">
        <v>343</v>
      </c>
      <c r="AA101" s="34">
        <f t="shared" si="4"/>
        <v>0</v>
      </c>
      <c r="AB101" s="34">
        <f t="shared" si="5"/>
        <v>0</v>
      </c>
      <c r="AC101" s="25" t="s">
        <v>36</v>
      </c>
      <c r="AD101" s="25" t="s">
        <v>76</v>
      </c>
      <c r="AE101" s="25"/>
      <c r="AF101" s="25"/>
      <c r="AG101" s="25"/>
      <c r="AH101" s="35"/>
    </row>
    <row r="102" spans="1:34" ht="31.2">
      <c r="A102" s="23" t="s">
        <v>286</v>
      </c>
      <c r="B102" s="81">
        <v>6000023888</v>
      </c>
      <c r="C102" s="25" t="s">
        <v>332</v>
      </c>
      <c r="D102" s="25">
        <v>309102073</v>
      </c>
      <c r="E102" s="25">
        <v>8</v>
      </c>
      <c r="F102" s="25">
        <v>270</v>
      </c>
      <c r="G102" s="26">
        <f t="shared" si="3"/>
        <v>2160</v>
      </c>
      <c r="H102" s="27" t="s">
        <v>37</v>
      </c>
      <c r="I102" s="28" t="s">
        <v>180</v>
      </c>
      <c r="J102" s="29">
        <v>270</v>
      </c>
      <c r="K102" s="29">
        <v>9</v>
      </c>
      <c r="L102" s="56" t="s">
        <v>335</v>
      </c>
      <c r="M102" s="31">
        <v>2160</v>
      </c>
      <c r="N102" s="31">
        <v>11</v>
      </c>
      <c r="O102" s="31" t="s">
        <v>76</v>
      </c>
      <c r="P102" s="32" t="s">
        <v>160</v>
      </c>
      <c r="Q102" s="33" t="s">
        <v>344</v>
      </c>
      <c r="R102" s="33" t="s">
        <v>76</v>
      </c>
      <c r="S102" s="29">
        <v>270</v>
      </c>
      <c r="T102" s="31" t="s">
        <v>152</v>
      </c>
      <c r="U102" s="31" t="s">
        <v>345</v>
      </c>
      <c r="V102" s="31" t="s">
        <v>346</v>
      </c>
      <c r="W102" s="50" t="s">
        <v>69</v>
      </c>
      <c r="X102" s="34">
        <v>270</v>
      </c>
      <c r="Y102" s="34">
        <v>2160</v>
      </c>
      <c r="Z102" s="34" t="s">
        <v>338</v>
      </c>
      <c r="AA102" s="34">
        <f t="shared" si="4"/>
        <v>0</v>
      </c>
      <c r="AB102" s="34">
        <f t="shared" si="5"/>
        <v>0</v>
      </c>
      <c r="AC102" s="25" t="s">
        <v>36</v>
      </c>
      <c r="AD102" s="25" t="s">
        <v>76</v>
      </c>
      <c r="AE102" s="25"/>
      <c r="AF102" s="25"/>
      <c r="AG102" s="25"/>
      <c r="AH102" s="35"/>
    </row>
    <row r="103" spans="1:34" ht="46.8">
      <c r="A103" s="23" t="s">
        <v>286</v>
      </c>
      <c r="B103" s="81">
        <v>6000023888</v>
      </c>
      <c r="C103" s="25" t="s">
        <v>332</v>
      </c>
      <c r="D103" s="25">
        <v>309102074</v>
      </c>
      <c r="E103" s="25">
        <v>8</v>
      </c>
      <c r="F103" s="25">
        <v>350</v>
      </c>
      <c r="G103" s="26">
        <f t="shared" si="3"/>
        <v>2800</v>
      </c>
      <c r="H103" s="27" t="s">
        <v>146</v>
      </c>
      <c r="I103" s="28" t="s">
        <v>347</v>
      </c>
      <c r="J103" s="29">
        <v>350</v>
      </c>
      <c r="K103" s="29">
        <v>15</v>
      </c>
      <c r="L103" s="56" t="s">
        <v>335</v>
      </c>
      <c r="M103" s="31">
        <v>2800</v>
      </c>
      <c r="N103" s="31">
        <v>14</v>
      </c>
      <c r="O103" s="31" t="s">
        <v>76</v>
      </c>
      <c r="P103" s="32" t="s">
        <v>160</v>
      </c>
      <c r="Q103" s="33" t="s">
        <v>348</v>
      </c>
      <c r="R103" s="33" t="s">
        <v>349</v>
      </c>
      <c r="S103" s="29">
        <v>350</v>
      </c>
      <c r="T103" s="31" t="s">
        <v>152</v>
      </c>
      <c r="U103" s="31" t="s">
        <v>350</v>
      </c>
      <c r="V103" s="31" t="s">
        <v>351</v>
      </c>
      <c r="W103" s="50" t="s">
        <v>69</v>
      </c>
      <c r="X103" s="34">
        <v>350</v>
      </c>
      <c r="Y103" s="34">
        <v>2800</v>
      </c>
      <c r="Z103" s="34" t="s">
        <v>338</v>
      </c>
      <c r="AA103" s="34">
        <f t="shared" si="4"/>
        <v>0</v>
      </c>
      <c r="AB103" s="34">
        <f t="shared" si="5"/>
        <v>0</v>
      </c>
      <c r="AC103" s="25" t="s">
        <v>36</v>
      </c>
      <c r="AD103" s="25" t="s">
        <v>76</v>
      </c>
      <c r="AE103" s="25"/>
      <c r="AF103" s="25"/>
      <c r="AG103" s="25"/>
      <c r="AH103" s="35"/>
    </row>
    <row r="104" spans="1:34" ht="31.2">
      <c r="A104" s="23" t="s">
        <v>352</v>
      </c>
      <c r="B104" s="81">
        <v>6000023896</v>
      </c>
      <c r="C104" s="25" t="s">
        <v>353</v>
      </c>
      <c r="D104" s="25">
        <v>6000023896</v>
      </c>
      <c r="E104" s="25">
        <v>20</v>
      </c>
      <c r="F104" s="25">
        <v>100</v>
      </c>
      <c r="G104" s="26">
        <f t="shared" si="3"/>
        <v>2000</v>
      </c>
      <c r="H104" s="27" t="s">
        <v>27</v>
      </c>
      <c r="I104" s="28" t="s">
        <v>42</v>
      </c>
      <c r="J104" s="29">
        <v>100</v>
      </c>
      <c r="K104" s="29">
        <v>2</v>
      </c>
      <c r="L104" s="56" t="s">
        <v>69</v>
      </c>
      <c r="M104" s="31">
        <v>2000</v>
      </c>
      <c r="N104" s="31">
        <v>10</v>
      </c>
      <c r="O104" s="31" t="s">
        <v>76</v>
      </c>
      <c r="P104" s="32" t="s">
        <v>28</v>
      </c>
      <c r="Q104" s="33" t="s">
        <v>354</v>
      </c>
      <c r="R104" s="33" t="s">
        <v>355</v>
      </c>
      <c r="S104" s="29">
        <v>100</v>
      </c>
      <c r="T104" s="31" t="s">
        <v>152</v>
      </c>
      <c r="U104" s="31" t="s">
        <v>356</v>
      </c>
      <c r="V104" s="31" t="s">
        <v>357</v>
      </c>
      <c r="W104" s="50">
        <v>45163</v>
      </c>
      <c r="X104" s="34">
        <v>100</v>
      </c>
      <c r="Y104" s="34">
        <v>2000</v>
      </c>
      <c r="Z104" s="34" t="s">
        <v>338</v>
      </c>
      <c r="AA104" s="34">
        <f t="shared" si="4"/>
        <v>0</v>
      </c>
      <c r="AB104" s="34">
        <f t="shared" si="5"/>
        <v>0</v>
      </c>
      <c r="AC104" s="25" t="s">
        <v>36</v>
      </c>
      <c r="AD104" s="25" t="s">
        <v>76</v>
      </c>
      <c r="AE104" s="25"/>
      <c r="AF104" s="25"/>
      <c r="AG104" s="25"/>
      <c r="AH104" s="35"/>
    </row>
    <row r="105" spans="1:34" ht="31.2">
      <c r="A105" s="23" t="s">
        <v>352</v>
      </c>
      <c r="B105" s="81">
        <v>6000023896</v>
      </c>
      <c r="C105" s="25" t="s">
        <v>353</v>
      </c>
      <c r="D105" s="25">
        <v>6000023896</v>
      </c>
      <c r="E105" s="25">
        <v>20</v>
      </c>
      <c r="F105" s="25">
        <v>100</v>
      </c>
      <c r="G105" s="26">
        <f t="shared" si="3"/>
        <v>2000</v>
      </c>
      <c r="H105" s="27" t="s">
        <v>46</v>
      </c>
      <c r="I105" s="28" t="s">
        <v>42</v>
      </c>
      <c r="J105" s="29">
        <v>100</v>
      </c>
      <c r="K105" s="29">
        <v>1</v>
      </c>
      <c r="L105" s="56" t="s">
        <v>69</v>
      </c>
      <c r="M105" s="31">
        <v>2000</v>
      </c>
      <c r="N105" s="31">
        <v>10</v>
      </c>
      <c r="O105" s="31" t="s">
        <v>76</v>
      </c>
      <c r="P105" s="32" t="s">
        <v>28</v>
      </c>
      <c r="Q105" s="33" t="s">
        <v>354</v>
      </c>
      <c r="R105" s="33" t="s">
        <v>355</v>
      </c>
      <c r="S105" s="29">
        <v>100</v>
      </c>
      <c r="T105" s="31" t="s">
        <v>152</v>
      </c>
      <c r="U105" s="31" t="s">
        <v>356</v>
      </c>
      <c r="V105" s="31" t="s">
        <v>357</v>
      </c>
      <c r="W105" s="50">
        <v>45163</v>
      </c>
      <c r="X105" s="34">
        <v>100</v>
      </c>
      <c r="Y105" s="34">
        <v>2000</v>
      </c>
      <c r="Z105" s="34" t="s">
        <v>338</v>
      </c>
      <c r="AA105" s="34">
        <f t="shared" si="4"/>
        <v>0</v>
      </c>
      <c r="AB105" s="34">
        <f t="shared" si="5"/>
        <v>0</v>
      </c>
      <c r="AC105" s="25" t="s">
        <v>36</v>
      </c>
      <c r="AD105" s="25" t="s">
        <v>76</v>
      </c>
      <c r="AE105" s="25"/>
      <c r="AF105" s="25"/>
      <c r="AG105" s="25"/>
      <c r="AH105" s="35"/>
    </row>
    <row r="106" spans="1:34" ht="31.2">
      <c r="A106" s="23" t="s">
        <v>352</v>
      </c>
      <c r="B106" s="81">
        <v>6000023896</v>
      </c>
      <c r="C106" s="25" t="s">
        <v>353</v>
      </c>
      <c r="D106" s="25">
        <v>6000023896</v>
      </c>
      <c r="E106" s="25">
        <v>20</v>
      </c>
      <c r="F106" s="25">
        <v>100</v>
      </c>
      <c r="G106" s="26">
        <f t="shared" si="3"/>
        <v>2000</v>
      </c>
      <c r="H106" s="27" t="s">
        <v>37</v>
      </c>
      <c r="I106" s="28" t="s">
        <v>42</v>
      </c>
      <c r="J106" s="29">
        <v>100</v>
      </c>
      <c r="K106" s="29">
        <v>1</v>
      </c>
      <c r="L106" s="56" t="s">
        <v>69</v>
      </c>
      <c r="M106" s="31">
        <v>2000</v>
      </c>
      <c r="N106" s="31">
        <v>10</v>
      </c>
      <c r="O106" s="31" t="s">
        <v>76</v>
      </c>
      <c r="P106" s="32" t="s">
        <v>28</v>
      </c>
      <c r="Q106" s="33" t="s">
        <v>354</v>
      </c>
      <c r="R106" s="33" t="s">
        <v>355</v>
      </c>
      <c r="S106" s="29">
        <v>100</v>
      </c>
      <c r="T106" s="31" t="s">
        <v>152</v>
      </c>
      <c r="U106" s="31" t="s">
        <v>356</v>
      </c>
      <c r="V106" s="31" t="s">
        <v>357</v>
      </c>
      <c r="W106" s="50">
        <v>45164</v>
      </c>
      <c r="X106" s="34">
        <v>100</v>
      </c>
      <c r="Y106" s="34">
        <v>2000</v>
      </c>
      <c r="Z106" s="34" t="s">
        <v>800</v>
      </c>
      <c r="AA106" s="34">
        <f t="shared" si="4"/>
        <v>0</v>
      </c>
      <c r="AB106" s="34">
        <f t="shared" si="5"/>
        <v>0</v>
      </c>
      <c r="AC106" s="25" t="s">
        <v>36</v>
      </c>
      <c r="AD106" s="25" t="s">
        <v>76</v>
      </c>
      <c r="AE106" s="25"/>
      <c r="AF106" s="25"/>
      <c r="AG106" s="25"/>
      <c r="AH106" s="35"/>
    </row>
    <row r="107" spans="1:34" ht="31.2">
      <c r="A107" s="23" t="s">
        <v>352</v>
      </c>
      <c r="B107" s="81">
        <v>6000023896</v>
      </c>
      <c r="C107" s="25" t="s">
        <v>353</v>
      </c>
      <c r="D107" s="25">
        <v>6000023896</v>
      </c>
      <c r="E107" s="25">
        <v>20</v>
      </c>
      <c r="F107" s="25">
        <v>100</v>
      </c>
      <c r="G107" s="26">
        <f t="shared" si="3"/>
        <v>2000</v>
      </c>
      <c r="H107" s="27" t="s">
        <v>146</v>
      </c>
      <c r="I107" s="28" t="s">
        <v>42</v>
      </c>
      <c r="J107" s="29">
        <v>100</v>
      </c>
      <c r="K107" s="29">
        <v>1</v>
      </c>
      <c r="L107" s="56" t="s">
        <v>69</v>
      </c>
      <c r="M107" s="31">
        <v>2000</v>
      </c>
      <c r="N107" s="31">
        <v>10</v>
      </c>
      <c r="O107" s="31" t="s">
        <v>76</v>
      </c>
      <c r="P107" s="32" t="s">
        <v>28</v>
      </c>
      <c r="Q107" s="33" t="s">
        <v>354</v>
      </c>
      <c r="R107" s="33" t="s">
        <v>355</v>
      </c>
      <c r="S107" s="29">
        <v>100</v>
      </c>
      <c r="T107" s="31" t="s">
        <v>152</v>
      </c>
      <c r="U107" s="31" t="s">
        <v>356</v>
      </c>
      <c r="V107" s="31" t="s">
        <v>357</v>
      </c>
      <c r="W107" s="50">
        <v>45163</v>
      </c>
      <c r="X107" s="34">
        <v>100</v>
      </c>
      <c r="Y107" s="34">
        <v>2000</v>
      </c>
      <c r="Z107" s="34" t="s">
        <v>338</v>
      </c>
      <c r="AA107" s="34">
        <f t="shared" si="4"/>
        <v>0</v>
      </c>
      <c r="AB107" s="34">
        <f t="shared" si="5"/>
        <v>0</v>
      </c>
      <c r="AC107" s="25" t="s">
        <v>36</v>
      </c>
      <c r="AD107" s="25" t="s">
        <v>76</v>
      </c>
      <c r="AE107" s="25"/>
      <c r="AF107" s="25"/>
      <c r="AG107" s="25"/>
      <c r="AH107" s="35"/>
    </row>
    <row r="108" spans="1:34" ht="31.2">
      <c r="A108" s="23" t="s">
        <v>352</v>
      </c>
      <c r="B108" s="81">
        <v>6000023896</v>
      </c>
      <c r="C108" s="25" t="s">
        <v>358</v>
      </c>
      <c r="D108" s="25">
        <v>6000023896</v>
      </c>
      <c r="E108" s="25">
        <v>10</v>
      </c>
      <c r="F108" s="25">
        <v>100</v>
      </c>
      <c r="G108" s="26">
        <f t="shared" si="3"/>
        <v>1000</v>
      </c>
      <c r="H108" s="27" t="s">
        <v>46</v>
      </c>
      <c r="I108" s="28" t="s">
        <v>42</v>
      </c>
      <c r="J108" s="29">
        <v>100</v>
      </c>
      <c r="K108" s="29">
        <v>3</v>
      </c>
      <c r="L108" s="56" t="s">
        <v>69</v>
      </c>
      <c r="M108" s="31">
        <v>1000</v>
      </c>
      <c r="N108" s="31">
        <v>5</v>
      </c>
      <c r="O108" s="31" t="s">
        <v>76</v>
      </c>
      <c r="P108" s="32" t="s">
        <v>28</v>
      </c>
      <c r="Q108" s="33" t="s">
        <v>359</v>
      </c>
      <c r="R108" s="33" t="s">
        <v>360</v>
      </c>
      <c r="S108" s="29">
        <v>100</v>
      </c>
      <c r="T108" s="31" t="s">
        <v>152</v>
      </c>
      <c r="U108" s="31" t="s">
        <v>361</v>
      </c>
      <c r="V108" s="31" t="s">
        <v>362</v>
      </c>
      <c r="W108" s="50">
        <v>45164</v>
      </c>
      <c r="X108" s="34">
        <v>100</v>
      </c>
      <c r="Y108" s="34">
        <v>1000</v>
      </c>
      <c r="Z108" s="34" t="s">
        <v>800</v>
      </c>
      <c r="AA108" s="34">
        <f t="shared" si="4"/>
        <v>0</v>
      </c>
      <c r="AB108" s="34">
        <f t="shared" si="5"/>
        <v>0</v>
      </c>
      <c r="AC108" s="25" t="s">
        <v>36</v>
      </c>
      <c r="AD108" s="25" t="s">
        <v>76</v>
      </c>
      <c r="AE108" s="25"/>
      <c r="AF108" s="25"/>
      <c r="AG108" s="25"/>
      <c r="AH108" s="35"/>
    </row>
    <row r="109" spans="1:34" ht="31.2">
      <c r="A109" s="23" t="s">
        <v>352</v>
      </c>
      <c r="B109" s="81">
        <v>6000023896</v>
      </c>
      <c r="C109" s="25" t="s">
        <v>363</v>
      </c>
      <c r="D109" s="25">
        <v>6000023896</v>
      </c>
      <c r="E109" s="25">
        <v>10</v>
      </c>
      <c r="F109" s="25">
        <v>100</v>
      </c>
      <c r="G109" s="26">
        <f t="shared" si="3"/>
        <v>1000</v>
      </c>
      <c r="H109" s="27" t="s">
        <v>27</v>
      </c>
      <c r="I109" s="28" t="s">
        <v>912</v>
      </c>
      <c r="J109" s="29">
        <v>100</v>
      </c>
      <c r="K109" s="29">
        <v>2</v>
      </c>
      <c r="L109" s="56" t="s">
        <v>912</v>
      </c>
      <c r="M109" s="31">
        <v>1000</v>
      </c>
      <c r="N109" s="31">
        <v>10</v>
      </c>
      <c r="O109" s="31" t="s">
        <v>893</v>
      </c>
      <c r="P109" s="32" t="s">
        <v>28</v>
      </c>
      <c r="Q109" s="33" t="s">
        <v>954</v>
      </c>
      <c r="R109" s="33" t="s">
        <v>955</v>
      </c>
      <c r="S109" s="29">
        <v>100</v>
      </c>
      <c r="T109" s="31" t="s">
        <v>1558</v>
      </c>
      <c r="U109" s="31" t="s">
        <v>956</v>
      </c>
      <c r="V109" s="31" t="s">
        <v>957</v>
      </c>
      <c r="W109" s="50">
        <v>45164</v>
      </c>
      <c r="X109" s="34">
        <v>100</v>
      </c>
      <c r="Y109" s="34">
        <v>1000</v>
      </c>
      <c r="Z109" s="34" t="s">
        <v>800</v>
      </c>
      <c r="AA109" s="34">
        <f t="shared" si="4"/>
        <v>0</v>
      </c>
      <c r="AB109" s="34">
        <f t="shared" si="5"/>
        <v>0</v>
      </c>
      <c r="AC109" s="25" t="s">
        <v>36</v>
      </c>
      <c r="AD109" s="25"/>
      <c r="AE109" s="25" t="e">
        <v>#REF!</v>
      </c>
      <c r="AF109" s="25"/>
      <c r="AG109" s="25"/>
      <c r="AH109" s="35"/>
    </row>
    <row r="110" spans="1:34" ht="31.2">
      <c r="A110" s="23" t="s">
        <v>352</v>
      </c>
      <c r="B110" s="81">
        <v>6000023896</v>
      </c>
      <c r="C110" s="25" t="s">
        <v>364</v>
      </c>
      <c r="D110" s="25">
        <v>6000023896</v>
      </c>
      <c r="E110" s="25">
        <v>10</v>
      </c>
      <c r="F110" s="25">
        <v>100</v>
      </c>
      <c r="G110" s="26">
        <f t="shared" si="3"/>
        <v>1000</v>
      </c>
      <c r="H110" s="27" t="s">
        <v>365</v>
      </c>
      <c r="I110" s="28" t="s">
        <v>912</v>
      </c>
      <c r="J110" s="29">
        <v>100</v>
      </c>
      <c r="K110" s="29">
        <v>2</v>
      </c>
      <c r="L110" s="56" t="s">
        <v>912</v>
      </c>
      <c r="M110" s="31">
        <v>1000</v>
      </c>
      <c r="N110" s="31">
        <v>10</v>
      </c>
      <c r="O110" s="31" t="s">
        <v>888</v>
      </c>
      <c r="P110" s="32" t="s">
        <v>28</v>
      </c>
      <c r="Q110" s="33" t="s">
        <v>958</v>
      </c>
      <c r="R110" s="33" t="s">
        <v>343</v>
      </c>
      <c r="S110" s="29">
        <v>100</v>
      </c>
      <c r="T110" s="31" t="s">
        <v>1558</v>
      </c>
      <c r="U110" s="31" t="s">
        <v>959</v>
      </c>
      <c r="V110" s="31" t="s">
        <v>960</v>
      </c>
      <c r="W110" s="50">
        <v>45164</v>
      </c>
      <c r="X110" s="34">
        <v>100</v>
      </c>
      <c r="Y110" s="34">
        <v>1000</v>
      </c>
      <c r="Z110" s="34" t="s">
        <v>800</v>
      </c>
      <c r="AA110" s="34">
        <f t="shared" si="4"/>
        <v>0</v>
      </c>
      <c r="AB110" s="34">
        <f t="shared" si="5"/>
        <v>0</v>
      </c>
      <c r="AC110" s="25" t="s">
        <v>36</v>
      </c>
      <c r="AD110" s="25"/>
      <c r="AE110" s="25"/>
      <c r="AF110" s="25"/>
      <c r="AG110" s="25"/>
      <c r="AH110" s="35"/>
    </row>
    <row r="111" spans="1:34" ht="31.2">
      <c r="A111" s="23" t="s">
        <v>352</v>
      </c>
      <c r="B111" s="81">
        <v>6000023896</v>
      </c>
      <c r="C111" s="25" t="s">
        <v>366</v>
      </c>
      <c r="D111" s="25">
        <v>6000023896</v>
      </c>
      <c r="E111" s="25">
        <v>10</v>
      </c>
      <c r="F111" s="25">
        <v>100</v>
      </c>
      <c r="G111" s="26">
        <f t="shared" si="3"/>
        <v>1000</v>
      </c>
      <c r="H111" s="27" t="s">
        <v>27</v>
      </c>
      <c r="I111" s="28" t="s">
        <v>42</v>
      </c>
      <c r="J111" s="29">
        <v>100</v>
      </c>
      <c r="K111" s="29">
        <v>6</v>
      </c>
      <c r="L111" s="56" t="s">
        <v>799</v>
      </c>
      <c r="M111" s="31">
        <v>1000</v>
      </c>
      <c r="N111" s="31">
        <v>10</v>
      </c>
      <c r="O111" s="31" t="s">
        <v>812</v>
      </c>
      <c r="P111" s="32" t="s">
        <v>28</v>
      </c>
      <c r="Q111" s="33" t="s">
        <v>367</v>
      </c>
      <c r="R111" s="33" t="s">
        <v>368</v>
      </c>
      <c r="S111" s="29">
        <v>100</v>
      </c>
      <c r="T111" s="31" t="s">
        <v>1558</v>
      </c>
      <c r="U111" s="31" t="s">
        <v>961</v>
      </c>
      <c r="V111" s="31" t="s">
        <v>962</v>
      </c>
      <c r="W111" s="50">
        <v>45164</v>
      </c>
      <c r="X111" s="34">
        <v>100</v>
      </c>
      <c r="Y111" s="34">
        <v>1000</v>
      </c>
      <c r="Z111" s="34" t="s">
        <v>800</v>
      </c>
      <c r="AA111" s="34">
        <f t="shared" si="4"/>
        <v>0</v>
      </c>
      <c r="AB111" s="34">
        <f t="shared" si="5"/>
        <v>0</v>
      </c>
      <c r="AC111" s="25" t="s">
        <v>36</v>
      </c>
      <c r="AD111" s="25"/>
      <c r="AE111" s="25"/>
      <c r="AF111" s="25"/>
      <c r="AG111" s="25"/>
      <c r="AH111" s="35"/>
    </row>
    <row r="112" spans="1:34" ht="31.2">
      <c r="A112" s="23" t="s">
        <v>352</v>
      </c>
      <c r="B112" s="81">
        <v>6000023896</v>
      </c>
      <c r="C112" s="25" t="s">
        <v>366</v>
      </c>
      <c r="D112" s="25">
        <v>6000023896</v>
      </c>
      <c r="E112" s="25">
        <v>10</v>
      </c>
      <c r="F112" s="25">
        <v>100</v>
      </c>
      <c r="G112" s="26">
        <f t="shared" si="3"/>
        <v>1000</v>
      </c>
      <c r="H112" s="27" t="s">
        <v>46</v>
      </c>
      <c r="I112" s="28" t="s">
        <v>42</v>
      </c>
      <c r="J112" s="29">
        <v>100</v>
      </c>
      <c r="K112" s="29">
        <v>4</v>
      </c>
      <c r="L112" s="56" t="s">
        <v>799</v>
      </c>
      <c r="M112" s="31">
        <v>1000</v>
      </c>
      <c r="N112" s="31">
        <v>10</v>
      </c>
      <c r="O112" s="31" t="s">
        <v>812</v>
      </c>
      <c r="P112" s="32" t="s">
        <v>28</v>
      </c>
      <c r="Q112" s="33" t="s">
        <v>367</v>
      </c>
      <c r="R112" s="33" t="s">
        <v>368</v>
      </c>
      <c r="S112" s="29">
        <v>100</v>
      </c>
      <c r="T112" s="31" t="s">
        <v>1558</v>
      </c>
      <c r="U112" s="31" t="s">
        <v>961</v>
      </c>
      <c r="V112" s="31" t="s">
        <v>962</v>
      </c>
      <c r="W112" s="50">
        <v>45164</v>
      </c>
      <c r="X112" s="34">
        <v>100</v>
      </c>
      <c r="Y112" s="34">
        <v>1000</v>
      </c>
      <c r="Z112" s="34" t="s">
        <v>800</v>
      </c>
      <c r="AA112" s="34">
        <f t="shared" si="4"/>
        <v>0</v>
      </c>
      <c r="AB112" s="34">
        <f t="shared" si="5"/>
        <v>0</v>
      </c>
      <c r="AC112" s="25" t="s">
        <v>36</v>
      </c>
      <c r="AD112" s="25"/>
      <c r="AE112" s="25"/>
      <c r="AF112" s="25"/>
      <c r="AG112" s="25"/>
      <c r="AH112" s="35"/>
    </row>
    <row r="113" spans="1:34" ht="31.2">
      <c r="A113" s="23" t="s">
        <v>352</v>
      </c>
      <c r="B113" s="81">
        <v>6000023896</v>
      </c>
      <c r="C113" s="25" t="s">
        <v>369</v>
      </c>
      <c r="D113" s="25">
        <v>6000023896</v>
      </c>
      <c r="E113" s="25">
        <v>10</v>
      </c>
      <c r="F113" s="25">
        <v>100</v>
      </c>
      <c r="G113" s="26">
        <f t="shared" si="3"/>
        <v>1000</v>
      </c>
      <c r="H113" s="27" t="s">
        <v>365</v>
      </c>
      <c r="I113" s="28" t="s">
        <v>42</v>
      </c>
      <c r="J113" s="29">
        <v>100</v>
      </c>
      <c r="K113" s="29">
        <v>3</v>
      </c>
      <c r="L113" s="56" t="s">
        <v>42</v>
      </c>
      <c r="M113" s="31">
        <v>1000</v>
      </c>
      <c r="N113" s="31">
        <v>10</v>
      </c>
      <c r="O113" s="31" t="s">
        <v>76</v>
      </c>
      <c r="P113" s="32" t="s">
        <v>28</v>
      </c>
      <c r="Q113" s="33" t="s">
        <v>370</v>
      </c>
      <c r="R113" s="33" t="s">
        <v>371</v>
      </c>
      <c r="S113" s="29">
        <v>100</v>
      </c>
      <c r="T113" s="31" t="s">
        <v>1558</v>
      </c>
      <c r="U113" s="31" t="s">
        <v>372</v>
      </c>
      <c r="V113" s="31" t="s">
        <v>373</v>
      </c>
      <c r="W113" s="50" t="s">
        <v>1410</v>
      </c>
      <c r="X113" s="34">
        <v>100</v>
      </c>
      <c r="Y113" s="34">
        <v>1000</v>
      </c>
      <c r="Z113" s="34" t="s">
        <v>800</v>
      </c>
      <c r="AA113" s="34">
        <f t="shared" si="4"/>
        <v>0</v>
      </c>
      <c r="AB113" s="34">
        <f t="shared" si="5"/>
        <v>0</v>
      </c>
      <c r="AC113" s="25" t="s">
        <v>36</v>
      </c>
      <c r="AD113" s="25"/>
      <c r="AE113" s="25"/>
      <c r="AF113" s="25"/>
      <c r="AG113" s="25"/>
      <c r="AH113" s="35"/>
    </row>
    <row r="114" spans="1:34" ht="31.2">
      <c r="A114" s="23" t="s">
        <v>352</v>
      </c>
      <c r="B114" s="81">
        <v>6000023897</v>
      </c>
      <c r="C114" s="25" t="s">
        <v>369</v>
      </c>
      <c r="D114" s="25">
        <v>6000023897</v>
      </c>
      <c r="E114" s="25">
        <v>10</v>
      </c>
      <c r="F114" s="25">
        <v>442</v>
      </c>
      <c r="G114" s="26">
        <f t="shared" si="3"/>
        <v>4420</v>
      </c>
      <c r="H114" s="27" t="s">
        <v>46</v>
      </c>
      <c r="I114" s="28" t="s">
        <v>42</v>
      </c>
      <c r="J114" s="29">
        <v>442</v>
      </c>
      <c r="K114" s="29">
        <v>13</v>
      </c>
      <c r="L114" s="56" t="s">
        <v>963</v>
      </c>
      <c r="M114" s="31">
        <v>4420</v>
      </c>
      <c r="N114" s="31">
        <v>52</v>
      </c>
      <c r="O114" s="31" t="s">
        <v>730</v>
      </c>
      <c r="P114" s="32" t="s">
        <v>28</v>
      </c>
      <c r="Q114" s="33" t="s">
        <v>374</v>
      </c>
      <c r="R114" s="33" t="s">
        <v>375</v>
      </c>
      <c r="S114" s="29">
        <v>442</v>
      </c>
      <c r="T114" s="31" t="s">
        <v>1558</v>
      </c>
      <c r="U114" s="31" t="s">
        <v>964</v>
      </c>
      <c r="V114" s="31" t="s">
        <v>965</v>
      </c>
      <c r="W114" s="50">
        <v>45163</v>
      </c>
      <c r="X114" s="34">
        <v>442</v>
      </c>
      <c r="Y114" s="34">
        <v>4420</v>
      </c>
      <c r="Z114" s="34" t="s">
        <v>800</v>
      </c>
      <c r="AA114" s="34">
        <f t="shared" si="4"/>
        <v>0</v>
      </c>
      <c r="AB114" s="34">
        <f t="shared" si="5"/>
        <v>0</v>
      </c>
      <c r="AC114" s="25" t="s">
        <v>36</v>
      </c>
      <c r="AD114" s="25"/>
      <c r="AE114" s="25"/>
      <c r="AF114" s="25"/>
      <c r="AG114" s="25"/>
      <c r="AH114" s="35"/>
    </row>
    <row r="115" spans="1:34" ht="31.2">
      <c r="A115" s="23" t="s">
        <v>352</v>
      </c>
      <c r="B115" s="81">
        <v>6000023897</v>
      </c>
      <c r="C115" s="25" t="s">
        <v>369</v>
      </c>
      <c r="D115" s="25">
        <v>6000023897</v>
      </c>
      <c r="E115" s="25">
        <v>10</v>
      </c>
      <c r="F115" s="25">
        <v>300</v>
      </c>
      <c r="G115" s="26">
        <f t="shared" si="3"/>
        <v>3000</v>
      </c>
      <c r="H115" s="27" t="s">
        <v>37</v>
      </c>
      <c r="I115" s="28" t="s">
        <v>42</v>
      </c>
      <c r="J115" s="29">
        <v>300</v>
      </c>
      <c r="K115" s="29">
        <v>10</v>
      </c>
      <c r="L115" s="56" t="s">
        <v>963</v>
      </c>
      <c r="M115" s="31">
        <v>3000</v>
      </c>
      <c r="N115" s="31">
        <v>38</v>
      </c>
      <c r="O115" s="31" t="s">
        <v>731</v>
      </c>
      <c r="P115" s="32" t="s">
        <v>28</v>
      </c>
      <c r="Q115" s="33" t="s">
        <v>374</v>
      </c>
      <c r="R115" s="33" t="s">
        <v>375</v>
      </c>
      <c r="S115" s="29">
        <v>300</v>
      </c>
      <c r="T115" s="31" t="s">
        <v>1558</v>
      </c>
      <c r="U115" s="31" t="s">
        <v>376</v>
      </c>
      <c r="V115" s="31" t="s">
        <v>965</v>
      </c>
      <c r="W115" s="50">
        <v>45164</v>
      </c>
      <c r="X115" s="34">
        <v>300</v>
      </c>
      <c r="Y115" s="34">
        <v>3000</v>
      </c>
      <c r="Z115" s="34" t="s">
        <v>800</v>
      </c>
      <c r="AA115" s="34">
        <f t="shared" si="4"/>
        <v>0</v>
      </c>
      <c r="AB115" s="34">
        <f t="shared" si="5"/>
        <v>0</v>
      </c>
      <c r="AC115" s="25" t="s">
        <v>36</v>
      </c>
      <c r="AD115" s="25"/>
      <c r="AE115" s="25"/>
      <c r="AF115" s="25"/>
      <c r="AG115" s="25"/>
      <c r="AH115" s="35"/>
    </row>
    <row r="116" spans="1:34" ht="31.2">
      <c r="A116" s="23" t="s">
        <v>352</v>
      </c>
      <c r="B116" s="81">
        <v>6000023897</v>
      </c>
      <c r="C116" s="25" t="s">
        <v>369</v>
      </c>
      <c r="D116" s="25">
        <v>6000023897</v>
      </c>
      <c r="E116" s="25">
        <v>10</v>
      </c>
      <c r="F116" s="25">
        <v>258</v>
      </c>
      <c r="G116" s="26">
        <f t="shared" si="3"/>
        <v>2580</v>
      </c>
      <c r="H116" s="27" t="s">
        <v>146</v>
      </c>
      <c r="I116" s="28" t="s">
        <v>42</v>
      </c>
      <c r="J116" s="29">
        <v>258</v>
      </c>
      <c r="K116" s="29">
        <v>9</v>
      </c>
      <c r="L116" s="56" t="s">
        <v>69</v>
      </c>
      <c r="M116" s="31">
        <v>2580</v>
      </c>
      <c r="N116" s="31">
        <v>34</v>
      </c>
      <c r="O116" s="31" t="s">
        <v>76</v>
      </c>
      <c r="P116" s="32" t="s">
        <v>28</v>
      </c>
      <c r="Q116" s="33" t="s">
        <v>374</v>
      </c>
      <c r="R116" s="33" t="s">
        <v>375</v>
      </c>
      <c r="S116" s="29">
        <v>258</v>
      </c>
      <c r="T116" s="31" t="s">
        <v>1558</v>
      </c>
      <c r="U116" s="31" t="s">
        <v>376</v>
      </c>
      <c r="V116" s="31" t="s">
        <v>377</v>
      </c>
      <c r="W116" s="50">
        <v>45164</v>
      </c>
      <c r="X116" s="34">
        <v>258</v>
      </c>
      <c r="Y116" s="34">
        <v>2580</v>
      </c>
      <c r="Z116" s="34" t="s">
        <v>800</v>
      </c>
      <c r="AA116" s="34">
        <f t="shared" si="4"/>
        <v>0</v>
      </c>
      <c r="AB116" s="34">
        <f t="shared" si="5"/>
        <v>0</v>
      </c>
      <c r="AC116" s="25" t="s">
        <v>36</v>
      </c>
      <c r="AD116" s="25" t="s">
        <v>76</v>
      </c>
      <c r="AE116" s="25"/>
      <c r="AF116" s="25"/>
      <c r="AG116" s="25"/>
      <c r="AH116" s="35"/>
    </row>
    <row r="117" spans="1:34" ht="31.2">
      <c r="A117" s="23" t="s">
        <v>378</v>
      </c>
      <c r="B117" s="81">
        <v>6000023991</v>
      </c>
      <c r="C117" s="25" t="s">
        <v>379</v>
      </c>
      <c r="D117" s="25">
        <v>6000023991</v>
      </c>
      <c r="E117" s="25">
        <v>10</v>
      </c>
      <c r="F117" s="25">
        <v>144</v>
      </c>
      <c r="G117" s="26">
        <f t="shared" si="3"/>
        <v>1440</v>
      </c>
      <c r="H117" s="27" t="s">
        <v>27</v>
      </c>
      <c r="I117" s="28" t="s">
        <v>732</v>
      </c>
      <c r="J117" s="29">
        <v>144</v>
      </c>
      <c r="K117" s="29">
        <v>3</v>
      </c>
      <c r="L117" s="56" t="s">
        <v>380</v>
      </c>
      <c r="M117" s="31">
        <v>1440</v>
      </c>
      <c r="N117" s="31">
        <v>14</v>
      </c>
      <c r="O117" s="31" t="s">
        <v>76</v>
      </c>
      <c r="P117" s="32" t="s">
        <v>752</v>
      </c>
      <c r="Q117" s="33" t="s">
        <v>966</v>
      </c>
      <c r="R117" s="33" t="s">
        <v>967</v>
      </c>
      <c r="S117" s="29">
        <v>144</v>
      </c>
      <c r="T117" s="31" t="s">
        <v>87</v>
      </c>
      <c r="U117" s="31" t="s">
        <v>968</v>
      </c>
      <c r="V117" s="31" t="s">
        <v>969</v>
      </c>
      <c r="W117" s="50">
        <v>45160</v>
      </c>
      <c r="X117" s="34">
        <v>144</v>
      </c>
      <c r="Y117" s="34">
        <v>1440</v>
      </c>
      <c r="Z117" s="34" t="s">
        <v>338</v>
      </c>
      <c r="AA117" s="34">
        <f t="shared" si="4"/>
        <v>0</v>
      </c>
      <c r="AB117" s="34">
        <f t="shared" si="5"/>
        <v>0</v>
      </c>
      <c r="AC117" s="25" t="s">
        <v>36</v>
      </c>
      <c r="AD117" s="25" t="s">
        <v>76</v>
      </c>
      <c r="AE117" s="25"/>
      <c r="AF117" s="25"/>
      <c r="AG117" s="25"/>
      <c r="AH117" s="35"/>
    </row>
    <row r="118" spans="1:34" ht="31.2">
      <c r="A118" s="23" t="s">
        <v>378</v>
      </c>
      <c r="B118" s="81"/>
      <c r="C118" s="25"/>
      <c r="D118" s="25"/>
      <c r="E118" s="25">
        <v>10</v>
      </c>
      <c r="F118" s="25">
        <v>864</v>
      </c>
      <c r="G118" s="26">
        <f t="shared" si="3"/>
        <v>8640</v>
      </c>
      <c r="H118" s="27" t="s">
        <v>46</v>
      </c>
      <c r="I118" s="28" t="s">
        <v>732</v>
      </c>
      <c r="J118" s="29">
        <v>864</v>
      </c>
      <c r="K118" s="29">
        <v>11</v>
      </c>
      <c r="L118" s="56" t="s">
        <v>380</v>
      </c>
      <c r="M118" s="31">
        <v>8640</v>
      </c>
      <c r="N118" s="31">
        <v>86</v>
      </c>
      <c r="O118" s="31" t="s">
        <v>76</v>
      </c>
      <c r="P118" s="32" t="s">
        <v>752</v>
      </c>
      <c r="Q118" s="33" t="s">
        <v>966</v>
      </c>
      <c r="R118" s="33" t="s">
        <v>967</v>
      </c>
      <c r="S118" s="29">
        <v>864</v>
      </c>
      <c r="T118" s="31" t="s">
        <v>87</v>
      </c>
      <c r="U118" s="31" t="s">
        <v>968</v>
      </c>
      <c r="V118" s="31" t="s">
        <v>969</v>
      </c>
      <c r="W118" s="50">
        <v>45160</v>
      </c>
      <c r="X118" s="34">
        <v>864</v>
      </c>
      <c r="Y118" s="34">
        <v>8640</v>
      </c>
      <c r="Z118" s="34" t="s">
        <v>338</v>
      </c>
      <c r="AA118" s="34">
        <f t="shared" si="4"/>
        <v>0</v>
      </c>
      <c r="AB118" s="34">
        <f t="shared" si="5"/>
        <v>0</v>
      </c>
      <c r="AC118" s="25" t="s">
        <v>36</v>
      </c>
      <c r="AD118" s="25" t="s">
        <v>76</v>
      </c>
      <c r="AE118" s="25"/>
      <c r="AF118" s="25"/>
      <c r="AG118" s="25"/>
      <c r="AH118" s="35"/>
    </row>
    <row r="119" spans="1:34" ht="31.2">
      <c r="A119" s="23" t="s">
        <v>378</v>
      </c>
      <c r="B119" s="81"/>
      <c r="C119" s="25"/>
      <c r="D119" s="25"/>
      <c r="E119" s="25">
        <v>10</v>
      </c>
      <c r="F119" s="25">
        <v>864</v>
      </c>
      <c r="G119" s="26">
        <f t="shared" si="3"/>
        <v>8640</v>
      </c>
      <c r="H119" s="27" t="s">
        <v>37</v>
      </c>
      <c r="I119" s="28" t="s">
        <v>732</v>
      </c>
      <c r="J119" s="29">
        <v>864</v>
      </c>
      <c r="K119" s="29">
        <v>11</v>
      </c>
      <c r="L119" s="56" t="s">
        <v>42</v>
      </c>
      <c r="M119" s="31">
        <v>8640</v>
      </c>
      <c r="N119" s="31">
        <v>86</v>
      </c>
      <c r="O119" s="31" t="s">
        <v>76</v>
      </c>
      <c r="P119" s="32" t="s">
        <v>752</v>
      </c>
      <c r="Q119" s="33" t="s">
        <v>966</v>
      </c>
      <c r="R119" s="33" t="s">
        <v>967</v>
      </c>
      <c r="S119" s="29">
        <v>864</v>
      </c>
      <c r="T119" s="31" t="s">
        <v>87</v>
      </c>
      <c r="U119" s="31" t="s">
        <v>970</v>
      </c>
      <c r="V119" s="31" t="s">
        <v>969</v>
      </c>
      <c r="W119" s="50">
        <v>45160</v>
      </c>
      <c r="X119" s="34">
        <v>864</v>
      </c>
      <c r="Y119" s="34">
        <v>8640</v>
      </c>
      <c r="Z119" s="34" t="s">
        <v>338</v>
      </c>
      <c r="AA119" s="34">
        <f t="shared" si="4"/>
        <v>0</v>
      </c>
      <c r="AB119" s="34">
        <f t="shared" si="5"/>
        <v>0</v>
      </c>
      <c r="AC119" s="25" t="s">
        <v>36</v>
      </c>
      <c r="AD119" s="25" t="s">
        <v>76</v>
      </c>
      <c r="AE119" s="25"/>
      <c r="AF119" s="25"/>
      <c r="AG119" s="25"/>
      <c r="AH119" s="35"/>
    </row>
    <row r="120" spans="1:34" ht="31.2">
      <c r="A120" s="23" t="s">
        <v>378</v>
      </c>
      <c r="B120" s="81"/>
      <c r="C120" s="25"/>
      <c r="D120" s="25"/>
      <c r="E120" s="25">
        <v>10</v>
      </c>
      <c r="F120" s="25">
        <v>720</v>
      </c>
      <c r="G120" s="26">
        <f t="shared" si="3"/>
        <v>7200</v>
      </c>
      <c r="H120" s="27" t="s">
        <v>146</v>
      </c>
      <c r="I120" s="28" t="s">
        <v>799</v>
      </c>
      <c r="J120" s="29">
        <v>720</v>
      </c>
      <c r="K120" s="29">
        <v>20</v>
      </c>
      <c r="L120" s="56" t="s">
        <v>42</v>
      </c>
      <c r="M120" s="31">
        <v>7200</v>
      </c>
      <c r="N120" s="31">
        <v>72</v>
      </c>
      <c r="O120" s="31" t="s">
        <v>76</v>
      </c>
      <c r="P120" s="32" t="s">
        <v>811</v>
      </c>
      <c r="Q120" s="33" t="s">
        <v>966</v>
      </c>
      <c r="R120" s="33" t="s">
        <v>967</v>
      </c>
      <c r="S120" s="29">
        <v>720</v>
      </c>
      <c r="T120" s="31" t="s">
        <v>87</v>
      </c>
      <c r="U120" s="31" t="s">
        <v>970</v>
      </c>
      <c r="V120" s="31" t="s">
        <v>969</v>
      </c>
      <c r="W120" s="50">
        <v>45160</v>
      </c>
      <c r="X120" s="34">
        <v>720</v>
      </c>
      <c r="Y120" s="34">
        <v>7200</v>
      </c>
      <c r="Z120" s="34" t="s">
        <v>338</v>
      </c>
      <c r="AA120" s="34">
        <f t="shared" si="4"/>
        <v>0</v>
      </c>
      <c r="AB120" s="34">
        <f t="shared" si="5"/>
        <v>0</v>
      </c>
      <c r="AC120" s="25" t="s">
        <v>36</v>
      </c>
      <c r="AD120" s="25" t="s">
        <v>76</v>
      </c>
      <c r="AE120" s="25"/>
      <c r="AF120" s="25"/>
      <c r="AG120" s="25"/>
      <c r="AH120" s="35"/>
    </row>
    <row r="121" spans="1:34" ht="31.2">
      <c r="A121" s="23" t="s">
        <v>378</v>
      </c>
      <c r="B121" s="81">
        <v>6000023991</v>
      </c>
      <c r="C121" s="25" t="s">
        <v>381</v>
      </c>
      <c r="D121" s="25">
        <v>6000023991</v>
      </c>
      <c r="E121" s="25">
        <v>10</v>
      </c>
      <c r="F121" s="25">
        <v>432</v>
      </c>
      <c r="G121" s="26">
        <f t="shared" si="3"/>
        <v>4320</v>
      </c>
      <c r="H121" s="27" t="s">
        <v>46</v>
      </c>
      <c r="I121" s="28" t="s">
        <v>799</v>
      </c>
      <c r="J121" s="29">
        <v>432</v>
      </c>
      <c r="K121" s="29">
        <v>7</v>
      </c>
      <c r="L121" s="56" t="s">
        <v>313</v>
      </c>
      <c r="M121" s="31">
        <v>4320</v>
      </c>
      <c r="N121" s="31">
        <v>43</v>
      </c>
      <c r="O121" s="31" t="s">
        <v>76</v>
      </c>
      <c r="P121" s="32" t="s">
        <v>811</v>
      </c>
      <c r="Q121" s="33" t="s">
        <v>971</v>
      </c>
      <c r="R121" s="33" t="s">
        <v>972</v>
      </c>
      <c r="S121" s="29">
        <v>432</v>
      </c>
      <c r="T121" s="31" t="s">
        <v>87</v>
      </c>
      <c r="U121" s="31" t="s">
        <v>971</v>
      </c>
      <c r="V121" s="31" t="s">
        <v>973</v>
      </c>
      <c r="W121" s="50">
        <v>45169</v>
      </c>
      <c r="X121" s="34">
        <v>432</v>
      </c>
      <c r="Y121" s="34">
        <v>4320</v>
      </c>
      <c r="Z121" s="34" t="s">
        <v>338</v>
      </c>
      <c r="AA121" s="34">
        <f t="shared" si="4"/>
        <v>0</v>
      </c>
      <c r="AB121" s="34">
        <f t="shared" si="5"/>
        <v>0</v>
      </c>
      <c r="AC121" s="25" t="s">
        <v>36</v>
      </c>
      <c r="AD121" s="25" t="s">
        <v>76</v>
      </c>
      <c r="AE121" s="25"/>
      <c r="AF121" s="25"/>
      <c r="AG121" s="25"/>
      <c r="AH121" s="35"/>
    </row>
    <row r="122" spans="1:34" ht="31.2">
      <c r="A122" s="23" t="s">
        <v>378</v>
      </c>
      <c r="B122" s="81"/>
      <c r="C122" s="25"/>
      <c r="D122" s="25"/>
      <c r="E122" s="25">
        <v>10</v>
      </c>
      <c r="F122" s="25">
        <v>144</v>
      </c>
      <c r="G122" s="26">
        <f t="shared" si="3"/>
        <v>1440</v>
      </c>
      <c r="H122" s="27" t="s">
        <v>37</v>
      </c>
      <c r="I122" s="28" t="s">
        <v>732</v>
      </c>
      <c r="J122" s="29">
        <v>144</v>
      </c>
      <c r="K122" s="29">
        <v>3</v>
      </c>
      <c r="L122" s="56" t="s">
        <v>313</v>
      </c>
      <c r="M122" s="31">
        <v>1440</v>
      </c>
      <c r="N122" s="31">
        <v>14</v>
      </c>
      <c r="O122" s="31" t="s">
        <v>76</v>
      </c>
      <c r="P122" s="32" t="s">
        <v>752</v>
      </c>
      <c r="Q122" s="33" t="s">
        <v>971</v>
      </c>
      <c r="R122" s="33" t="s">
        <v>972</v>
      </c>
      <c r="S122" s="29">
        <v>144</v>
      </c>
      <c r="T122" s="31" t="s">
        <v>87</v>
      </c>
      <c r="U122" s="31" t="s">
        <v>971</v>
      </c>
      <c r="V122" s="31" t="s">
        <v>973</v>
      </c>
      <c r="W122" s="50">
        <v>45170</v>
      </c>
      <c r="X122" s="34">
        <v>144</v>
      </c>
      <c r="Y122" s="34">
        <v>1440</v>
      </c>
      <c r="Z122" s="34" t="s">
        <v>338</v>
      </c>
      <c r="AA122" s="34">
        <f t="shared" si="4"/>
        <v>0</v>
      </c>
      <c r="AB122" s="34">
        <f t="shared" si="5"/>
        <v>0</v>
      </c>
      <c r="AC122" s="25" t="s">
        <v>36</v>
      </c>
      <c r="AD122" s="25" t="s">
        <v>76</v>
      </c>
      <c r="AE122" s="25"/>
      <c r="AF122" s="25"/>
      <c r="AG122" s="25"/>
      <c r="AH122" s="35"/>
    </row>
    <row r="123" spans="1:34" ht="31.2">
      <c r="A123" s="23" t="s">
        <v>378</v>
      </c>
      <c r="B123" s="81"/>
      <c r="C123" s="25"/>
      <c r="D123" s="25"/>
      <c r="E123" s="25">
        <v>10</v>
      </c>
      <c r="F123" s="25">
        <v>360</v>
      </c>
      <c r="G123" s="26">
        <f t="shared" si="3"/>
        <v>3600</v>
      </c>
      <c r="H123" s="27" t="s">
        <v>146</v>
      </c>
      <c r="I123" s="28" t="s">
        <v>799</v>
      </c>
      <c r="J123" s="29">
        <v>360</v>
      </c>
      <c r="K123" s="29">
        <v>5</v>
      </c>
      <c r="L123" s="56" t="s">
        <v>313</v>
      </c>
      <c r="M123" s="31">
        <v>3600</v>
      </c>
      <c r="N123" s="31">
        <v>36</v>
      </c>
      <c r="O123" s="31" t="s">
        <v>76</v>
      </c>
      <c r="P123" s="32" t="s">
        <v>811</v>
      </c>
      <c r="Q123" s="33" t="s">
        <v>971</v>
      </c>
      <c r="R123" s="33" t="s">
        <v>972</v>
      </c>
      <c r="S123" s="29">
        <v>360</v>
      </c>
      <c r="T123" s="31" t="s">
        <v>87</v>
      </c>
      <c r="U123" s="31" t="s">
        <v>971</v>
      </c>
      <c r="V123" s="31" t="s">
        <v>973</v>
      </c>
      <c r="W123" s="50">
        <v>45169</v>
      </c>
      <c r="X123" s="34">
        <v>360</v>
      </c>
      <c r="Y123" s="34">
        <v>3600</v>
      </c>
      <c r="Z123" s="34" t="s">
        <v>338</v>
      </c>
      <c r="AA123" s="34">
        <f t="shared" si="4"/>
        <v>0</v>
      </c>
      <c r="AB123" s="34">
        <f t="shared" si="5"/>
        <v>0</v>
      </c>
      <c r="AC123" s="25" t="s">
        <v>36</v>
      </c>
      <c r="AD123" s="25" t="s">
        <v>76</v>
      </c>
      <c r="AE123" s="25"/>
      <c r="AF123" s="25"/>
      <c r="AG123" s="25"/>
      <c r="AH123" s="35"/>
    </row>
    <row r="124" spans="1:34" ht="31.2">
      <c r="A124" s="23" t="s">
        <v>382</v>
      </c>
      <c r="B124" s="81">
        <v>6000023994</v>
      </c>
      <c r="C124" s="25" t="s">
        <v>383</v>
      </c>
      <c r="D124" s="25" t="s">
        <v>384</v>
      </c>
      <c r="E124" s="25">
        <v>10</v>
      </c>
      <c r="F124" s="25">
        <v>680</v>
      </c>
      <c r="G124" s="26">
        <f t="shared" si="3"/>
        <v>6800</v>
      </c>
      <c r="H124" s="27" t="s">
        <v>243</v>
      </c>
      <c r="I124" s="28" t="s">
        <v>313</v>
      </c>
      <c r="J124" s="29">
        <v>680</v>
      </c>
      <c r="K124" s="29">
        <v>7</v>
      </c>
      <c r="L124" s="56" t="s">
        <v>380</v>
      </c>
      <c r="M124" s="31">
        <v>6800</v>
      </c>
      <c r="N124" s="31">
        <v>34</v>
      </c>
      <c r="O124" s="31" t="s">
        <v>76</v>
      </c>
      <c r="P124" s="32" t="s">
        <v>28</v>
      </c>
      <c r="Q124" s="33" t="s">
        <v>385</v>
      </c>
      <c r="R124" s="33" t="s">
        <v>386</v>
      </c>
      <c r="S124" s="29">
        <v>680</v>
      </c>
      <c r="T124" s="31" t="s">
        <v>152</v>
      </c>
      <c r="U124" s="31" t="s">
        <v>387</v>
      </c>
      <c r="V124" s="31" t="s">
        <v>388</v>
      </c>
      <c r="W124" s="50" t="s">
        <v>851</v>
      </c>
      <c r="X124" s="34">
        <v>680</v>
      </c>
      <c r="Y124" s="34">
        <v>6800</v>
      </c>
      <c r="Z124" s="34" t="s">
        <v>802</v>
      </c>
      <c r="AA124" s="34">
        <f t="shared" si="4"/>
        <v>0</v>
      </c>
      <c r="AB124" s="34">
        <f t="shared" si="5"/>
        <v>0</v>
      </c>
      <c r="AC124" s="25" t="s">
        <v>36</v>
      </c>
      <c r="AD124" s="25" t="s">
        <v>76</v>
      </c>
      <c r="AE124" s="25"/>
      <c r="AF124" s="25"/>
      <c r="AG124" s="25"/>
      <c r="AH124" s="35"/>
    </row>
    <row r="125" spans="1:34" ht="46.8">
      <c r="A125" s="23" t="s">
        <v>382</v>
      </c>
      <c r="B125" s="81">
        <v>6000023994</v>
      </c>
      <c r="C125" s="25" t="s">
        <v>383</v>
      </c>
      <c r="D125" s="25" t="s">
        <v>384</v>
      </c>
      <c r="E125" s="25">
        <v>10</v>
      </c>
      <c r="F125" s="25">
        <v>640</v>
      </c>
      <c r="G125" s="26">
        <f t="shared" si="3"/>
        <v>6400</v>
      </c>
      <c r="H125" s="27" t="s">
        <v>27</v>
      </c>
      <c r="I125" s="28" t="s">
        <v>389</v>
      </c>
      <c r="J125" s="29">
        <v>640</v>
      </c>
      <c r="K125" s="29">
        <v>10</v>
      </c>
      <c r="L125" s="56" t="s">
        <v>391</v>
      </c>
      <c r="M125" s="31">
        <v>6400</v>
      </c>
      <c r="N125" s="31">
        <v>32</v>
      </c>
      <c r="O125" s="31" t="s">
        <v>76</v>
      </c>
      <c r="P125" s="32" t="s">
        <v>28</v>
      </c>
      <c r="Q125" s="33" t="s">
        <v>385</v>
      </c>
      <c r="R125" s="33" t="s">
        <v>390</v>
      </c>
      <c r="S125" s="29">
        <v>640</v>
      </c>
      <c r="T125" s="31" t="s">
        <v>152</v>
      </c>
      <c r="U125" s="31" t="s">
        <v>387</v>
      </c>
      <c r="V125" s="31" t="s">
        <v>392</v>
      </c>
      <c r="W125" s="50" t="s">
        <v>900</v>
      </c>
      <c r="X125" s="34">
        <v>640</v>
      </c>
      <c r="Y125" s="34">
        <v>6400</v>
      </c>
      <c r="Z125" s="34" t="s">
        <v>801</v>
      </c>
      <c r="AA125" s="34">
        <f t="shared" si="4"/>
        <v>0</v>
      </c>
      <c r="AB125" s="34">
        <f t="shared" si="5"/>
        <v>0</v>
      </c>
      <c r="AC125" s="25" t="s">
        <v>36</v>
      </c>
      <c r="AD125" s="25" t="s">
        <v>76</v>
      </c>
      <c r="AE125" s="25"/>
      <c r="AF125" s="25"/>
      <c r="AG125" s="25"/>
      <c r="AH125" s="35"/>
    </row>
    <row r="126" spans="1:34" ht="31.2">
      <c r="A126" s="23" t="s">
        <v>382</v>
      </c>
      <c r="B126" s="81">
        <v>6000023994</v>
      </c>
      <c r="C126" s="25" t="s">
        <v>383</v>
      </c>
      <c r="D126" s="25" t="s">
        <v>384</v>
      </c>
      <c r="E126" s="25">
        <v>10</v>
      </c>
      <c r="F126" s="25">
        <v>160</v>
      </c>
      <c r="G126" s="26">
        <f t="shared" si="3"/>
        <v>1600</v>
      </c>
      <c r="H126" s="27" t="s">
        <v>46</v>
      </c>
      <c r="I126" s="28" t="s">
        <v>42</v>
      </c>
      <c r="J126" s="29">
        <v>160</v>
      </c>
      <c r="K126" s="29">
        <v>2</v>
      </c>
      <c r="L126" s="56" t="s">
        <v>380</v>
      </c>
      <c r="M126" s="31">
        <v>1600</v>
      </c>
      <c r="N126" s="31">
        <v>8</v>
      </c>
      <c r="O126" s="31" t="s">
        <v>76</v>
      </c>
      <c r="P126" s="32" t="s">
        <v>28</v>
      </c>
      <c r="Q126" s="33" t="s">
        <v>385</v>
      </c>
      <c r="R126" s="33" t="s">
        <v>393</v>
      </c>
      <c r="S126" s="29">
        <v>160</v>
      </c>
      <c r="T126" s="31" t="s">
        <v>152</v>
      </c>
      <c r="U126" s="31" t="s">
        <v>387</v>
      </c>
      <c r="V126" s="31" t="s">
        <v>388</v>
      </c>
      <c r="W126" s="50" t="s">
        <v>920</v>
      </c>
      <c r="X126" s="34">
        <v>160</v>
      </c>
      <c r="Y126" s="34">
        <v>1600</v>
      </c>
      <c r="Z126" s="34" t="s">
        <v>826</v>
      </c>
      <c r="AA126" s="34">
        <f t="shared" si="4"/>
        <v>0</v>
      </c>
      <c r="AB126" s="34">
        <f t="shared" si="5"/>
        <v>0</v>
      </c>
      <c r="AC126" s="25" t="s">
        <v>36</v>
      </c>
      <c r="AD126" s="25" t="s">
        <v>76</v>
      </c>
      <c r="AE126" s="25"/>
      <c r="AF126" s="25"/>
      <c r="AG126" s="25"/>
      <c r="AH126" s="35"/>
    </row>
    <row r="127" spans="1:34" ht="31.2">
      <c r="A127" s="23" t="s">
        <v>382</v>
      </c>
      <c r="B127" s="81">
        <v>6000023994</v>
      </c>
      <c r="C127" s="25" t="s">
        <v>394</v>
      </c>
      <c r="D127" s="25" t="s">
        <v>384</v>
      </c>
      <c r="E127" s="25">
        <v>10</v>
      </c>
      <c r="F127" s="25">
        <v>120</v>
      </c>
      <c r="G127" s="26">
        <f t="shared" si="3"/>
        <v>1200</v>
      </c>
      <c r="H127" s="27" t="s">
        <v>27</v>
      </c>
      <c r="I127" s="28" t="s">
        <v>42</v>
      </c>
      <c r="J127" s="29">
        <v>120</v>
      </c>
      <c r="K127" s="29">
        <v>2</v>
      </c>
      <c r="L127" s="56" t="s">
        <v>313</v>
      </c>
      <c r="M127" s="31">
        <v>1200</v>
      </c>
      <c r="N127" s="31">
        <v>6</v>
      </c>
      <c r="O127" s="31" t="s">
        <v>76</v>
      </c>
      <c r="P127" s="32" t="s">
        <v>28</v>
      </c>
      <c r="Q127" s="33" t="s">
        <v>395</v>
      </c>
      <c r="R127" s="33" t="s">
        <v>396</v>
      </c>
      <c r="S127" s="29">
        <v>120</v>
      </c>
      <c r="T127" s="31" t="s">
        <v>152</v>
      </c>
      <c r="U127" s="31" t="s">
        <v>397</v>
      </c>
      <c r="V127" s="31" t="s">
        <v>398</v>
      </c>
      <c r="W127" s="50" t="s">
        <v>851</v>
      </c>
      <c r="X127" s="34">
        <v>120</v>
      </c>
      <c r="Y127" s="34">
        <v>1200</v>
      </c>
      <c r="Z127" s="34" t="s">
        <v>338</v>
      </c>
      <c r="AA127" s="34">
        <f t="shared" si="4"/>
        <v>0</v>
      </c>
      <c r="AB127" s="34">
        <f t="shared" si="5"/>
        <v>0</v>
      </c>
      <c r="AC127" s="25" t="s">
        <v>36</v>
      </c>
      <c r="AD127" s="25" t="s">
        <v>76</v>
      </c>
      <c r="AE127" s="25"/>
      <c r="AF127" s="25"/>
      <c r="AG127" s="25"/>
      <c r="AH127" s="35"/>
    </row>
    <row r="128" spans="1:34" ht="31.2">
      <c r="A128" s="23" t="s">
        <v>382</v>
      </c>
      <c r="B128" s="81">
        <v>6000023994</v>
      </c>
      <c r="C128" s="25" t="s">
        <v>394</v>
      </c>
      <c r="D128" s="25" t="s">
        <v>384</v>
      </c>
      <c r="E128" s="25">
        <v>10</v>
      </c>
      <c r="F128" s="25">
        <v>100</v>
      </c>
      <c r="G128" s="26">
        <f t="shared" si="3"/>
        <v>1000</v>
      </c>
      <c r="H128" s="27" t="s">
        <v>46</v>
      </c>
      <c r="I128" s="28" t="s">
        <v>42</v>
      </c>
      <c r="J128" s="29">
        <v>100</v>
      </c>
      <c r="K128" s="29">
        <v>1</v>
      </c>
      <c r="L128" s="56" t="s">
        <v>313</v>
      </c>
      <c r="M128" s="31">
        <v>1000</v>
      </c>
      <c r="N128" s="31">
        <v>5</v>
      </c>
      <c r="O128" s="31" t="s">
        <v>76</v>
      </c>
      <c r="P128" s="32" t="s">
        <v>28</v>
      </c>
      <c r="Q128" s="33" t="s">
        <v>395</v>
      </c>
      <c r="R128" s="33" t="s">
        <v>396</v>
      </c>
      <c r="S128" s="29">
        <v>100</v>
      </c>
      <c r="T128" s="31" t="s">
        <v>152</v>
      </c>
      <c r="U128" s="31" t="s">
        <v>397</v>
      </c>
      <c r="V128" s="31" t="s">
        <v>398</v>
      </c>
      <c r="W128" s="50" t="s">
        <v>851</v>
      </c>
      <c r="X128" s="34">
        <v>100</v>
      </c>
      <c r="Y128" s="34">
        <v>1000</v>
      </c>
      <c r="Z128" s="34" t="s">
        <v>338</v>
      </c>
      <c r="AA128" s="34">
        <f t="shared" si="4"/>
        <v>0</v>
      </c>
      <c r="AB128" s="34">
        <f t="shared" si="5"/>
        <v>0</v>
      </c>
      <c r="AC128" s="25" t="s">
        <v>36</v>
      </c>
      <c r="AD128" s="25" t="s">
        <v>76</v>
      </c>
      <c r="AE128" s="25"/>
      <c r="AF128" s="25"/>
      <c r="AG128" s="25"/>
      <c r="AH128" s="35"/>
    </row>
    <row r="129" spans="1:34" ht="31.2">
      <c r="A129" s="23" t="s">
        <v>382</v>
      </c>
      <c r="B129" s="81">
        <v>6000023995</v>
      </c>
      <c r="C129" s="25" t="s">
        <v>383</v>
      </c>
      <c r="D129" s="25" t="s">
        <v>399</v>
      </c>
      <c r="E129" s="25">
        <v>10</v>
      </c>
      <c r="F129" s="25">
        <v>100</v>
      </c>
      <c r="G129" s="26">
        <f t="shared" si="3"/>
        <v>1000</v>
      </c>
      <c r="H129" s="27" t="s">
        <v>243</v>
      </c>
      <c r="I129" s="28" t="s">
        <v>42</v>
      </c>
      <c r="J129" s="29">
        <v>100</v>
      </c>
      <c r="K129" s="29">
        <v>1</v>
      </c>
      <c r="L129" s="56" t="s">
        <v>380</v>
      </c>
      <c r="M129" s="31">
        <v>1000</v>
      </c>
      <c r="N129" s="31">
        <v>5</v>
      </c>
      <c r="O129" s="31" t="s">
        <v>76</v>
      </c>
      <c r="P129" s="32" t="s">
        <v>28</v>
      </c>
      <c r="Q129" s="33" t="s">
        <v>400</v>
      </c>
      <c r="R129" s="33" t="s">
        <v>401</v>
      </c>
      <c r="S129" s="29">
        <v>100</v>
      </c>
      <c r="T129" s="31" t="s">
        <v>152</v>
      </c>
      <c r="U129" s="31" t="s">
        <v>402</v>
      </c>
      <c r="V129" s="31" t="s">
        <v>403</v>
      </c>
      <c r="W129" s="50" t="s">
        <v>875</v>
      </c>
      <c r="X129" s="34">
        <v>100</v>
      </c>
      <c r="Y129" s="34">
        <v>1000</v>
      </c>
      <c r="Z129" s="34" t="s">
        <v>802</v>
      </c>
      <c r="AA129" s="34">
        <f t="shared" si="4"/>
        <v>0</v>
      </c>
      <c r="AB129" s="34">
        <f t="shared" si="5"/>
        <v>0</v>
      </c>
      <c r="AC129" s="25" t="s">
        <v>36</v>
      </c>
      <c r="AD129" s="25" t="s">
        <v>76</v>
      </c>
      <c r="AE129" s="25"/>
      <c r="AF129" s="25"/>
      <c r="AG129" s="25"/>
      <c r="AH129" s="35"/>
    </row>
    <row r="130" spans="1:34" ht="31.2">
      <c r="A130" s="23" t="s">
        <v>382</v>
      </c>
      <c r="B130" s="81">
        <v>6000023995</v>
      </c>
      <c r="C130" s="25" t="s">
        <v>404</v>
      </c>
      <c r="D130" s="25" t="s">
        <v>399</v>
      </c>
      <c r="E130" s="25">
        <v>10</v>
      </c>
      <c r="F130" s="25">
        <v>1540</v>
      </c>
      <c r="G130" s="26">
        <f t="shared" si="3"/>
        <v>15400</v>
      </c>
      <c r="H130" s="27" t="s">
        <v>243</v>
      </c>
      <c r="I130" s="28" t="s">
        <v>313</v>
      </c>
      <c r="J130" s="29">
        <v>1540</v>
      </c>
      <c r="K130" s="29">
        <v>15</v>
      </c>
      <c r="L130" s="56" t="s">
        <v>313</v>
      </c>
      <c r="M130" s="31">
        <v>15400</v>
      </c>
      <c r="N130" s="31">
        <v>77</v>
      </c>
      <c r="O130" s="31" t="s">
        <v>76</v>
      </c>
      <c r="P130" s="32" t="s">
        <v>28</v>
      </c>
      <c r="Q130" s="33" t="s">
        <v>405</v>
      </c>
      <c r="R130" s="33" t="s">
        <v>406</v>
      </c>
      <c r="S130" s="29">
        <v>1540</v>
      </c>
      <c r="T130" s="31" t="s">
        <v>152</v>
      </c>
      <c r="U130" s="31" t="s">
        <v>407</v>
      </c>
      <c r="V130" s="31" t="s">
        <v>408</v>
      </c>
      <c r="W130" s="50" t="s">
        <v>880</v>
      </c>
      <c r="X130" s="34">
        <v>1540</v>
      </c>
      <c r="Y130" s="34">
        <v>15400</v>
      </c>
      <c r="Z130" s="34" t="s">
        <v>802</v>
      </c>
      <c r="AA130" s="34">
        <f t="shared" si="4"/>
        <v>0</v>
      </c>
      <c r="AB130" s="34">
        <f t="shared" si="5"/>
        <v>0</v>
      </c>
      <c r="AC130" s="25" t="s">
        <v>36</v>
      </c>
      <c r="AD130" s="25" t="s">
        <v>76</v>
      </c>
      <c r="AE130" s="25"/>
      <c r="AF130" s="25"/>
      <c r="AG130" s="25"/>
      <c r="AH130" s="35"/>
    </row>
    <row r="131" spans="1:34" ht="31.2">
      <c r="A131" s="23" t="s">
        <v>382</v>
      </c>
      <c r="B131" s="81">
        <v>6000023995</v>
      </c>
      <c r="C131" s="25" t="s">
        <v>404</v>
      </c>
      <c r="D131" s="25" t="s">
        <v>399</v>
      </c>
      <c r="E131" s="25">
        <v>10</v>
      </c>
      <c r="F131" s="25">
        <v>1380</v>
      </c>
      <c r="G131" s="26">
        <f t="shared" si="3"/>
        <v>13800</v>
      </c>
      <c r="H131" s="27" t="s">
        <v>27</v>
      </c>
      <c r="I131" s="28" t="s">
        <v>313</v>
      </c>
      <c r="J131" s="29">
        <v>1380</v>
      </c>
      <c r="K131" s="29">
        <v>13</v>
      </c>
      <c r="L131" s="56" t="s">
        <v>313</v>
      </c>
      <c r="M131" s="31">
        <v>13800</v>
      </c>
      <c r="N131" s="31">
        <v>69</v>
      </c>
      <c r="O131" s="31" t="s">
        <v>76</v>
      </c>
      <c r="P131" s="32" t="s">
        <v>28</v>
      </c>
      <c r="Q131" s="33" t="s">
        <v>405</v>
      </c>
      <c r="R131" s="33" t="s">
        <v>406</v>
      </c>
      <c r="S131" s="29">
        <v>1380</v>
      </c>
      <c r="T131" s="31" t="s">
        <v>152</v>
      </c>
      <c r="U131" s="31" t="s">
        <v>407</v>
      </c>
      <c r="V131" s="31" t="s">
        <v>408</v>
      </c>
      <c r="W131" s="50" t="s">
        <v>903</v>
      </c>
      <c r="X131" s="34">
        <v>1380</v>
      </c>
      <c r="Y131" s="34">
        <v>13800</v>
      </c>
      <c r="Z131" s="34" t="s">
        <v>801</v>
      </c>
      <c r="AA131" s="34">
        <f t="shared" si="4"/>
        <v>0</v>
      </c>
      <c r="AB131" s="34">
        <f t="shared" si="5"/>
        <v>0</v>
      </c>
      <c r="AC131" s="25" t="s">
        <v>36</v>
      </c>
      <c r="AD131" s="25" t="s">
        <v>76</v>
      </c>
      <c r="AE131" s="25"/>
      <c r="AF131" s="25"/>
      <c r="AG131" s="25"/>
      <c r="AH131" s="35"/>
    </row>
    <row r="132" spans="1:34" ht="31.2">
      <c r="A132" s="23" t="s">
        <v>382</v>
      </c>
      <c r="B132" s="81">
        <v>6000023995</v>
      </c>
      <c r="C132" s="25" t="s">
        <v>404</v>
      </c>
      <c r="D132" s="25" t="s">
        <v>399</v>
      </c>
      <c r="E132" s="25">
        <v>10</v>
      </c>
      <c r="F132" s="25">
        <v>430</v>
      </c>
      <c r="G132" s="26">
        <f t="shared" si="3"/>
        <v>4300</v>
      </c>
      <c r="H132" s="27" t="s">
        <v>46</v>
      </c>
      <c r="I132" s="28" t="s">
        <v>313</v>
      </c>
      <c r="J132" s="29">
        <v>430</v>
      </c>
      <c r="K132" s="29">
        <v>5</v>
      </c>
      <c r="L132" s="56" t="s">
        <v>313</v>
      </c>
      <c r="M132" s="31">
        <v>4300</v>
      </c>
      <c r="N132" s="31">
        <v>22</v>
      </c>
      <c r="O132" s="31" t="s">
        <v>76</v>
      </c>
      <c r="P132" s="32" t="s">
        <v>28</v>
      </c>
      <c r="Q132" s="33" t="s">
        <v>405</v>
      </c>
      <c r="R132" s="33" t="s">
        <v>406</v>
      </c>
      <c r="S132" s="29">
        <v>430</v>
      </c>
      <c r="T132" s="31" t="s">
        <v>152</v>
      </c>
      <c r="U132" s="31" t="s">
        <v>407</v>
      </c>
      <c r="V132" s="31" t="s">
        <v>408</v>
      </c>
      <c r="W132" s="50" t="s">
        <v>880</v>
      </c>
      <c r="X132" s="34">
        <v>430</v>
      </c>
      <c r="Y132" s="34">
        <v>4300</v>
      </c>
      <c r="Z132" s="34" t="s">
        <v>267</v>
      </c>
      <c r="AA132" s="34">
        <f t="shared" si="4"/>
        <v>0</v>
      </c>
      <c r="AB132" s="34">
        <f t="shared" si="5"/>
        <v>0</v>
      </c>
      <c r="AC132" s="25" t="s">
        <v>36</v>
      </c>
      <c r="AD132" s="25" t="s">
        <v>76</v>
      </c>
      <c r="AE132" s="25" t="e">
        <v>#REF!</v>
      </c>
      <c r="AF132" s="25"/>
      <c r="AG132" s="25"/>
      <c r="AH132" s="35"/>
    </row>
    <row r="133" spans="1:34" ht="31.2">
      <c r="A133" s="23" t="s">
        <v>382</v>
      </c>
      <c r="B133" s="81">
        <v>6000023995</v>
      </c>
      <c r="C133" s="25" t="s">
        <v>404</v>
      </c>
      <c r="D133" s="25" t="s">
        <v>399</v>
      </c>
      <c r="E133" s="25">
        <v>10</v>
      </c>
      <c r="F133" s="25">
        <v>100</v>
      </c>
      <c r="G133" s="26">
        <f t="shared" si="3"/>
        <v>1000</v>
      </c>
      <c r="H133" s="27" t="s">
        <v>37</v>
      </c>
      <c r="I133" s="28" t="s">
        <v>42</v>
      </c>
      <c r="J133" s="29">
        <v>100</v>
      </c>
      <c r="K133" s="29">
        <v>2</v>
      </c>
      <c r="L133" s="56" t="s">
        <v>313</v>
      </c>
      <c r="M133" s="31">
        <v>1000</v>
      </c>
      <c r="N133" s="31">
        <v>5</v>
      </c>
      <c r="O133" s="31" t="s">
        <v>76</v>
      </c>
      <c r="P133" s="32" t="s">
        <v>28</v>
      </c>
      <c r="Q133" s="33" t="s">
        <v>405</v>
      </c>
      <c r="R133" s="33" t="s">
        <v>409</v>
      </c>
      <c r="S133" s="29">
        <v>100</v>
      </c>
      <c r="T133" s="31" t="s">
        <v>152</v>
      </c>
      <c r="U133" s="31" t="s">
        <v>407</v>
      </c>
      <c r="V133" s="31" t="s">
        <v>408</v>
      </c>
      <c r="W133" s="50">
        <v>45163</v>
      </c>
      <c r="X133" s="34">
        <v>100</v>
      </c>
      <c r="Y133" s="34">
        <v>1000</v>
      </c>
      <c r="Z133" s="34" t="s">
        <v>800</v>
      </c>
      <c r="AA133" s="34">
        <f t="shared" si="4"/>
        <v>0</v>
      </c>
      <c r="AB133" s="34">
        <f t="shared" si="5"/>
        <v>0</v>
      </c>
      <c r="AC133" s="25" t="s">
        <v>36</v>
      </c>
      <c r="AD133" s="25" t="s">
        <v>76</v>
      </c>
      <c r="AE133" s="25" t="e">
        <v>#REF!</v>
      </c>
      <c r="AF133" s="25"/>
      <c r="AG133" s="25"/>
      <c r="AH133" s="35"/>
    </row>
    <row r="134" spans="1:34" ht="31.2">
      <c r="A134" s="23" t="s">
        <v>382</v>
      </c>
      <c r="B134" s="81">
        <v>6000023995</v>
      </c>
      <c r="C134" s="25" t="s">
        <v>394</v>
      </c>
      <c r="D134" s="25" t="s">
        <v>399</v>
      </c>
      <c r="E134" s="25">
        <v>10</v>
      </c>
      <c r="F134" s="25">
        <v>100</v>
      </c>
      <c r="G134" s="26">
        <f t="shared" si="3"/>
        <v>1000</v>
      </c>
      <c r="H134" s="27" t="s">
        <v>243</v>
      </c>
      <c r="I134" s="28" t="s">
        <v>42</v>
      </c>
      <c r="J134" s="29">
        <v>100</v>
      </c>
      <c r="K134" s="29">
        <v>1</v>
      </c>
      <c r="L134" s="56" t="s">
        <v>313</v>
      </c>
      <c r="M134" s="31">
        <v>1000</v>
      </c>
      <c r="N134" s="31">
        <v>5</v>
      </c>
      <c r="O134" s="31" t="s">
        <v>76</v>
      </c>
      <c r="P134" s="32" t="s">
        <v>28</v>
      </c>
      <c r="Q134" s="33" t="s">
        <v>410</v>
      </c>
      <c r="R134" s="33" t="s">
        <v>411</v>
      </c>
      <c r="S134" s="29">
        <v>100</v>
      </c>
      <c r="T134" s="31" t="s">
        <v>152</v>
      </c>
      <c r="U134" s="31" t="s">
        <v>412</v>
      </c>
      <c r="V134" s="31" t="s">
        <v>413</v>
      </c>
      <c r="W134" s="50" t="s">
        <v>920</v>
      </c>
      <c r="X134" s="34">
        <v>100</v>
      </c>
      <c r="Y134" s="34">
        <v>1000</v>
      </c>
      <c r="Z134" s="34" t="s">
        <v>826</v>
      </c>
      <c r="AA134" s="34">
        <f t="shared" si="4"/>
        <v>0</v>
      </c>
      <c r="AB134" s="34">
        <f t="shared" si="5"/>
        <v>0</v>
      </c>
      <c r="AC134" s="25" t="s">
        <v>36</v>
      </c>
      <c r="AD134" s="25" t="s">
        <v>76</v>
      </c>
      <c r="AE134" s="25" t="e">
        <v>#REF!</v>
      </c>
      <c r="AF134" s="25"/>
      <c r="AG134" s="25"/>
      <c r="AH134" s="35"/>
    </row>
    <row r="135" spans="1:34" ht="31.2">
      <c r="A135" s="23" t="s">
        <v>279</v>
      </c>
      <c r="B135" s="81">
        <v>6000024015</v>
      </c>
      <c r="C135" s="25" t="s">
        <v>414</v>
      </c>
      <c r="D135" s="25" t="s">
        <v>415</v>
      </c>
      <c r="E135" s="25">
        <v>10</v>
      </c>
      <c r="F135" s="25">
        <v>100</v>
      </c>
      <c r="G135" s="26">
        <f t="shared" si="3"/>
        <v>1000</v>
      </c>
      <c r="H135" s="27" t="s">
        <v>243</v>
      </c>
      <c r="I135" s="28" t="s">
        <v>186</v>
      </c>
      <c r="J135" s="29">
        <v>100</v>
      </c>
      <c r="K135" s="29">
        <v>12</v>
      </c>
      <c r="L135" s="56" t="s">
        <v>380</v>
      </c>
      <c r="M135" s="31">
        <v>1000</v>
      </c>
      <c r="N135" s="31">
        <v>25</v>
      </c>
      <c r="O135" s="31" t="s">
        <v>76</v>
      </c>
      <c r="P135" s="32" t="s">
        <v>28</v>
      </c>
      <c r="Q135" s="33" t="s">
        <v>416</v>
      </c>
      <c r="R135" s="33" t="s">
        <v>417</v>
      </c>
      <c r="S135" s="29">
        <v>100</v>
      </c>
      <c r="T135" s="31" t="s">
        <v>87</v>
      </c>
      <c r="U135" s="31" t="s">
        <v>418</v>
      </c>
      <c r="V135" s="31" t="s">
        <v>419</v>
      </c>
      <c r="W135" s="50" t="s">
        <v>799</v>
      </c>
      <c r="X135" s="34">
        <v>100</v>
      </c>
      <c r="Y135" s="34">
        <v>1000</v>
      </c>
      <c r="Z135" s="34" t="s">
        <v>800</v>
      </c>
      <c r="AA135" s="34">
        <f t="shared" si="4"/>
        <v>0</v>
      </c>
      <c r="AB135" s="34">
        <f t="shared" si="5"/>
        <v>0</v>
      </c>
      <c r="AC135" s="25" t="s">
        <v>36</v>
      </c>
      <c r="AD135" s="25" t="s">
        <v>76</v>
      </c>
      <c r="AE135" s="25" t="e">
        <v>#REF!</v>
      </c>
      <c r="AF135" s="25"/>
      <c r="AG135" s="25"/>
      <c r="AH135" s="35"/>
    </row>
    <row r="136" spans="1:34" ht="31.2">
      <c r="A136" s="23" t="s">
        <v>279</v>
      </c>
      <c r="B136" s="81">
        <v>6000024015</v>
      </c>
      <c r="C136" s="25" t="s">
        <v>414</v>
      </c>
      <c r="D136" s="25" t="s">
        <v>415</v>
      </c>
      <c r="E136" s="25">
        <v>10</v>
      </c>
      <c r="F136" s="25">
        <v>690</v>
      </c>
      <c r="G136" s="26">
        <f t="shared" si="3"/>
        <v>6900</v>
      </c>
      <c r="H136" s="27" t="s">
        <v>27</v>
      </c>
      <c r="I136" s="28" t="s">
        <v>163</v>
      </c>
      <c r="J136" s="29">
        <v>690</v>
      </c>
      <c r="K136" s="29">
        <v>15</v>
      </c>
      <c r="L136" s="56" t="s">
        <v>188</v>
      </c>
      <c r="M136" s="31">
        <v>6900</v>
      </c>
      <c r="N136" s="31">
        <v>84</v>
      </c>
      <c r="O136" s="31" t="s">
        <v>76</v>
      </c>
      <c r="P136" s="32" t="s">
        <v>28</v>
      </c>
      <c r="Q136" s="33" t="s">
        <v>416</v>
      </c>
      <c r="R136" s="33" t="s">
        <v>420</v>
      </c>
      <c r="S136" s="29">
        <v>690</v>
      </c>
      <c r="T136" s="31" t="s">
        <v>87</v>
      </c>
      <c r="U136" s="31" t="s">
        <v>418</v>
      </c>
      <c r="V136" s="31" t="s">
        <v>421</v>
      </c>
      <c r="W136" s="50" t="s">
        <v>422</v>
      </c>
      <c r="X136" s="34">
        <v>690</v>
      </c>
      <c r="Y136" s="34">
        <v>6900</v>
      </c>
      <c r="Z136" s="34" t="s">
        <v>423</v>
      </c>
      <c r="AA136" s="34">
        <f t="shared" si="4"/>
        <v>0</v>
      </c>
      <c r="AB136" s="34">
        <f t="shared" si="5"/>
        <v>0</v>
      </c>
      <c r="AC136" s="25" t="s">
        <v>36</v>
      </c>
      <c r="AD136" s="25" t="s">
        <v>76</v>
      </c>
      <c r="AE136" s="25" t="e">
        <v>#REF!</v>
      </c>
      <c r="AF136" s="25"/>
      <c r="AG136" s="25"/>
      <c r="AH136" s="35"/>
    </row>
    <row r="137" spans="1:34" ht="31.2">
      <c r="A137" s="23" t="s">
        <v>279</v>
      </c>
      <c r="B137" s="81">
        <v>6000024015</v>
      </c>
      <c r="C137" s="25" t="s">
        <v>414</v>
      </c>
      <c r="D137" s="25" t="s">
        <v>415</v>
      </c>
      <c r="E137" s="25">
        <v>10</v>
      </c>
      <c r="F137" s="25">
        <v>1050</v>
      </c>
      <c r="G137" s="26">
        <f t="shared" si="3"/>
        <v>10500</v>
      </c>
      <c r="H137" s="27" t="s">
        <v>46</v>
      </c>
      <c r="I137" s="28" t="s">
        <v>163</v>
      </c>
      <c r="J137" s="29">
        <v>1050</v>
      </c>
      <c r="K137" s="29">
        <v>21</v>
      </c>
      <c r="L137" s="56" t="s">
        <v>380</v>
      </c>
      <c r="M137" s="31">
        <v>10500</v>
      </c>
      <c r="N137" s="31">
        <v>120</v>
      </c>
      <c r="O137" s="31" t="s">
        <v>76</v>
      </c>
      <c r="P137" s="32" t="s">
        <v>28</v>
      </c>
      <c r="Q137" s="33" t="s">
        <v>416</v>
      </c>
      <c r="R137" s="33" t="s">
        <v>420</v>
      </c>
      <c r="S137" s="29">
        <v>1050</v>
      </c>
      <c r="T137" s="31" t="s">
        <v>87</v>
      </c>
      <c r="U137" s="31" t="s">
        <v>418</v>
      </c>
      <c r="V137" s="31" t="s">
        <v>419</v>
      </c>
      <c r="W137" s="50" t="s">
        <v>799</v>
      </c>
      <c r="X137" s="34">
        <v>1050</v>
      </c>
      <c r="Y137" s="34">
        <v>10500</v>
      </c>
      <c r="Z137" s="34" t="s">
        <v>800</v>
      </c>
      <c r="AA137" s="34">
        <f t="shared" si="4"/>
        <v>0</v>
      </c>
      <c r="AB137" s="34">
        <f t="shared" si="5"/>
        <v>0</v>
      </c>
      <c r="AC137" s="25" t="s">
        <v>36</v>
      </c>
      <c r="AD137" s="25" t="s">
        <v>76</v>
      </c>
      <c r="AE137" s="25"/>
      <c r="AF137" s="25"/>
      <c r="AG137" s="25"/>
      <c r="AH137" s="35"/>
    </row>
    <row r="138" spans="1:34" ht="31.2">
      <c r="A138" s="23" t="s">
        <v>279</v>
      </c>
      <c r="B138" s="81">
        <v>6000024015</v>
      </c>
      <c r="C138" s="25" t="s">
        <v>414</v>
      </c>
      <c r="D138" s="25" t="s">
        <v>415</v>
      </c>
      <c r="E138" s="25">
        <v>10</v>
      </c>
      <c r="F138" s="25">
        <v>560</v>
      </c>
      <c r="G138" s="26">
        <f t="shared" ref="G138:G201" si="6">F138*E138</f>
        <v>5600</v>
      </c>
      <c r="H138" s="27" t="s">
        <v>37</v>
      </c>
      <c r="I138" s="28" t="s">
        <v>163</v>
      </c>
      <c r="J138" s="29">
        <v>560</v>
      </c>
      <c r="K138" s="29">
        <v>17</v>
      </c>
      <c r="L138" s="56" t="s">
        <v>380</v>
      </c>
      <c r="M138" s="31">
        <v>5600</v>
      </c>
      <c r="N138" s="31">
        <v>71</v>
      </c>
      <c r="O138" s="31" t="s">
        <v>76</v>
      </c>
      <c r="P138" s="32" t="s">
        <v>28</v>
      </c>
      <c r="Q138" s="33" t="s">
        <v>416</v>
      </c>
      <c r="R138" s="33" t="s">
        <v>420</v>
      </c>
      <c r="S138" s="29">
        <v>560</v>
      </c>
      <c r="T138" s="31" t="s">
        <v>87</v>
      </c>
      <c r="U138" s="31" t="s">
        <v>418</v>
      </c>
      <c r="V138" s="31" t="s">
        <v>424</v>
      </c>
      <c r="W138" s="50" t="s">
        <v>34</v>
      </c>
      <c r="X138" s="34">
        <v>560</v>
      </c>
      <c r="Y138" s="34">
        <v>5600</v>
      </c>
      <c r="Z138" s="34" t="s">
        <v>425</v>
      </c>
      <c r="AA138" s="34">
        <f t="shared" si="4"/>
        <v>0</v>
      </c>
      <c r="AB138" s="34">
        <f t="shared" si="5"/>
        <v>0</v>
      </c>
      <c r="AC138" s="25" t="s">
        <v>36</v>
      </c>
      <c r="AD138" s="25" t="s">
        <v>76</v>
      </c>
      <c r="AE138" s="25"/>
      <c r="AF138" s="25"/>
      <c r="AG138" s="25"/>
      <c r="AH138" s="35"/>
    </row>
    <row r="139" spans="1:34" ht="31.2">
      <c r="A139" s="23" t="s">
        <v>279</v>
      </c>
      <c r="B139" s="81">
        <v>6000024015</v>
      </c>
      <c r="C139" s="25" t="s">
        <v>414</v>
      </c>
      <c r="D139" s="25" t="s">
        <v>415</v>
      </c>
      <c r="E139" s="25">
        <v>10</v>
      </c>
      <c r="F139" s="25">
        <v>100</v>
      </c>
      <c r="G139" s="26">
        <f t="shared" si="6"/>
        <v>1000</v>
      </c>
      <c r="H139" s="27" t="s">
        <v>146</v>
      </c>
      <c r="I139" s="28" t="s">
        <v>186</v>
      </c>
      <c r="J139" s="29">
        <v>100</v>
      </c>
      <c r="K139" s="29">
        <v>12</v>
      </c>
      <c r="L139" s="56" t="s">
        <v>313</v>
      </c>
      <c r="M139" s="31">
        <v>1000</v>
      </c>
      <c r="N139" s="31">
        <v>25</v>
      </c>
      <c r="O139" s="31" t="s">
        <v>739</v>
      </c>
      <c r="P139" s="32" t="s">
        <v>28</v>
      </c>
      <c r="Q139" s="33" t="s">
        <v>426</v>
      </c>
      <c r="R139" s="33" t="s">
        <v>427</v>
      </c>
      <c r="S139" s="29">
        <v>100</v>
      </c>
      <c r="T139" s="31" t="s">
        <v>87</v>
      </c>
      <c r="U139" s="31" t="s">
        <v>428</v>
      </c>
      <c r="V139" s="31" t="s">
        <v>429</v>
      </c>
      <c r="W139" s="50">
        <v>45148</v>
      </c>
      <c r="X139" s="34">
        <v>100</v>
      </c>
      <c r="Y139" s="34">
        <v>1000</v>
      </c>
      <c r="Z139" s="34" t="s">
        <v>826</v>
      </c>
      <c r="AA139" s="34">
        <f t="shared" ref="AA139:AA202" si="7">J139-X139</f>
        <v>0</v>
      </c>
      <c r="AB139" s="34">
        <f t="shared" ref="AB139:AB202" si="8">M139-Y139</f>
        <v>0</v>
      </c>
      <c r="AC139" s="25" t="s">
        <v>36</v>
      </c>
      <c r="AD139" s="25"/>
      <c r="AE139" s="25"/>
      <c r="AF139" s="25"/>
      <c r="AG139" s="25"/>
      <c r="AH139" s="35"/>
    </row>
    <row r="140" spans="1:34" ht="31.2">
      <c r="A140" s="23" t="s">
        <v>279</v>
      </c>
      <c r="B140" s="81">
        <v>6000024016</v>
      </c>
      <c r="C140" s="25" t="s">
        <v>414</v>
      </c>
      <c r="D140" s="25" t="s">
        <v>430</v>
      </c>
      <c r="E140" s="25">
        <v>10</v>
      </c>
      <c r="F140" s="25">
        <v>100</v>
      </c>
      <c r="G140" s="26">
        <f t="shared" si="6"/>
        <v>1000</v>
      </c>
      <c r="H140" s="27" t="s">
        <v>243</v>
      </c>
      <c r="I140" s="28" t="s">
        <v>186</v>
      </c>
      <c r="J140" s="29">
        <v>100</v>
      </c>
      <c r="K140" s="29">
        <v>12</v>
      </c>
      <c r="L140" s="56" t="s">
        <v>183</v>
      </c>
      <c r="M140" s="31">
        <v>1000</v>
      </c>
      <c r="N140" s="31">
        <v>25</v>
      </c>
      <c r="O140" s="31" t="s">
        <v>76</v>
      </c>
      <c r="P140" s="32" t="s">
        <v>28</v>
      </c>
      <c r="Q140" s="33" t="s">
        <v>431</v>
      </c>
      <c r="R140" s="33" t="s">
        <v>432</v>
      </c>
      <c r="S140" s="29">
        <v>100</v>
      </c>
      <c r="T140" s="31" t="s">
        <v>87</v>
      </c>
      <c r="U140" s="31" t="s">
        <v>433</v>
      </c>
      <c r="V140" s="31" t="s">
        <v>434</v>
      </c>
      <c r="W140" s="50">
        <v>45143</v>
      </c>
      <c r="X140" s="34">
        <v>100</v>
      </c>
      <c r="Y140" s="34">
        <v>1000</v>
      </c>
      <c r="Z140" s="34" t="s">
        <v>800</v>
      </c>
      <c r="AA140" s="34">
        <f t="shared" si="7"/>
        <v>0</v>
      </c>
      <c r="AB140" s="34">
        <f t="shared" si="8"/>
        <v>0</v>
      </c>
      <c r="AC140" s="25" t="s">
        <v>36</v>
      </c>
      <c r="AD140" s="25" t="s">
        <v>76</v>
      </c>
      <c r="AE140" s="25"/>
      <c r="AF140" s="25"/>
      <c r="AG140" s="25"/>
      <c r="AH140" s="35"/>
    </row>
    <row r="141" spans="1:34" ht="31.2">
      <c r="A141" s="23" t="s">
        <v>279</v>
      </c>
      <c r="B141" s="81">
        <v>6000024016</v>
      </c>
      <c r="C141" s="25" t="s">
        <v>414</v>
      </c>
      <c r="D141" s="25" t="s">
        <v>430</v>
      </c>
      <c r="E141" s="25">
        <v>10</v>
      </c>
      <c r="F141" s="25">
        <v>690</v>
      </c>
      <c r="G141" s="26">
        <f t="shared" si="6"/>
        <v>6900</v>
      </c>
      <c r="H141" s="27" t="s">
        <v>27</v>
      </c>
      <c r="I141" s="28" t="s">
        <v>163</v>
      </c>
      <c r="J141" s="29">
        <v>690</v>
      </c>
      <c r="K141" s="29">
        <v>16</v>
      </c>
      <c r="L141" s="56" t="s">
        <v>313</v>
      </c>
      <c r="M141" s="31">
        <v>6900</v>
      </c>
      <c r="N141" s="31">
        <v>84</v>
      </c>
      <c r="O141" s="31" t="s">
        <v>76</v>
      </c>
      <c r="P141" s="32" t="s">
        <v>28</v>
      </c>
      <c r="Q141" s="33" t="s">
        <v>431</v>
      </c>
      <c r="R141" s="33" t="s">
        <v>435</v>
      </c>
      <c r="S141" s="29">
        <v>690</v>
      </c>
      <c r="T141" s="31" t="s">
        <v>87</v>
      </c>
      <c r="U141" s="31" t="s">
        <v>433</v>
      </c>
      <c r="V141" s="31" t="s">
        <v>436</v>
      </c>
      <c r="W141" s="50" t="s">
        <v>34</v>
      </c>
      <c r="X141" s="34">
        <v>690</v>
      </c>
      <c r="Y141" s="34">
        <v>6900</v>
      </c>
      <c r="Z141" s="34" t="s">
        <v>423</v>
      </c>
      <c r="AA141" s="34">
        <f t="shared" si="7"/>
        <v>0</v>
      </c>
      <c r="AB141" s="34">
        <f t="shared" si="8"/>
        <v>0</v>
      </c>
      <c r="AC141" s="25" t="s">
        <v>36</v>
      </c>
      <c r="AD141" s="25" t="s">
        <v>76</v>
      </c>
      <c r="AE141" s="25"/>
      <c r="AF141" s="25"/>
      <c r="AG141" s="25"/>
      <c r="AH141" s="35"/>
    </row>
    <row r="142" spans="1:34" ht="31.2">
      <c r="A142" s="23" t="s">
        <v>279</v>
      </c>
      <c r="B142" s="81">
        <v>6000024016</v>
      </c>
      <c r="C142" s="25" t="s">
        <v>414</v>
      </c>
      <c r="D142" s="25" t="s">
        <v>430</v>
      </c>
      <c r="E142" s="25">
        <v>10</v>
      </c>
      <c r="F142" s="25">
        <v>1050</v>
      </c>
      <c r="G142" s="26">
        <f t="shared" si="6"/>
        <v>10500</v>
      </c>
      <c r="H142" s="27" t="s">
        <v>46</v>
      </c>
      <c r="I142" s="28" t="s">
        <v>163</v>
      </c>
      <c r="J142" s="29">
        <v>1050</v>
      </c>
      <c r="K142" s="29">
        <v>23</v>
      </c>
      <c r="L142" s="56" t="s">
        <v>380</v>
      </c>
      <c r="M142" s="31">
        <v>10500</v>
      </c>
      <c r="N142" s="31">
        <v>120</v>
      </c>
      <c r="O142" s="31" t="s">
        <v>76</v>
      </c>
      <c r="P142" s="32" t="s">
        <v>28</v>
      </c>
      <c r="Q142" s="33" t="s">
        <v>431</v>
      </c>
      <c r="R142" s="33" t="s">
        <v>435</v>
      </c>
      <c r="S142" s="29">
        <v>1050</v>
      </c>
      <c r="T142" s="31" t="s">
        <v>87</v>
      </c>
      <c r="U142" s="31" t="s">
        <v>433</v>
      </c>
      <c r="V142" s="31" t="s">
        <v>437</v>
      </c>
      <c r="W142" s="50" t="s">
        <v>974</v>
      </c>
      <c r="X142" s="34">
        <v>1050</v>
      </c>
      <c r="Y142" s="34">
        <v>10500</v>
      </c>
      <c r="Z142" s="34" t="s">
        <v>975</v>
      </c>
      <c r="AA142" s="34">
        <f t="shared" si="7"/>
        <v>0</v>
      </c>
      <c r="AB142" s="34">
        <f t="shared" si="8"/>
        <v>0</v>
      </c>
      <c r="AC142" s="25" t="s">
        <v>36</v>
      </c>
      <c r="AD142" s="25" t="s">
        <v>76</v>
      </c>
      <c r="AE142" s="25"/>
      <c r="AF142" s="25"/>
      <c r="AG142" s="25"/>
      <c r="AH142" s="35"/>
    </row>
    <row r="143" spans="1:34" ht="31.2">
      <c r="A143" s="23" t="s">
        <v>279</v>
      </c>
      <c r="B143" s="81">
        <v>6000024016</v>
      </c>
      <c r="C143" s="25" t="s">
        <v>414</v>
      </c>
      <c r="D143" s="25" t="s">
        <v>430</v>
      </c>
      <c r="E143" s="25">
        <v>10</v>
      </c>
      <c r="F143" s="25">
        <v>560</v>
      </c>
      <c r="G143" s="26">
        <f t="shared" si="6"/>
        <v>5600</v>
      </c>
      <c r="H143" s="27" t="s">
        <v>37</v>
      </c>
      <c r="I143" s="28" t="s">
        <v>186</v>
      </c>
      <c r="J143" s="29">
        <v>560</v>
      </c>
      <c r="K143" s="29">
        <v>16</v>
      </c>
      <c r="L143" s="56" t="s">
        <v>42</v>
      </c>
      <c r="M143" s="31">
        <v>5600</v>
      </c>
      <c r="N143" s="31">
        <v>71</v>
      </c>
      <c r="O143" s="31" t="s">
        <v>76</v>
      </c>
      <c r="P143" s="32" t="s">
        <v>28</v>
      </c>
      <c r="Q143" s="33" t="s">
        <v>431</v>
      </c>
      <c r="R143" s="33" t="s">
        <v>432</v>
      </c>
      <c r="S143" s="29">
        <v>560</v>
      </c>
      <c r="T143" s="31" t="s">
        <v>87</v>
      </c>
      <c r="U143" s="31" t="s">
        <v>433</v>
      </c>
      <c r="V143" s="31" t="s">
        <v>438</v>
      </c>
      <c r="W143" s="50" t="s">
        <v>206</v>
      </c>
      <c r="X143" s="34">
        <v>560</v>
      </c>
      <c r="Y143" s="34">
        <v>5600</v>
      </c>
      <c r="Z143" s="34" t="s">
        <v>439</v>
      </c>
      <c r="AA143" s="34">
        <f t="shared" si="7"/>
        <v>0</v>
      </c>
      <c r="AB143" s="34">
        <f t="shared" si="8"/>
        <v>0</v>
      </c>
      <c r="AC143" s="25" t="s">
        <v>36</v>
      </c>
      <c r="AD143" s="25" t="s">
        <v>76</v>
      </c>
      <c r="AE143" s="25"/>
      <c r="AF143" s="25"/>
      <c r="AG143" s="25"/>
      <c r="AH143" s="35"/>
    </row>
    <row r="144" spans="1:34" ht="31.2">
      <c r="A144" s="23" t="s">
        <v>279</v>
      </c>
      <c r="B144" s="81">
        <v>6000024016</v>
      </c>
      <c r="C144" s="25" t="s">
        <v>414</v>
      </c>
      <c r="D144" s="25" t="s">
        <v>430</v>
      </c>
      <c r="E144" s="25">
        <v>10</v>
      </c>
      <c r="F144" s="25">
        <v>100</v>
      </c>
      <c r="G144" s="26">
        <f t="shared" si="6"/>
        <v>1000</v>
      </c>
      <c r="H144" s="27" t="s">
        <v>146</v>
      </c>
      <c r="I144" s="28" t="s">
        <v>186</v>
      </c>
      <c r="J144" s="29">
        <v>100</v>
      </c>
      <c r="K144" s="29">
        <v>12</v>
      </c>
      <c r="L144" s="56" t="s">
        <v>313</v>
      </c>
      <c r="M144" s="31">
        <v>1000</v>
      </c>
      <c r="N144" s="31">
        <v>25</v>
      </c>
      <c r="O144" s="31" t="s">
        <v>76</v>
      </c>
      <c r="P144" s="32" t="s">
        <v>28</v>
      </c>
      <c r="Q144" s="33" t="s">
        <v>440</v>
      </c>
      <c r="R144" s="33" t="s">
        <v>441</v>
      </c>
      <c r="S144" s="29">
        <v>100</v>
      </c>
      <c r="T144" s="31" t="s">
        <v>87</v>
      </c>
      <c r="U144" s="31" t="s">
        <v>442</v>
      </c>
      <c r="V144" s="31" t="s">
        <v>443</v>
      </c>
      <c r="W144" s="50">
        <v>45148</v>
      </c>
      <c r="X144" s="34">
        <v>100</v>
      </c>
      <c r="Y144" s="34">
        <v>1000</v>
      </c>
      <c r="Z144" s="34" t="s">
        <v>826</v>
      </c>
      <c r="AA144" s="34">
        <f t="shared" si="7"/>
        <v>0</v>
      </c>
      <c r="AB144" s="34">
        <f t="shared" si="8"/>
        <v>0</v>
      </c>
      <c r="AC144" s="25" t="s">
        <v>36</v>
      </c>
      <c r="AD144" s="25" t="s">
        <v>76</v>
      </c>
      <c r="AE144" s="25"/>
      <c r="AF144" s="25"/>
      <c r="AG144" s="25"/>
      <c r="AH144" s="35"/>
    </row>
    <row r="145" spans="1:34" ht="31.2">
      <c r="A145" s="23" t="s">
        <v>279</v>
      </c>
      <c r="B145" s="81">
        <v>6000024017</v>
      </c>
      <c r="C145" s="25" t="s">
        <v>414</v>
      </c>
      <c r="D145" s="25" t="s">
        <v>444</v>
      </c>
      <c r="E145" s="25">
        <v>10</v>
      </c>
      <c r="F145" s="25">
        <v>100</v>
      </c>
      <c r="G145" s="26">
        <f t="shared" si="6"/>
        <v>1000</v>
      </c>
      <c r="H145" s="27" t="s">
        <v>243</v>
      </c>
      <c r="I145" s="28" t="s">
        <v>186</v>
      </c>
      <c r="J145" s="29">
        <v>100</v>
      </c>
      <c r="K145" s="29">
        <v>12</v>
      </c>
      <c r="L145" s="56" t="s">
        <v>380</v>
      </c>
      <c r="M145" s="31">
        <v>1000</v>
      </c>
      <c r="N145" s="31">
        <v>25</v>
      </c>
      <c r="O145" s="31" t="s">
        <v>76</v>
      </c>
      <c r="P145" s="32" t="s">
        <v>28</v>
      </c>
      <c r="Q145" s="33" t="s">
        <v>445</v>
      </c>
      <c r="R145" s="33" t="s">
        <v>446</v>
      </c>
      <c r="S145" s="29">
        <v>100</v>
      </c>
      <c r="T145" s="31" t="s">
        <v>87</v>
      </c>
      <c r="U145" s="31" t="s">
        <v>447</v>
      </c>
      <c r="V145" s="31" t="s">
        <v>448</v>
      </c>
      <c r="W145" s="50">
        <v>45148</v>
      </c>
      <c r="X145" s="34">
        <v>100</v>
      </c>
      <c r="Y145" s="34">
        <v>1000</v>
      </c>
      <c r="Z145" s="34" t="s">
        <v>826</v>
      </c>
      <c r="AA145" s="34">
        <f t="shared" si="7"/>
        <v>0</v>
      </c>
      <c r="AB145" s="34">
        <f t="shared" si="8"/>
        <v>0</v>
      </c>
      <c r="AC145" s="25" t="s">
        <v>36</v>
      </c>
      <c r="AD145" s="25" t="s">
        <v>76</v>
      </c>
      <c r="AE145" s="25"/>
      <c r="AF145" s="25"/>
      <c r="AG145" s="25"/>
      <c r="AH145" s="35"/>
    </row>
    <row r="146" spans="1:34" ht="31.2">
      <c r="A146" s="23" t="s">
        <v>279</v>
      </c>
      <c r="B146" s="81"/>
      <c r="C146" s="25"/>
      <c r="D146" s="25"/>
      <c r="E146" s="25">
        <v>10</v>
      </c>
      <c r="F146" s="25">
        <v>690</v>
      </c>
      <c r="G146" s="26">
        <f t="shared" si="6"/>
        <v>6900</v>
      </c>
      <c r="H146" s="27" t="s">
        <v>27</v>
      </c>
      <c r="I146" s="28" t="s">
        <v>163</v>
      </c>
      <c r="J146" s="29">
        <v>690</v>
      </c>
      <c r="K146" s="29">
        <v>14</v>
      </c>
      <c r="L146" s="56" t="s">
        <v>380</v>
      </c>
      <c r="M146" s="31">
        <v>6900</v>
      </c>
      <c r="N146" s="31">
        <v>84</v>
      </c>
      <c r="O146" s="31" t="s">
        <v>76</v>
      </c>
      <c r="P146" s="32" t="s">
        <v>28</v>
      </c>
      <c r="Q146" s="33" t="s">
        <v>445</v>
      </c>
      <c r="R146" s="33" t="s">
        <v>449</v>
      </c>
      <c r="S146" s="29">
        <v>690</v>
      </c>
      <c r="T146" s="31" t="s">
        <v>87</v>
      </c>
      <c r="U146" s="31" t="s">
        <v>447</v>
      </c>
      <c r="V146" s="31" t="s">
        <v>450</v>
      </c>
      <c r="W146" s="50">
        <v>45149</v>
      </c>
      <c r="X146" s="34">
        <v>690</v>
      </c>
      <c r="Y146" s="34">
        <v>6900</v>
      </c>
      <c r="Z146" s="34" t="s">
        <v>338</v>
      </c>
      <c r="AA146" s="34">
        <f t="shared" si="7"/>
        <v>0</v>
      </c>
      <c r="AB146" s="34">
        <f t="shared" si="8"/>
        <v>0</v>
      </c>
      <c r="AC146" s="25" t="s">
        <v>36</v>
      </c>
      <c r="AD146" s="25" t="s">
        <v>76</v>
      </c>
      <c r="AE146" s="25"/>
      <c r="AF146" s="25"/>
      <c r="AG146" s="25"/>
      <c r="AH146" s="35"/>
    </row>
    <row r="147" spans="1:34" ht="31.2">
      <c r="A147" s="23" t="s">
        <v>279</v>
      </c>
      <c r="B147" s="81"/>
      <c r="C147" s="25"/>
      <c r="D147" s="25"/>
      <c r="E147" s="25">
        <v>10</v>
      </c>
      <c r="F147" s="25">
        <v>1050</v>
      </c>
      <c r="G147" s="26">
        <f t="shared" si="6"/>
        <v>10500</v>
      </c>
      <c r="H147" s="27" t="s">
        <v>46</v>
      </c>
      <c r="I147" s="28" t="s">
        <v>163</v>
      </c>
      <c r="J147" s="29">
        <v>1050</v>
      </c>
      <c r="K147" s="29">
        <v>23</v>
      </c>
      <c r="L147" s="56" t="s">
        <v>183</v>
      </c>
      <c r="M147" s="31">
        <v>10500</v>
      </c>
      <c r="N147" s="31">
        <v>120</v>
      </c>
      <c r="O147" s="31" t="s">
        <v>76</v>
      </c>
      <c r="P147" s="32" t="s">
        <v>28</v>
      </c>
      <c r="Q147" s="33" t="s">
        <v>445</v>
      </c>
      <c r="R147" s="33" t="s">
        <v>449</v>
      </c>
      <c r="S147" s="29">
        <v>1050</v>
      </c>
      <c r="T147" s="31" t="s">
        <v>87</v>
      </c>
      <c r="U147" s="31" t="s">
        <v>447</v>
      </c>
      <c r="V147" s="31" t="s">
        <v>451</v>
      </c>
      <c r="W147" s="50" t="s">
        <v>1395</v>
      </c>
      <c r="X147" s="34">
        <v>1050</v>
      </c>
      <c r="Y147" s="34">
        <v>10500</v>
      </c>
      <c r="Z147" s="34" t="s">
        <v>1660</v>
      </c>
      <c r="AA147" s="34">
        <f t="shared" si="7"/>
        <v>0</v>
      </c>
      <c r="AB147" s="34">
        <f t="shared" si="8"/>
        <v>0</v>
      </c>
      <c r="AC147" s="25" t="s">
        <v>36</v>
      </c>
      <c r="AD147" s="25" t="s">
        <v>76</v>
      </c>
      <c r="AE147" s="25"/>
      <c r="AF147" s="25"/>
      <c r="AG147" s="25"/>
      <c r="AH147" s="35"/>
    </row>
    <row r="148" spans="1:34" ht="31.2">
      <c r="A148" s="23" t="s">
        <v>279</v>
      </c>
      <c r="B148" s="81"/>
      <c r="C148" s="25"/>
      <c r="D148" s="25"/>
      <c r="E148" s="25">
        <v>10</v>
      </c>
      <c r="F148" s="25">
        <v>560</v>
      </c>
      <c r="G148" s="26">
        <f t="shared" si="6"/>
        <v>5600</v>
      </c>
      <c r="H148" s="27" t="s">
        <v>37</v>
      </c>
      <c r="I148" s="28" t="s">
        <v>163</v>
      </c>
      <c r="J148" s="29">
        <v>560</v>
      </c>
      <c r="K148" s="29">
        <v>17</v>
      </c>
      <c r="L148" s="56" t="s">
        <v>42</v>
      </c>
      <c r="M148" s="31">
        <v>5600</v>
      </c>
      <c r="N148" s="31">
        <v>71</v>
      </c>
      <c r="O148" s="31" t="s">
        <v>76</v>
      </c>
      <c r="P148" s="32" t="s">
        <v>28</v>
      </c>
      <c r="Q148" s="33" t="s">
        <v>445</v>
      </c>
      <c r="R148" s="33" t="s">
        <v>449</v>
      </c>
      <c r="S148" s="29">
        <v>560</v>
      </c>
      <c r="T148" s="31" t="s">
        <v>87</v>
      </c>
      <c r="U148" s="31" t="s">
        <v>442</v>
      </c>
      <c r="V148" s="31" t="s">
        <v>452</v>
      </c>
      <c r="W148" s="50">
        <v>45149</v>
      </c>
      <c r="X148" s="34">
        <v>560</v>
      </c>
      <c r="Y148" s="34">
        <v>5600</v>
      </c>
      <c r="Z148" s="34" t="s">
        <v>338</v>
      </c>
      <c r="AA148" s="34">
        <f t="shared" si="7"/>
        <v>0</v>
      </c>
      <c r="AB148" s="34">
        <f t="shared" si="8"/>
        <v>0</v>
      </c>
      <c r="AC148" s="25" t="s">
        <v>36</v>
      </c>
      <c r="AD148" s="25" t="s">
        <v>76</v>
      </c>
      <c r="AE148" s="25"/>
      <c r="AF148" s="25"/>
      <c r="AG148" s="25"/>
      <c r="AH148" s="35"/>
    </row>
    <row r="149" spans="1:34" ht="31.2">
      <c r="A149" s="23" t="s">
        <v>279</v>
      </c>
      <c r="B149" s="81"/>
      <c r="C149" s="25"/>
      <c r="D149" s="25"/>
      <c r="E149" s="25">
        <v>10</v>
      </c>
      <c r="F149" s="25">
        <v>100</v>
      </c>
      <c r="G149" s="26">
        <f t="shared" si="6"/>
        <v>1000</v>
      </c>
      <c r="H149" s="27" t="s">
        <v>146</v>
      </c>
      <c r="I149" s="28" t="s">
        <v>186</v>
      </c>
      <c r="J149" s="29">
        <v>100</v>
      </c>
      <c r="K149" s="29">
        <v>12</v>
      </c>
      <c r="L149" s="56" t="s">
        <v>313</v>
      </c>
      <c r="M149" s="31">
        <v>1000</v>
      </c>
      <c r="N149" s="31">
        <v>25</v>
      </c>
      <c r="O149" s="31" t="s">
        <v>76</v>
      </c>
      <c r="P149" s="32" t="s">
        <v>28</v>
      </c>
      <c r="Q149" s="33" t="s">
        <v>453</v>
      </c>
      <c r="R149" s="33" t="s">
        <v>454</v>
      </c>
      <c r="S149" s="29">
        <v>100</v>
      </c>
      <c r="T149" s="31" t="s">
        <v>87</v>
      </c>
      <c r="U149" s="31" t="s">
        <v>455</v>
      </c>
      <c r="V149" s="31" t="s">
        <v>456</v>
      </c>
      <c r="W149" s="50" t="s">
        <v>912</v>
      </c>
      <c r="X149" s="34">
        <v>100</v>
      </c>
      <c r="Y149" s="34">
        <v>1000</v>
      </c>
      <c r="Z149" s="34" t="s">
        <v>800</v>
      </c>
      <c r="AA149" s="34">
        <f t="shared" si="7"/>
        <v>0</v>
      </c>
      <c r="AB149" s="34">
        <f t="shared" si="8"/>
        <v>0</v>
      </c>
      <c r="AC149" s="25" t="s">
        <v>36</v>
      </c>
      <c r="AD149" s="25" t="s">
        <v>76</v>
      </c>
      <c r="AE149" s="25"/>
      <c r="AF149" s="25"/>
      <c r="AG149" s="25"/>
      <c r="AH149" s="35"/>
    </row>
    <row r="150" spans="1:34" ht="31.2">
      <c r="A150" s="23" t="s">
        <v>279</v>
      </c>
      <c r="B150" s="81">
        <v>6000024018</v>
      </c>
      <c r="C150" s="25" t="s">
        <v>414</v>
      </c>
      <c r="D150" s="25" t="s">
        <v>457</v>
      </c>
      <c r="E150" s="25">
        <v>10</v>
      </c>
      <c r="F150" s="25">
        <v>100</v>
      </c>
      <c r="G150" s="26">
        <f t="shared" si="6"/>
        <v>1000</v>
      </c>
      <c r="H150" s="27" t="s">
        <v>243</v>
      </c>
      <c r="I150" s="28" t="s">
        <v>186</v>
      </c>
      <c r="J150" s="29">
        <v>100</v>
      </c>
      <c r="K150" s="29">
        <v>12</v>
      </c>
      <c r="L150" s="56" t="s">
        <v>69</v>
      </c>
      <c r="M150" s="31">
        <v>1000</v>
      </c>
      <c r="N150" s="31">
        <v>25</v>
      </c>
      <c r="O150" s="31" t="s">
        <v>736</v>
      </c>
      <c r="P150" s="32" t="s">
        <v>28</v>
      </c>
      <c r="Q150" s="33" t="s">
        <v>458</v>
      </c>
      <c r="R150" s="33" t="s">
        <v>459</v>
      </c>
      <c r="S150" s="29">
        <v>100</v>
      </c>
      <c r="T150" s="31" t="s">
        <v>87</v>
      </c>
      <c r="U150" s="31" t="s">
        <v>460</v>
      </c>
      <c r="V150" s="31" t="s">
        <v>976</v>
      </c>
      <c r="W150" s="50">
        <v>45164</v>
      </c>
      <c r="X150" s="34">
        <v>100</v>
      </c>
      <c r="Y150" s="34">
        <v>1000</v>
      </c>
      <c r="Z150" s="34" t="s">
        <v>800</v>
      </c>
      <c r="AA150" s="34">
        <f t="shared" si="7"/>
        <v>0</v>
      </c>
      <c r="AB150" s="34">
        <f t="shared" si="8"/>
        <v>0</v>
      </c>
      <c r="AC150" s="25" t="s">
        <v>36</v>
      </c>
      <c r="AD150" s="25"/>
      <c r="AE150" s="25"/>
      <c r="AF150" s="25"/>
      <c r="AG150" s="25"/>
      <c r="AH150" s="35"/>
    </row>
    <row r="151" spans="1:34" ht="31.2">
      <c r="A151" s="23" t="s">
        <v>279</v>
      </c>
      <c r="B151" s="81"/>
      <c r="C151" s="25"/>
      <c r="D151" s="25"/>
      <c r="E151" s="25">
        <v>10</v>
      </c>
      <c r="F151" s="25">
        <v>690</v>
      </c>
      <c r="G151" s="26">
        <f t="shared" si="6"/>
        <v>6900</v>
      </c>
      <c r="H151" s="27" t="s">
        <v>27</v>
      </c>
      <c r="I151" s="28" t="s">
        <v>186</v>
      </c>
      <c r="J151" s="29">
        <v>690</v>
      </c>
      <c r="K151" s="29">
        <v>18</v>
      </c>
      <c r="L151" s="56" t="s">
        <v>380</v>
      </c>
      <c r="M151" s="31">
        <v>6900</v>
      </c>
      <c r="N151" s="31">
        <v>84</v>
      </c>
      <c r="O151" s="31" t="s">
        <v>76</v>
      </c>
      <c r="P151" s="32" t="s">
        <v>28</v>
      </c>
      <c r="Q151" s="33" t="s">
        <v>458</v>
      </c>
      <c r="R151" s="33" t="s">
        <v>459</v>
      </c>
      <c r="S151" s="29">
        <v>690</v>
      </c>
      <c r="T151" s="31" t="s">
        <v>87</v>
      </c>
      <c r="U151" s="31" t="s">
        <v>460</v>
      </c>
      <c r="V151" s="31" t="s">
        <v>461</v>
      </c>
      <c r="W151" s="50" t="s">
        <v>875</v>
      </c>
      <c r="X151" s="34">
        <v>690</v>
      </c>
      <c r="Y151" s="34">
        <v>6900</v>
      </c>
      <c r="Z151" s="34" t="s">
        <v>423</v>
      </c>
      <c r="AA151" s="34">
        <f t="shared" si="7"/>
        <v>0</v>
      </c>
      <c r="AB151" s="34">
        <f t="shared" si="8"/>
        <v>0</v>
      </c>
      <c r="AC151" s="25" t="s">
        <v>36</v>
      </c>
      <c r="AD151" s="25" t="s">
        <v>76</v>
      </c>
      <c r="AE151" s="25"/>
      <c r="AF151" s="25"/>
      <c r="AG151" s="25"/>
      <c r="AH151" s="35"/>
    </row>
    <row r="152" spans="1:34" ht="31.2">
      <c r="A152" s="23" t="s">
        <v>279</v>
      </c>
      <c r="B152" s="81"/>
      <c r="C152" s="25"/>
      <c r="D152" s="25"/>
      <c r="E152" s="25">
        <v>10</v>
      </c>
      <c r="F152" s="25">
        <v>1050</v>
      </c>
      <c r="G152" s="26">
        <f t="shared" si="6"/>
        <v>10500</v>
      </c>
      <c r="H152" s="27" t="s">
        <v>46</v>
      </c>
      <c r="I152" s="28" t="s">
        <v>186</v>
      </c>
      <c r="J152" s="29">
        <v>1050</v>
      </c>
      <c r="K152" s="29">
        <v>22</v>
      </c>
      <c r="L152" s="56" t="s">
        <v>380</v>
      </c>
      <c r="M152" s="31">
        <v>10500</v>
      </c>
      <c r="N152" s="31">
        <v>120</v>
      </c>
      <c r="O152" s="31" t="s">
        <v>76</v>
      </c>
      <c r="P152" s="32" t="s">
        <v>28</v>
      </c>
      <c r="Q152" s="33" t="s">
        <v>458</v>
      </c>
      <c r="R152" s="33" t="s">
        <v>459</v>
      </c>
      <c r="S152" s="29">
        <v>1050</v>
      </c>
      <c r="T152" s="31" t="s">
        <v>76</v>
      </c>
      <c r="U152" s="31" t="s">
        <v>76</v>
      </c>
      <c r="V152" s="31" t="s">
        <v>76</v>
      </c>
      <c r="W152" s="50">
        <v>45163</v>
      </c>
      <c r="X152" s="34">
        <v>1050</v>
      </c>
      <c r="Y152" s="34">
        <v>10500</v>
      </c>
      <c r="Z152" s="34" t="s">
        <v>758</v>
      </c>
      <c r="AA152" s="34">
        <f t="shared" si="7"/>
        <v>0</v>
      </c>
      <c r="AB152" s="34">
        <f t="shared" si="8"/>
        <v>0</v>
      </c>
      <c r="AC152" s="25" t="s">
        <v>36</v>
      </c>
      <c r="AD152" s="25" t="s">
        <v>76</v>
      </c>
      <c r="AE152" s="25"/>
      <c r="AF152" s="25"/>
      <c r="AG152" s="25"/>
      <c r="AH152" s="35"/>
    </row>
    <row r="153" spans="1:34" ht="31.2">
      <c r="A153" s="23" t="s">
        <v>279</v>
      </c>
      <c r="B153" s="81"/>
      <c r="C153" s="25"/>
      <c r="D153" s="25"/>
      <c r="E153" s="25">
        <v>10</v>
      </c>
      <c r="F153" s="25">
        <v>560</v>
      </c>
      <c r="G153" s="26">
        <f t="shared" si="6"/>
        <v>5600</v>
      </c>
      <c r="H153" s="27" t="s">
        <v>37</v>
      </c>
      <c r="I153" s="28" t="s">
        <v>163</v>
      </c>
      <c r="J153" s="29">
        <v>560</v>
      </c>
      <c r="K153" s="29">
        <v>18</v>
      </c>
      <c r="L153" s="56" t="s">
        <v>42</v>
      </c>
      <c r="M153" s="31">
        <v>5600</v>
      </c>
      <c r="N153" s="31">
        <v>71</v>
      </c>
      <c r="O153" s="31" t="s">
        <v>76</v>
      </c>
      <c r="P153" s="32" t="s">
        <v>28</v>
      </c>
      <c r="Q153" s="33" t="s">
        <v>387</v>
      </c>
      <c r="R153" s="33" t="s">
        <v>462</v>
      </c>
      <c r="S153" s="29">
        <v>560</v>
      </c>
      <c r="T153" s="31" t="s">
        <v>87</v>
      </c>
      <c r="U153" s="31" t="s">
        <v>460</v>
      </c>
      <c r="V153" s="31" t="s">
        <v>463</v>
      </c>
      <c r="W153" s="50">
        <v>45154</v>
      </c>
      <c r="X153" s="34">
        <v>560</v>
      </c>
      <c r="Y153" s="34">
        <v>5600</v>
      </c>
      <c r="Z153" s="34" t="s">
        <v>901</v>
      </c>
      <c r="AA153" s="34">
        <f t="shared" si="7"/>
        <v>0</v>
      </c>
      <c r="AB153" s="34">
        <f t="shared" si="8"/>
        <v>0</v>
      </c>
      <c r="AC153" s="25" t="s">
        <v>36</v>
      </c>
      <c r="AD153" s="25" t="s">
        <v>76</v>
      </c>
      <c r="AE153" s="25"/>
      <c r="AF153" s="25"/>
      <c r="AG153" s="25"/>
      <c r="AH153" s="35"/>
    </row>
    <row r="154" spans="1:34" ht="31.2">
      <c r="A154" s="23" t="s">
        <v>279</v>
      </c>
      <c r="B154" s="81"/>
      <c r="C154" s="25"/>
      <c r="D154" s="25"/>
      <c r="E154" s="25">
        <v>10</v>
      </c>
      <c r="F154" s="25">
        <v>100</v>
      </c>
      <c r="G154" s="26">
        <f t="shared" si="6"/>
        <v>1000</v>
      </c>
      <c r="H154" s="27" t="s">
        <v>146</v>
      </c>
      <c r="I154" s="28" t="s">
        <v>186</v>
      </c>
      <c r="J154" s="29">
        <v>100</v>
      </c>
      <c r="K154" s="29">
        <v>14</v>
      </c>
      <c r="L154" s="56" t="s">
        <v>380</v>
      </c>
      <c r="M154" s="31">
        <v>1000</v>
      </c>
      <c r="N154" s="31">
        <v>25</v>
      </c>
      <c r="O154" s="31" t="s">
        <v>76</v>
      </c>
      <c r="P154" s="32" t="s">
        <v>28</v>
      </c>
      <c r="Q154" s="33" t="s">
        <v>464</v>
      </c>
      <c r="R154" s="33" t="s">
        <v>465</v>
      </c>
      <c r="S154" s="29">
        <v>100</v>
      </c>
      <c r="T154" s="31" t="s">
        <v>87</v>
      </c>
      <c r="U154" s="31" t="s">
        <v>466</v>
      </c>
      <c r="V154" s="31" t="s">
        <v>467</v>
      </c>
      <c r="W154" s="50">
        <v>45159</v>
      </c>
      <c r="X154" s="34">
        <v>100</v>
      </c>
      <c r="Y154" s="34">
        <v>1000</v>
      </c>
      <c r="Z154" s="34" t="s">
        <v>800</v>
      </c>
      <c r="AA154" s="34">
        <f t="shared" si="7"/>
        <v>0</v>
      </c>
      <c r="AB154" s="34">
        <f t="shared" si="8"/>
        <v>0</v>
      </c>
      <c r="AC154" s="25" t="s">
        <v>36</v>
      </c>
      <c r="AD154" s="25" t="s">
        <v>76</v>
      </c>
      <c r="AE154" s="25"/>
      <c r="AF154" s="25"/>
      <c r="AG154" s="25"/>
      <c r="AH154" s="35"/>
    </row>
    <row r="155" spans="1:34" ht="31.2">
      <c r="A155" s="23" t="s">
        <v>279</v>
      </c>
      <c r="B155" s="81">
        <v>6000024019</v>
      </c>
      <c r="C155" s="25" t="s">
        <v>414</v>
      </c>
      <c r="D155" s="25" t="s">
        <v>468</v>
      </c>
      <c r="E155" s="25">
        <v>10</v>
      </c>
      <c r="F155" s="25">
        <v>100</v>
      </c>
      <c r="G155" s="26">
        <f t="shared" si="6"/>
        <v>1000</v>
      </c>
      <c r="H155" s="27" t="s">
        <v>243</v>
      </c>
      <c r="I155" s="28" t="s">
        <v>186</v>
      </c>
      <c r="J155" s="29">
        <v>100</v>
      </c>
      <c r="K155" s="29">
        <v>12</v>
      </c>
      <c r="L155" s="56" t="s">
        <v>42</v>
      </c>
      <c r="M155" s="31">
        <v>1000</v>
      </c>
      <c r="N155" s="31">
        <v>25</v>
      </c>
      <c r="O155" s="31" t="s">
        <v>76</v>
      </c>
      <c r="P155" s="32" t="s">
        <v>28</v>
      </c>
      <c r="Q155" s="33" t="s">
        <v>469</v>
      </c>
      <c r="R155" s="33" t="s">
        <v>470</v>
      </c>
      <c r="S155" s="29">
        <v>100</v>
      </c>
      <c r="T155" s="31" t="s">
        <v>87</v>
      </c>
      <c r="U155" s="31" t="s">
        <v>471</v>
      </c>
      <c r="V155" s="31" t="s">
        <v>472</v>
      </c>
      <c r="W155" s="50" t="s">
        <v>880</v>
      </c>
      <c r="X155" s="34">
        <v>100</v>
      </c>
      <c r="Y155" s="34">
        <v>1000</v>
      </c>
      <c r="Z155" s="34" t="s">
        <v>800</v>
      </c>
      <c r="AA155" s="34">
        <f t="shared" si="7"/>
        <v>0</v>
      </c>
      <c r="AB155" s="34">
        <f t="shared" si="8"/>
        <v>0</v>
      </c>
      <c r="AC155" s="25" t="s">
        <v>36</v>
      </c>
      <c r="AD155" s="25" t="s">
        <v>76</v>
      </c>
      <c r="AE155" s="25"/>
      <c r="AF155" s="25"/>
      <c r="AG155" s="25"/>
      <c r="AH155" s="35"/>
    </row>
    <row r="156" spans="1:34" ht="31.2">
      <c r="A156" s="23" t="s">
        <v>279</v>
      </c>
      <c r="B156" s="81"/>
      <c r="C156" s="25"/>
      <c r="D156" s="25"/>
      <c r="E156" s="25">
        <v>10</v>
      </c>
      <c r="F156" s="25">
        <v>690</v>
      </c>
      <c r="G156" s="26">
        <f t="shared" si="6"/>
        <v>6900</v>
      </c>
      <c r="H156" s="27" t="s">
        <v>27</v>
      </c>
      <c r="I156" s="28" t="s">
        <v>186</v>
      </c>
      <c r="J156" s="29">
        <v>690</v>
      </c>
      <c r="K156" s="29">
        <v>21</v>
      </c>
      <c r="L156" s="56" t="s">
        <v>42</v>
      </c>
      <c r="M156" s="31">
        <v>6900</v>
      </c>
      <c r="N156" s="31">
        <v>84</v>
      </c>
      <c r="O156" s="31" t="s">
        <v>76</v>
      </c>
      <c r="P156" s="32" t="s">
        <v>28</v>
      </c>
      <c r="Q156" s="33" t="s">
        <v>469</v>
      </c>
      <c r="R156" s="33" t="s">
        <v>470</v>
      </c>
      <c r="S156" s="29">
        <v>690</v>
      </c>
      <c r="T156" s="31" t="s">
        <v>87</v>
      </c>
      <c r="U156" s="31" t="s">
        <v>471</v>
      </c>
      <c r="V156" s="31" t="s">
        <v>472</v>
      </c>
      <c r="W156" s="50" t="s">
        <v>69</v>
      </c>
      <c r="X156" s="34">
        <v>690</v>
      </c>
      <c r="Y156" s="34">
        <v>6900</v>
      </c>
      <c r="Z156" s="34" t="s">
        <v>473</v>
      </c>
      <c r="AA156" s="34">
        <f t="shared" si="7"/>
        <v>0</v>
      </c>
      <c r="AB156" s="34">
        <f t="shared" si="8"/>
        <v>0</v>
      </c>
      <c r="AC156" s="25" t="s">
        <v>36</v>
      </c>
      <c r="AD156" s="25" t="s">
        <v>76</v>
      </c>
      <c r="AE156" s="25"/>
      <c r="AF156" s="25"/>
      <c r="AG156" s="25"/>
      <c r="AH156" s="35"/>
    </row>
    <row r="157" spans="1:34" ht="31.2">
      <c r="A157" s="23" t="s">
        <v>279</v>
      </c>
      <c r="B157" s="81"/>
      <c r="C157" s="25"/>
      <c r="D157" s="25"/>
      <c r="E157" s="25">
        <v>10</v>
      </c>
      <c r="F157" s="25">
        <v>1070</v>
      </c>
      <c r="G157" s="26">
        <f t="shared" si="6"/>
        <v>10700</v>
      </c>
      <c r="H157" s="27" t="s">
        <v>46</v>
      </c>
      <c r="I157" s="28" t="s">
        <v>186</v>
      </c>
      <c r="J157" s="29">
        <v>1070</v>
      </c>
      <c r="K157" s="29">
        <v>22</v>
      </c>
      <c r="L157" s="56" t="s">
        <v>42</v>
      </c>
      <c r="M157" s="31">
        <v>10700</v>
      </c>
      <c r="N157" s="31">
        <v>122</v>
      </c>
      <c r="O157" s="31" t="s">
        <v>76</v>
      </c>
      <c r="P157" s="32" t="s">
        <v>28</v>
      </c>
      <c r="Q157" s="33" t="s">
        <v>469</v>
      </c>
      <c r="R157" s="33" t="s">
        <v>470</v>
      </c>
      <c r="S157" s="29">
        <v>1070</v>
      </c>
      <c r="T157" s="31" t="s">
        <v>87</v>
      </c>
      <c r="U157" s="31" t="s">
        <v>471</v>
      </c>
      <c r="V157" s="31" t="s">
        <v>472</v>
      </c>
      <c r="W157" s="50" t="s">
        <v>847</v>
      </c>
      <c r="X157" s="34">
        <v>1070</v>
      </c>
      <c r="Y157" s="34">
        <v>10700</v>
      </c>
      <c r="Z157" s="34" t="s">
        <v>727</v>
      </c>
      <c r="AA157" s="34">
        <f t="shared" si="7"/>
        <v>0</v>
      </c>
      <c r="AB157" s="34">
        <f t="shared" si="8"/>
        <v>0</v>
      </c>
      <c r="AC157" s="25" t="s">
        <v>36</v>
      </c>
      <c r="AD157" s="25" t="s">
        <v>76</v>
      </c>
      <c r="AE157" s="25"/>
      <c r="AF157" s="25"/>
      <c r="AG157" s="25"/>
      <c r="AH157" s="35"/>
    </row>
    <row r="158" spans="1:34" ht="31.2">
      <c r="A158" s="23" t="s">
        <v>279</v>
      </c>
      <c r="B158" s="81"/>
      <c r="C158" s="25"/>
      <c r="D158" s="25"/>
      <c r="E158" s="25">
        <v>10</v>
      </c>
      <c r="F158" s="25">
        <v>560</v>
      </c>
      <c r="G158" s="26">
        <f t="shared" si="6"/>
        <v>5600</v>
      </c>
      <c r="H158" s="27" t="s">
        <v>37</v>
      </c>
      <c r="I158" s="28" t="s">
        <v>186</v>
      </c>
      <c r="J158" s="29">
        <v>560</v>
      </c>
      <c r="K158" s="29">
        <v>17</v>
      </c>
      <c r="L158" s="56" t="s">
        <v>69</v>
      </c>
      <c r="M158" s="31">
        <v>5600</v>
      </c>
      <c r="N158" s="31">
        <v>71</v>
      </c>
      <c r="O158" s="31" t="s">
        <v>738</v>
      </c>
      <c r="P158" s="32" t="s">
        <v>28</v>
      </c>
      <c r="Q158" s="33" t="s">
        <v>469</v>
      </c>
      <c r="R158" s="33" t="s">
        <v>470</v>
      </c>
      <c r="S158" s="29">
        <v>560</v>
      </c>
      <c r="T158" s="31" t="s">
        <v>87</v>
      </c>
      <c r="U158" s="31" t="s">
        <v>471</v>
      </c>
      <c r="V158" s="31" t="s">
        <v>977</v>
      </c>
      <c r="W158" s="50" t="s">
        <v>753</v>
      </c>
      <c r="X158" s="34">
        <v>560</v>
      </c>
      <c r="Y158" s="34">
        <v>5600</v>
      </c>
      <c r="Z158" s="34" t="s">
        <v>439</v>
      </c>
      <c r="AA158" s="34">
        <f t="shared" si="7"/>
        <v>0</v>
      </c>
      <c r="AB158" s="34">
        <f t="shared" si="8"/>
        <v>0</v>
      </c>
      <c r="AC158" s="25" t="s">
        <v>36</v>
      </c>
      <c r="AD158" s="25"/>
      <c r="AE158" s="25"/>
      <c r="AF158" s="25"/>
      <c r="AG158" s="25"/>
      <c r="AH158" s="35"/>
    </row>
    <row r="159" spans="1:34" ht="31.2">
      <c r="A159" s="23" t="s">
        <v>279</v>
      </c>
      <c r="B159" s="81"/>
      <c r="C159" s="25"/>
      <c r="D159" s="25"/>
      <c r="E159" s="25">
        <v>10</v>
      </c>
      <c r="F159" s="25">
        <v>100</v>
      </c>
      <c r="G159" s="26">
        <f t="shared" si="6"/>
        <v>1000</v>
      </c>
      <c r="H159" s="27" t="s">
        <v>146</v>
      </c>
      <c r="I159" s="28" t="s">
        <v>186</v>
      </c>
      <c r="J159" s="29">
        <v>100</v>
      </c>
      <c r="K159" s="29">
        <v>14</v>
      </c>
      <c r="L159" s="56" t="s">
        <v>42</v>
      </c>
      <c r="M159" s="31">
        <v>1000</v>
      </c>
      <c r="N159" s="31">
        <v>25</v>
      </c>
      <c r="O159" s="31" t="s">
        <v>76</v>
      </c>
      <c r="P159" s="32" t="s">
        <v>28</v>
      </c>
      <c r="Q159" s="33" t="s">
        <v>474</v>
      </c>
      <c r="R159" s="33" t="s">
        <v>475</v>
      </c>
      <c r="S159" s="29">
        <v>100</v>
      </c>
      <c r="T159" s="31" t="s">
        <v>87</v>
      </c>
      <c r="U159" s="31" t="s">
        <v>476</v>
      </c>
      <c r="V159" s="31" t="s">
        <v>477</v>
      </c>
      <c r="W159" s="50" t="s">
        <v>903</v>
      </c>
      <c r="X159" s="34">
        <v>100</v>
      </c>
      <c r="Y159" s="34">
        <v>1000</v>
      </c>
      <c r="Z159" s="34" t="s">
        <v>800</v>
      </c>
      <c r="AA159" s="34">
        <f t="shared" si="7"/>
        <v>0</v>
      </c>
      <c r="AB159" s="34">
        <f t="shared" si="8"/>
        <v>0</v>
      </c>
      <c r="AC159" s="25" t="s">
        <v>36</v>
      </c>
      <c r="AD159" s="25" t="s">
        <v>76</v>
      </c>
      <c r="AE159" s="25"/>
      <c r="AF159" s="25"/>
      <c r="AG159" s="25"/>
      <c r="AH159" s="35"/>
    </row>
    <row r="160" spans="1:34" ht="31.2">
      <c r="A160" s="23" t="s">
        <v>279</v>
      </c>
      <c r="B160" s="81">
        <v>6000024020</v>
      </c>
      <c r="C160" s="25" t="s">
        <v>414</v>
      </c>
      <c r="D160" s="25" t="s">
        <v>478</v>
      </c>
      <c r="E160" s="25">
        <v>10</v>
      </c>
      <c r="F160" s="25">
        <v>100</v>
      </c>
      <c r="G160" s="26">
        <f t="shared" si="6"/>
        <v>1000</v>
      </c>
      <c r="H160" s="27" t="s">
        <v>243</v>
      </c>
      <c r="I160" s="28" t="s">
        <v>186</v>
      </c>
      <c r="J160" s="29">
        <v>100</v>
      </c>
      <c r="K160" s="29">
        <v>12</v>
      </c>
      <c r="L160" s="56" t="s">
        <v>42</v>
      </c>
      <c r="M160" s="31">
        <v>1000</v>
      </c>
      <c r="N160" s="31">
        <v>25</v>
      </c>
      <c r="O160" s="31" t="s">
        <v>76</v>
      </c>
      <c r="P160" s="32" t="s">
        <v>28</v>
      </c>
      <c r="Q160" s="33" t="s">
        <v>479</v>
      </c>
      <c r="R160" s="33" t="s">
        <v>480</v>
      </c>
      <c r="S160" s="29">
        <v>100</v>
      </c>
      <c r="T160" s="31" t="s">
        <v>87</v>
      </c>
      <c r="U160" s="31" t="s">
        <v>481</v>
      </c>
      <c r="V160" s="31" t="s">
        <v>482</v>
      </c>
      <c r="W160" s="50" t="s">
        <v>880</v>
      </c>
      <c r="X160" s="34">
        <v>100</v>
      </c>
      <c r="Y160" s="34">
        <v>1000</v>
      </c>
      <c r="Z160" s="34" t="s">
        <v>800</v>
      </c>
      <c r="AA160" s="34">
        <f t="shared" si="7"/>
        <v>0</v>
      </c>
      <c r="AB160" s="34">
        <f t="shared" si="8"/>
        <v>0</v>
      </c>
      <c r="AC160" s="25" t="s">
        <v>36</v>
      </c>
      <c r="AD160" s="25" t="s">
        <v>76</v>
      </c>
      <c r="AE160" s="25"/>
      <c r="AF160" s="25"/>
      <c r="AG160" s="25"/>
      <c r="AH160" s="35"/>
    </row>
    <row r="161" spans="1:34" ht="15.6">
      <c r="A161" s="23" t="s">
        <v>279</v>
      </c>
      <c r="B161" s="81"/>
      <c r="C161" s="25"/>
      <c r="D161" s="25"/>
      <c r="E161" s="25">
        <v>10</v>
      </c>
      <c r="F161" s="25">
        <v>690</v>
      </c>
      <c r="G161" s="26">
        <f t="shared" si="6"/>
        <v>6900</v>
      </c>
      <c r="H161" s="27" t="s">
        <v>27</v>
      </c>
      <c r="I161" s="28" t="s">
        <v>167</v>
      </c>
      <c r="J161" s="29">
        <v>690</v>
      </c>
      <c r="K161" s="29">
        <v>17</v>
      </c>
      <c r="L161" s="56" t="s">
        <v>42</v>
      </c>
      <c r="M161" s="31">
        <v>6900</v>
      </c>
      <c r="N161" s="31">
        <v>84</v>
      </c>
      <c r="O161" s="31" t="s">
        <v>76</v>
      </c>
      <c r="P161" s="32" t="s">
        <v>28</v>
      </c>
      <c r="Q161" s="33" t="s">
        <v>479</v>
      </c>
      <c r="R161" s="33" t="s">
        <v>483</v>
      </c>
      <c r="S161" s="29">
        <v>690</v>
      </c>
      <c r="T161" s="31" t="s">
        <v>87</v>
      </c>
      <c r="U161" s="31" t="s">
        <v>481</v>
      </c>
      <c r="V161" s="31" t="s">
        <v>482</v>
      </c>
      <c r="W161" s="50" t="s">
        <v>756</v>
      </c>
      <c r="X161" s="34">
        <v>690</v>
      </c>
      <c r="Y161" s="34">
        <v>6900</v>
      </c>
      <c r="Z161" s="34" t="s">
        <v>759</v>
      </c>
      <c r="AA161" s="34">
        <f t="shared" si="7"/>
        <v>0</v>
      </c>
      <c r="AB161" s="34">
        <f t="shared" si="8"/>
        <v>0</v>
      </c>
      <c r="AC161" s="25" t="s">
        <v>36</v>
      </c>
      <c r="AD161" s="25" t="s">
        <v>76</v>
      </c>
      <c r="AE161" s="25"/>
      <c r="AF161" s="25"/>
      <c r="AG161" s="25"/>
      <c r="AH161" s="35"/>
    </row>
    <row r="162" spans="1:34" ht="15.6">
      <c r="A162" s="23" t="s">
        <v>279</v>
      </c>
      <c r="B162" s="81"/>
      <c r="C162" s="25"/>
      <c r="D162" s="25"/>
      <c r="E162" s="25">
        <v>10</v>
      </c>
      <c r="F162" s="25">
        <v>1070</v>
      </c>
      <c r="G162" s="26">
        <f t="shared" si="6"/>
        <v>10700</v>
      </c>
      <c r="H162" s="27" t="s">
        <v>46</v>
      </c>
      <c r="I162" s="28" t="s">
        <v>167</v>
      </c>
      <c r="J162" s="29">
        <v>1070</v>
      </c>
      <c r="K162" s="29">
        <v>24</v>
      </c>
      <c r="L162" s="56" t="s">
        <v>42</v>
      </c>
      <c r="M162" s="31">
        <v>10700</v>
      </c>
      <c r="N162" s="31">
        <v>122</v>
      </c>
      <c r="O162" s="31" t="s">
        <v>76</v>
      </c>
      <c r="P162" s="32" t="s">
        <v>28</v>
      </c>
      <c r="Q162" s="33" t="s">
        <v>479</v>
      </c>
      <c r="R162" s="33" t="s">
        <v>483</v>
      </c>
      <c r="S162" s="29">
        <v>1070</v>
      </c>
      <c r="T162" s="31" t="s">
        <v>87</v>
      </c>
      <c r="U162" s="31" t="s">
        <v>481</v>
      </c>
      <c r="V162" s="31" t="s">
        <v>484</v>
      </c>
      <c r="W162" s="50" t="s">
        <v>903</v>
      </c>
      <c r="X162" s="34">
        <v>1070</v>
      </c>
      <c r="Y162" s="34">
        <v>10700</v>
      </c>
      <c r="Z162" s="34" t="s">
        <v>727</v>
      </c>
      <c r="AA162" s="34">
        <f t="shared" si="7"/>
        <v>0</v>
      </c>
      <c r="AB162" s="34">
        <f t="shared" si="8"/>
        <v>0</v>
      </c>
      <c r="AC162" s="25" t="s">
        <v>36</v>
      </c>
      <c r="AD162" s="25" t="s">
        <v>76</v>
      </c>
      <c r="AE162" s="25"/>
      <c r="AF162" s="25"/>
      <c r="AG162" s="25"/>
      <c r="AH162" s="35"/>
    </row>
    <row r="163" spans="1:34" ht="31.2">
      <c r="A163" s="23" t="s">
        <v>279</v>
      </c>
      <c r="B163" s="81"/>
      <c r="C163" s="25"/>
      <c r="D163" s="25"/>
      <c r="E163" s="25">
        <v>10</v>
      </c>
      <c r="F163" s="25">
        <v>560</v>
      </c>
      <c r="G163" s="26">
        <f t="shared" si="6"/>
        <v>5600</v>
      </c>
      <c r="H163" s="27" t="s">
        <v>37</v>
      </c>
      <c r="I163" s="28" t="s">
        <v>163</v>
      </c>
      <c r="J163" s="29">
        <v>560</v>
      </c>
      <c r="K163" s="29">
        <v>18</v>
      </c>
      <c r="L163" s="56" t="s">
        <v>69</v>
      </c>
      <c r="M163" s="31">
        <v>5600</v>
      </c>
      <c r="N163" s="31">
        <v>71</v>
      </c>
      <c r="O163" s="31" t="s">
        <v>738</v>
      </c>
      <c r="P163" s="32" t="s">
        <v>28</v>
      </c>
      <c r="Q163" s="33" t="s">
        <v>479</v>
      </c>
      <c r="R163" s="33" t="s">
        <v>485</v>
      </c>
      <c r="S163" s="29">
        <v>560</v>
      </c>
      <c r="T163" s="31" t="s">
        <v>87</v>
      </c>
      <c r="U163" s="31" t="s">
        <v>481</v>
      </c>
      <c r="V163" s="31" t="s">
        <v>978</v>
      </c>
      <c r="W163" s="50" t="s">
        <v>787</v>
      </c>
      <c r="X163" s="34">
        <v>560</v>
      </c>
      <c r="Y163" s="34">
        <v>5600</v>
      </c>
      <c r="Z163" s="34" t="s">
        <v>439</v>
      </c>
      <c r="AA163" s="34">
        <f t="shared" si="7"/>
        <v>0</v>
      </c>
      <c r="AB163" s="34">
        <f t="shared" si="8"/>
        <v>0</v>
      </c>
      <c r="AC163" s="25" t="s">
        <v>36</v>
      </c>
      <c r="AD163" s="25"/>
      <c r="AE163" s="25"/>
      <c r="AF163" s="25"/>
      <c r="AG163" s="25"/>
      <c r="AH163" s="35"/>
    </row>
    <row r="164" spans="1:34" ht="31.2">
      <c r="A164" s="23" t="s">
        <v>279</v>
      </c>
      <c r="B164" s="81"/>
      <c r="C164" s="25"/>
      <c r="D164" s="25"/>
      <c r="E164" s="25">
        <v>10</v>
      </c>
      <c r="F164" s="25">
        <v>100</v>
      </c>
      <c r="G164" s="26">
        <f t="shared" si="6"/>
        <v>1000</v>
      </c>
      <c r="H164" s="27" t="s">
        <v>146</v>
      </c>
      <c r="I164" s="28" t="s">
        <v>186</v>
      </c>
      <c r="J164" s="29">
        <v>100</v>
      </c>
      <c r="K164" s="29">
        <v>11</v>
      </c>
      <c r="L164" s="56" t="s">
        <v>42</v>
      </c>
      <c r="M164" s="31">
        <v>1000</v>
      </c>
      <c r="N164" s="31">
        <v>25</v>
      </c>
      <c r="O164" s="31" t="s">
        <v>76</v>
      </c>
      <c r="P164" s="32" t="s">
        <v>28</v>
      </c>
      <c r="Q164" s="33" t="s">
        <v>486</v>
      </c>
      <c r="R164" s="33" t="s">
        <v>487</v>
      </c>
      <c r="S164" s="29">
        <v>100</v>
      </c>
      <c r="T164" s="31" t="s">
        <v>87</v>
      </c>
      <c r="U164" s="31" t="s">
        <v>488</v>
      </c>
      <c r="V164" s="31" t="s">
        <v>489</v>
      </c>
      <c r="W164" s="50" t="s">
        <v>903</v>
      </c>
      <c r="X164" s="34">
        <v>100</v>
      </c>
      <c r="Y164" s="34">
        <v>1000</v>
      </c>
      <c r="Z164" s="34" t="s">
        <v>800</v>
      </c>
      <c r="AA164" s="34">
        <f t="shared" si="7"/>
        <v>0</v>
      </c>
      <c r="AB164" s="34">
        <f t="shared" si="8"/>
        <v>0</v>
      </c>
      <c r="AC164" s="25" t="s">
        <v>36</v>
      </c>
      <c r="AD164" s="25"/>
      <c r="AE164" s="25"/>
      <c r="AF164" s="25"/>
      <c r="AG164" s="25"/>
      <c r="AH164" s="35"/>
    </row>
    <row r="165" spans="1:34" ht="31.2">
      <c r="A165" s="23" t="s">
        <v>279</v>
      </c>
      <c r="B165" s="81">
        <v>6000024021</v>
      </c>
      <c r="C165" s="25" t="s">
        <v>414</v>
      </c>
      <c r="D165" s="25" t="s">
        <v>490</v>
      </c>
      <c r="E165" s="25">
        <v>10</v>
      </c>
      <c r="F165" s="25">
        <v>100</v>
      </c>
      <c r="G165" s="26">
        <f t="shared" si="6"/>
        <v>1000</v>
      </c>
      <c r="H165" s="27" t="s">
        <v>243</v>
      </c>
      <c r="I165" s="28" t="s">
        <v>186</v>
      </c>
      <c r="J165" s="29">
        <v>100</v>
      </c>
      <c r="K165" s="29">
        <v>11</v>
      </c>
      <c r="L165" s="56" t="s">
        <v>69</v>
      </c>
      <c r="M165" s="31">
        <v>1000</v>
      </c>
      <c r="N165" s="31">
        <v>25</v>
      </c>
      <c r="O165" s="31" t="s">
        <v>736</v>
      </c>
      <c r="P165" s="32" t="s">
        <v>28</v>
      </c>
      <c r="Q165" s="33" t="s">
        <v>491</v>
      </c>
      <c r="R165" s="33" t="s">
        <v>492</v>
      </c>
      <c r="S165" s="29">
        <v>100</v>
      </c>
      <c r="T165" s="31" t="s">
        <v>87</v>
      </c>
      <c r="U165" s="31" t="s">
        <v>493</v>
      </c>
      <c r="V165" s="31" t="s">
        <v>979</v>
      </c>
      <c r="W165" s="50" t="s">
        <v>912</v>
      </c>
      <c r="X165" s="34">
        <v>100</v>
      </c>
      <c r="Y165" s="34">
        <v>1000</v>
      </c>
      <c r="Z165" s="34" t="s">
        <v>800</v>
      </c>
      <c r="AA165" s="34">
        <f t="shared" si="7"/>
        <v>0</v>
      </c>
      <c r="AB165" s="34">
        <f t="shared" si="8"/>
        <v>0</v>
      </c>
      <c r="AC165" s="25" t="s">
        <v>36</v>
      </c>
      <c r="AD165" s="25"/>
      <c r="AE165" s="25"/>
      <c r="AF165" s="25"/>
      <c r="AG165" s="25"/>
      <c r="AH165" s="35"/>
    </row>
    <row r="166" spans="1:34" ht="31.2">
      <c r="A166" s="23" t="s">
        <v>279</v>
      </c>
      <c r="B166" s="81"/>
      <c r="C166" s="25"/>
      <c r="D166" s="25"/>
      <c r="E166" s="25">
        <v>10</v>
      </c>
      <c r="F166" s="25">
        <v>690</v>
      </c>
      <c r="G166" s="26">
        <f t="shared" si="6"/>
        <v>6900</v>
      </c>
      <c r="H166" s="27" t="s">
        <v>27</v>
      </c>
      <c r="I166" s="28" t="s">
        <v>186</v>
      </c>
      <c r="J166" s="29">
        <v>690</v>
      </c>
      <c r="K166" s="29">
        <v>20</v>
      </c>
      <c r="L166" s="56" t="s">
        <v>42</v>
      </c>
      <c r="M166" s="31">
        <v>6900</v>
      </c>
      <c r="N166" s="31">
        <v>84</v>
      </c>
      <c r="O166" s="31" t="s">
        <v>76</v>
      </c>
      <c r="P166" s="32" t="s">
        <v>28</v>
      </c>
      <c r="Q166" s="33" t="s">
        <v>491</v>
      </c>
      <c r="R166" s="33" t="s">
        <v>492</v>
      </c>
      <c r="S166" s="29">
        <v>690</v>
      </c>
      <c r="T166" s="31" t="s">
        <v>87</v>
      </c>
      <c r="U166" s="31" t="s">
        <v>493</v>
      </c>
      <c r="V166" s="31" t="s">
        <v>494</v>
      </c>
      <c r="W166" s="50" t="s">
        <v>799</v>
      </c>
      <c r="X166" s="34">
        <v>690</v>
      </c>
      <c r="Y166" s="34">
        <v>6900</v>
      </c>
      <c r="Z166" s="34" t="s">
        <v>423</v>
      </c>
      <c r="AA166" s="34">
        <f t="shared" si="7"/>
        <v>0</v>
      </c>
      <c r="AB166" s="34">
        <f t="shared" si="8"/>
        <v>0</v>
      </c>
      <c r="AC166" s="25" t="s">
        <v>36</v>
      </c>
      <c r="AD166" s="25"/>
      <c r="AE166" s="25"/>
      <c r="AF166" s="25"/>
      <c r="AG166" s="25"/>
      <c r="AH166" s="35"/>
    </row>
    <row r="167" spans="1:34" ht="31.2">
      <c r="A167" s="23" t="s">
        <v>279</v>
      </c>
      <c r="B167" s="81"/>
      <c r="C167" s="25"/>
      <c r="D167" s="25"/>
      <c r="E167" s="25">
        <v>10</v>
      </c>
      <c r="F167" s="25">
        <v>1070</v>
      </c>
      <c r="G167" s="26">
        <f t="shared" si="6"/>
        <v>10700</v>
      </c>
      <c r="H167" s="27" t="s">
        <v>46</v>
      </c>
      <c r="I167" s="28" t="s">
        <v>313</v>
      </c>
      <c r="J167" s="29">
        <v>1070</v>
      </c>
      <c r="K167" s="29">
        <v>21</v>
      </c>
      <c r="L167" s="56" t="s">
        <v>69</v>
      </c>
      <c r="M167" s="31">
        <v>10700</v>
      </c>
      <c r="N167" s="31">
        <v>122</v>
      </c>
      <c r="O167" s="31" t="s">
        <v>738</v>
      </c>
      <c r="P167" s="32" t="s">
        <v>28</v>
      </c>
      <c r="Q167" s="33" t="s">
        <v>491</v>
      </c>
      <c r="R167" s="33" t="s">
        <v>495</v>
      </c>
      <c r="S167" s="29">
        <v>1070</v>
      </c>
      <c r="T167" s="31" t="s">
        <v>87</v>
      </c>
      <c r="U167" s="31" t="s">
        <v>493</v>
      </c>
      <c r="V167" s="31" t="s">
        <v>979</v>
      </c>
      <c r="W167" s="50" t="s">
        <v>920</v>
      </c>
      <c r="X167" s="34">
        <v>1070</v>
      </c>
      <c r="Y167" s="34">
        <v>10700</v>
      </c>
      <c r="Z167" s="34" t="s">
        <v>727</v>
      </c>
      <c r="AA167" s="34">
        <f t="shared" si="7"/>
        <v>0</v>
      </c>
      <c r="AB167" s="34">
        <f t="shared" si="8"/>
        <v>0</v>
      </c>
      <c r="AC167" s="25" t="s">
        <v>36</v>
      </c>
      <c r="AD167" s="25"/>
      <c r="AE167" s="25"/>
      <c r="AF167" s="25"/>
      <c r="AG167" s="25"/>
      <c r="AH167" s="35"/>
    </row>
    <row r="168" spans="1:34" ht="31.2">
      <c r="A168" s="23" t="s">
        <v>279</v>
      </c>
      <c r="B168" s="81"/>
      <c r="C168" s="25"/>
      <c r="D168" s="25"/>
      <c r="E168" s="25">
        <v>10</v>
      </c>
      <c r="F168" s="25">
        <v>560</v>
      </c>
      <c r="G168" s="26">
        <f t="shared" si="6"/>
        <v>5600</v>
      </c>
      <c r="H168" s="27" t="s">
        <v>37</v>
      </c>
      <c r="I168" s="28" t="s">
        <v>163</v>
      </c>
      <c r="J168" s="29">
        <v>560</v>
      </c>
      <c r="K168" s="29">
        <v>16</v>
      </c>
      <c r="L168" s="56" t="s">
        <v>69</v>
      </c>
      <c r="M168" s="31">
        <v>5600</v>
      </c>
      <c r="N168" s="31">
        <v>71</v>
      </c>
      <c r="O168" s="31" t="s">
        <v>737</v>
      </c>
      <c r="P168" s="32" t="s">
        <v>28</v>
      </c>
      <c r="Q168" s="33" t="s">
        <v>491</v>
      </c>
      <c r="R168" s="33" t="s">
        <v>496</v>
      </c>
      <c r="S168" s="29">
        <v>560</v>
      </c>
      <c r="T168" s="31" t="s">
        <v>87</v>
      </c>
      <c r="U168" s="31" t="s">
        <v>493</v>
      </c>
      <c r="V168" s="31" t="s">
        <v>979</v>
      </c>
      <c r="W168" s="50" t="s">
        <v>799</v>
      </c>
      <c r="X168" s="34">
        <v>560</v>
      </c>
      <c r="Y168" s="34">
        <v>5600</v>
      </c>
      <c r="Z168" s="34" t="s">
        <v>439</v>
      </c>
      <c r="AA168" s="34">
        <f t="shared" si="7"/>
        <v>0</v>
      </c>
      <c r="AB168" s="34">
        <f t="shared" si="8"/>
        <v>0</v>
      </c>
      <c r="AC168" s="25" t="s">
        <v>36</v>
      </c>
      <c r="AD168" s="25"/>
      <c r="AE168" s="25"/>
      <c r="AF168" s="25"/>
      <c r="AG168" s="25"/>
      <c r="AH168" s="35"/>
    </row>
    <row r="169" spans="1:34" ht="31.2">
      <c r="A169" s="23" t="s">
        <v>279</v>
      </c>
      <c r="B169" s="81"/>
      <c r="C169" s="25"/>
      <c r="D169" s="25"/>
      <c r="E169" s="25">
        <v>10</v>
      </c>
      <c r="F169" s="25">
        <v>100</v>
      </c>
      <c r="G169" s="26">
        <f t="shared" si="6"/>
        <v>1000</v>
      </c>
      <c r="H169" s="27" t="s">
        <v>146</v>
      </c>
      <c r="I169" s="28" t="s">
        <v>186</v>
      </c>
      <c r="J169" s="29">
        <v>100</v>
      </c>
      <c r="K169" s="29">
        <v>13</v>
      </c>
      <c r="L169" s="56" t="s">
        <v>42</v>
      </c>
      <c r="M169" s="31">
        <v>1000</v>
      </c>
      <c r="N169" s="31">
        <v>25</v>
      </c>
      <c r="O169" s="31" t="s">
        <v>76</v>
      </c>
      <c r="P169" s="32" t="s">
        <v>28</v>
      </c>
      <c r="Q169" s="33" t="s">
        <v>497</v>
      </c>
      <c r="R169" s="33" t="s">
        <v>498</v>
      </c>
      <c r="S169" s="29">
        <v>100</v>
      </c>
      <c r="T169" s="31" t="s">
        <v>87</v>
      </c>
      <c r="U169" s="31" t="s">
        <v>499</v>
      </c>
      <c r="V169" s="31" t="s">
        <v>500</v>
      </c>
      <c r="W169" s="50" t="s">
        <v>1372</v>
      </c>
      <c r="X169" s="34">
        <v>100</v>
      </c>
      <c r="Y169" s="34">
        <v>1000</v>
      </c>
      <c r="Z169" s="34" t="s">
        <v>826</v>
      </c>
      <c r="AA169" s="34">
        <f t="shared" si="7"/>
        <v>0</v>
      </c>
      <c r="AB169" s="34">
        <f t="shared" si="8"/>
        <v>0</v>
      </c>
      <c r="AC169" s="25" t="s">
        <v>36</v>
      </c>
      <c r="AD169" s="25"/>
      <c r="AE169" s="25"/>
      <c r="AF169" s="25"/>
      <c r="AG169" s="25"/>
      <c r="AH169" s="35"/>
    </row>
    <row r="170" spans="1:34" ht="31.2">
      <c r="A170" s="23" t="s">
        <v>279</v>
      </c>
      <c r="B170" s="81">
        <v>6000024022</v>
      </c>
      <c r="C170" s="25" t="s">
        <v>414</v>
      </c>
      <c r="D170" s="25" t="s">
        <v>501</v>
      </c>
      <c r="E170" s="25">
        <v>10</v>
      </c>
      <c r="F170" s="25">
        <v>100</v>
      </c>
      <c r="G170" s="26">
        <f t="shared" si="6"/>
        <v>1000</v>
      </c>
      <c r="H170" s="27" t="s">
        <v>243</v>
      </c>
      <c r="I170" s="28" t="s">
        <v>186</v>
      </c>
      <c r="J170" s="29">
        <v>100</v>
      </c>
      <c r="K170" s="29">
        <v>13</v>
      </c>
      <c r="L170" s="56" t="s">
        <v>69</v>
      </c>
      <c r="M170" s="31">
        <v>1000</v>
      </c>
      <c r="N170" s="31">
        <v>25</v>
      </c>
      <c r="O170" s="31" t="s">
        <v>740</v>
      </c>
      <c r="P170" s="32" t="s">
        <v>28</v>
      </c>
      <c r="Q170" s="33" t="s">
        <v>502</v>
      </c>
      <c r="R170" s="33" t="s">
        <v>503</v>
      </c>
      <c r="S170" s="29">
        <v>100</v>
      </c>
      <c r="T170" s="31" t="s">
        <v>87</v>
      </c>
      <c r="U170" s="31" t="s">
        <v>505</v>
      </c>
      <c r="V170" s="31" t="s">
        <v>980</v>
      </c>
      <c r="W170" s="50">
        <v>45164</v>
      </c>
      <c r="X170" s="34">
        <v>100</v>
      </c>
      <c r="Y170" s="34">
        <v>1000</v>
      </c>
      <c r="Z170" s="34" t="s">
        <v>800</v>
      </c>
      <c r="AA170" s="34">
        <f t="shared" si="7"/>
        <v>0</v>
      </c>
      <c r="AB170" s="34">
        <f t="shared" si="8"/>
        <v>0</v>
      </c>
      <c r="AC170" s="25" t="s">
        <v>36</v>
      </c>
      <c r="AD170" s="25"/>
      <c r="AE170" s="25"/>
      <c r="AF170" s="25"/>
      <c r="AG170" s="25"/>
      <c r="AH170" s="35"/>
    </row>
    <row r="171" spans="1:34" ht="31.2">
      <c r="A171" s="23" t="s">
        <v>279</v>
      </c>
      <c r="B171" s="81"/>
      <c r="C171" s="25"/>
      <c r="D171" s="25"/>
      <c r="E171" s="25">
        <v>10</v>
      </c>
      <c r="F171" s="25">
        <v>690</v>
      </c>
      <c r="G171" s="26">
        <f t="shared" si="6"/>
        <v>6900</v>
      </c>
      <c r="H171" s="27" t="s">
        <v>27</v>
      </c>
      <c r="I171" s="28" t="s">
        <v>313</v>
      </c>
      <c r="J171" s="29">
        <v>690</v>
      </c>
      <c r="K171" s="29">
        <v>21</v>
      </c>
      <c r="L171" s="56" t="s">
        <v>42</v>
      </c>
      <c r="M171" s="31">
        <v>6900</v>
      </c>
      <c r="N171" s="31">
        <v>84</v>
      </c>
      <c r="O171" s="31" t="s">
        <v>76</v>
      </c>
      <c r="P171" s="32" t="s">
        <v>28</v>
      </c>
      <c r="Q171" s="33" t="s">
        <v>502</v>
      </c>
      <c r="R171" s="33" t="s">
        <v>504</v>
      </c>
      <c r="S171" s="29">
        <v>690</v>
      </c>
      <c r="T171" s="31" t="s">
        <v>87</v>
      </c>
      <c r="U171" s="31" t="s">
        <v>505</v>
      </c>
      <c r="V171" s="31" t="s">
        <v>506</v>
      </c>
      <c r="W171" s="50" t="s">
        <v>903</v>
      </c>
      <c r="X171" s="34">
        <v>690</v>
      </c>
      <c r="Y171" s="34">
        <v>6900</v>
      </c>
      <c r="Z171" s="34" t="s">
        <v>423</v>
      </c>
      <c r="AA171" s="34">
        <f t="shared" si="7"/>
        <v>0</v>
      </c>
      <c r="AB171" s="34">
        <f t="shared" si="8"/>
        <v>0</v>
      </c>
      <c r="AC171" s="25" t="s">
        <v>36</v>
      </c>
      <c r="AD171" s="25"/>
      <c r="AE171" s="25"/>
      <c r="AF171" s="25"/>
      <c r="AG171" s="25"/>
      <c r="AH171" s="35"/>
    </row>
    <row r="172" spans="1:34" ht="46.8">
      <c r="A172" s="23" t="s">
        <v>279</v>
      </c>
      <c r="B172" s="81"/>
      <c r="C172" s="25"/>
      <c r="D172" s="25"/>
      <c r="E172" s="25">
        <v>10</v>
      </c>
      <c r="F172" s="25">
        <v>1070</v>
      </c>
      <c r="G172" s="26">
        <f t="shared" si="6"/>
        <v>10700</v>
      </c>
      <c r="H172" s="27" t="s">
        <v>46</v>
      </c>
      <c r="I172" s="28" t="s">
        <v>507</v>
      </c>
      <c r="J172" s="29">
        <v>1070</v>
      </c>
      <c r="K172" s="29">
        <v>14</v>
      </c>
      <c r="L172" s="56" t="s">
        <v>69</v>
      </c>
      <c r="M172" s="31">
        <v>10700</v>
      </c>
      <c r="N172" s="31">
        <v>122</v>
      </c>
      <c r="O172" s="31" t="s">
        <v>741</v>
      </c>
      <c r="P172" s="32" t="s">
        <v>28</v>
      </c>
      <c r="Q172" s="33" t="s">
        <v>502</v>
      </c>
      <c r="R172" s="33" t="s">
        <v>508</v>
      </c>
      <c r="S172" s="29">
        <v>1070</v>
      </c>
      <c r="T172" s="31" t="s">
        <v>87</v>
      </c>
      <c r="U172" s="31" t="s">
        <v>505</v>
      </c>
      <c r="V172" s="31" t="s">
        <v>980</v>
      </c>
      <c r="W172" s="50" t="s">
        <v>1426</v>
      </c>
      <c r="X172" s="34">
        <f>200+670+200</f>
        <v>1070</v>
      </c>
      <c r="Y172" s="34">
        <f>2000+6700+2000</f>
        <v>10700</v>
      </c>
      <c r="Z172" s="34" t="s">
        <v>1427</v>
      </c>
      <c r="AA172" s="34">
        <f t="shared" si="7"/>
        <v>0</v>
      </c>
      <c r="AB172" s="34">
        <f t="shared" si="8"/>
        <v>0</v>
      </c>
      <c r="AC172" s="25" t="s">
        <v>36</v>
      </c>
      <c r="AD172" s="25"/>
      <c r="AE172" s="25"/>
      <c r="AF172" s="25"/>
      <c r="AG172" s="25"/>
      <c r="AH172" s="35"/>
    </row>
    <row r="173" spans="1:34" ht="31.2">
      <c r="A173" s="23" t="s">
        <v>279</v>
      </c>
      <c r="B173" s="81"/>
      <c r="C173" s="25"/>
      <c r="D173" s="25"/>
      <c r="E173" s="25">
        <v>10</v>
      </c>
      <c r="F173" s="25">
        <v>560</v>
      </c>
      <c r="G173" s="26">
        <f t="shared" si="6"/>
        <v>5600</v>
      </c>
      <c r="H173" s="27" t="s">
        <v>37</v>
      </c>
      <c r="I173" s="28" t="s">
        <v>313</v>
      </c>
      <c r="J173" s="29">
        <v>560</v>
      </c>
      <c r="K173" s="29">
        <v>17</v>
      </c>
      <c r="L173" s="56" t="s">
        <v>69</v>
      </c>
      <c r="M173" s="31">
        <v>5600</v>
      </c>
      <c r="N173" s="31">
        <v>71</v>
      </c>
      <c r="O173" s="31" t="s">
        <v>741</v>
      </c>
      <c r="P173" s="32" t="s">
        <v>28</v>
      </c>
      <c r="Q173" s="33" t="s">
        <v>502</v>
      </c>
      <c r="R173" s="33" t="s">
        <v>509</v>
      </c>
      <c r="S173" s="29">
        <v>560</v>
      </c>
      <c r="T173" s="31" t="s">
        <v>87</v>
      </c>
      <c r="U173" s="31" t="s">
        <v>505</v>
      </c>
      <c r="V173" s="31" t="s">
        <v>980</v>
      </c>
      <c r="W173" s="50" t="s">
        <v>912</v>
      </c>
      <c r="X173" s="34">
        <v>560</v>
      </c>
      <c r="Y173" s="34">
        <v>5600</v>
      </c>
      <c r="Z173" s="34" t="s">
        <v>918</v>
      </c>
      <c r="AA173" s="34">
        <f t="shared" si="7"/>
        <v>0</v>
      </c>
      <c r="AB173" s="34">
        <f t="shared" si="8"/>
        <v>0</v>
      </c>
      <c r="AC173" s="25" t="s">
        <v>36</v>
      </c>
      <c r="AD173" s="25"/>
      <c r="AE173" s="25"/>
      <c r="AF173" s="25"/>
      <c r="AG173" s="25"/>
      <c r="AH173" s="35"/>
    </row>
    <row r="174" spans="1:34" ht="31.2">
      <c r="A174" s="23" t="s">
        <v>279</v>
      </c>
      <c r="B174" s="81"/>
      <c r="C174" s="25"/>
      <c r="D174" s="25"/>
      <c r="E174" s="25">
        <v>10</v>
      </c>
      <c r="F174" s="25">
        <v>100</v>
      </c>
      <c r="G174" s="26">
        <f t="shared" si="6"/>
        <v>1000</v>
      </c>
      <c r="H174" s="27" t="s">
        <v>146</v>
      </c>
      <c r="I174" s="28" t="s">
        <v>186</v>
      </c>
      <c r="J174" s="29">
        <v>100</v>
      </c>
      <c r="K174" s="29">
        <v>11</v>
      </c>
      <c r="L174" s="56" t="s">
        <v>42</v>
      </c>
      <c r="M174" s="31">
        <v>1000</v>
      </c>
      <c r="N174" s="31">
        <v>25</v>
      </c>
      <c r="O174" s="31" t="s">
        <v>76</v>
      </c>
      <c r="P174" s="32" t="s">
        <v>28</v>
      </c>
      <c r="Q174" s="33" t="s">
        <v>510</v>
      </c>
      <c r="R174" s="33" t="s">
        <v>511</v>
      </c>
      <c r="S174" s="29">
        <v>100</v>
      </c>
      <c r="T174" s="31" t="s">
        <v>87</v>
      </c>
      <c r="U174" s="31" t="s">
        <v>512</v>
      </c>
      <c r="V174" s="31" t="s">
        <v>513</v>
      </c>
      <c r="W174" s="50">
        <v>45159</v>
      </c>
      <c r="X174" s="34">
        <v>100</v>
      </c>
      <c r="Y174" s="34">
        <v>1000</v>
      </c>
      <c r="Z174" s="34" t="s">
        <v>800</v>
      </c>
      <c r="AA174" s="34">
        <f t="shared" si="7"/>
        <v>0</v>
      </c>
      <c r="AB174" s="34">
        <f t="shared" si="8"/>
        <v>0</v>
      </c>
      <c r="AC174" s="25" t="s">
        <v>36</v>
      </c>
      <c r="AD174" s="25" t="s">
        <v>76</v>
      </c>
      <c r="AE174" s="25"/>
      <c r="AF174" s="25"/>
      <c r="AG174" s="25"/>
      <c r="AH174" s="35"/>
    </row>
    <row r="175" spans="1:34" ht="31.2">
      <c r="A175" s="23" t="s">
        <v>514</v>
      </c>
      <c r="B175" s="81">
        <v>6000023828</v>
      </c>
      <c r="C175" s="25" t="s">
        <v>515</v>
      </c>
      <c r="D175" s="25">
        <v>6000023828</v>
      </c>
      <c r="E175" s="25">
        <v>10</v>
      </c>
      <c r="F175" s="25">
        <v>100</v>
      </c>
      <c r="G175" s="26">
        <f t="shared" si="6"/>
        <v>1000</v>
      </c>
      <c r="H175" s="27" t="s">
        <v>46</v>
      </c>
      <c r="I175" s="28" t="s">
        <v>163</v>
      </c>
      <c r="J175" s="29">
        <v>100</v>
      </c>
      <c r="K175" s="29">
        <v>5</v>
      </c>
      <c r="L175" s="56" t="s">
        <v>163</v>
      </c>
      <c r="M175" s="31">
        <v>1000</v>
      </c>
      <c r="N175" s="31">
        <v>18</v>
      </c>
      <c r="O175" s="31" t="s">
        <v>76</v>
      </c>
      <c r="P175" s="32" t="s">
        <v>28</v>
      </c>
      <c r="Q175" s="33" t="s">
        <v>516</v>
      </c>
      <c r="R175" s="33" t="s">
        <v>420</v>
      </c>
      <c r="S175" s="29">
        <v>100</v>
      </c>
      <c r="T175" s="31" t="s">
        <v>1558</v>
      </c>
      <c r="U175" s="31" t="s">
        <v>517</v>
      </c>
      <c r="V175" s="31" t="s">
        <v>518</v>
      </c>
      <c r="W175" s="50" t="s">
        <v>900</v>
      </c>
      <c r="X175" s="34">
        <v>100</v>
      </c>
      <c r="Y175" s="34">
        <v>1000</v>
      </c>
      <c r="Z175" s="34" t="s">
        <v>338</v>
      </c>
      <c r="AA175" s="34">
        <f t="shared" si="7"/>
        <v>0</v>
      </c>
      <c r="AB175" s="34">
        <f t="shared" si="8"/>
        <v>0</v>
      </c>
      <c r="AC175" s="25" t="s">
        <v>285</v>
      </c>
      <c r="AD175" s="25" t="s">
        <v>76</v>
      </c>
      <c r="AE175" s="25"/>
      <c r="AF175" s="25"/>
      <c r="AG175" s="25"/>
      <c r="AH175" s="35"/>
    </row>
    <row r="176" spans="1:34" ht="31.2">
      <c r="A176" s="23" t="s">
        <v>514</v>
      </c>
      <c r="B176" s="81"/>
      <c r="C176" s="25"/>
      <c r="D176" s="25"/>
      <c r="E176" s="25">
        <v>10</v>
      </c>
      <c r="F176" s="25">
        <v>180</v>
      </c>
      <c r="G176" s="26">
        <f t="shared" si="6"/>
        <v>1800</v>
      </c>
      <c r="H176" s="27" t="s">
        <v>37</v>
      </c>
      <c r="I176" s="28" t="s">
        <v>163</v>
      </c>
      <c r="J176" s="29">
        <v>180</v>
      </c>
      <c r="K176" s="29">
        <v>11</v>
      </c>
      <c r="L176" s="56" t="s">
        <v>163</v>
      </c>
      <c r="M176" s="31">
        <v>1800</v>
      </c>
      <c r="N176" s="31">
        <v>26</v>
      </c>
      <c r="O176" s="31" t="s">
        <v>76</v>
      </c>
      <c r="P176" s="32" t="s">
        <v>28</v>
      </c>
      <c r="Q176" s="33" t="s">
        <v>516</v>
      </c>
      <c r="R176" s="33" t="s">
        <v>420</v>
      </c>
      <c r="S176" s="29">
        <v>180</v>
      </c>
      <c r="T176" s="31" t="s">
        <v>1558</v>
      </c>
      <c r="U176" s="31" t="s">
        <v>517</v>
      </c>
      <c r="V176" s="31" t="s">
        <v>518</v>
      </c>
      <c r="W176" s="50">
        <v>45148</v>
      </c>
      <c r="X176" s="34">
        <v>180</v>
      </c>
      <c r="Y176" s="34">
        <v>1800</v>
      </c>
      <c r="Z176" s="34" t="s">
        <v>800</v>
      </c>
      <c r="AA176" s="34">
        <f t="shared" si="7"/>
        <v>0</v>
      </c>
      <c r="AB176" s="34">
        <f t="shared" si="8"/>
        <v>0</v>
      </c>
      <c r="AC176" s="25" t="s">
        <v>285</v>
      </c>
      <c r="AD176" s="25" t="s">
        <v>76</v>
      </c>
      <c r="AE176" s="25"/>
      <c r="AF176" s="25"/>
      <c r="AG176" s="25"/>
      <c r="AH176" s="35"/>
    </row>
    <row r="177" spans="1:34" ht="31.2">
      <c r="A177" s="23" t="s">
        <v>514</v>
      </c>
      <c r="B177" s="81"/>
      <c r="C177" s="25"/>
      <c r="D177" s="25"/>
      <c r="E177" s="25">
        <v>10</v>
      </c>
      <c r="F177" s="25">
        <v>240</v>
      </c>
      <c r="G177" s="26">
        <f t="shared" si="6"/>
        <v>2400</v>
      </c>
      <c r="H177" s="27" t="s">
        <v>146</v>
      </c>
      <c r="I177" s="28" t="s">
        <v>163</v>
      </c>
      <c r="J177" s="29">
        <v>240</v>
      </c>
      <c r="K177" s="29">
        <v>9</v>
      </c>
      <c r="L177" s="56" t="s">
        <v>313</v>
      </c>
      <c r="M177" s="31">
        <v>2400</v>
      </c>
      <c r="N177" s="31">
        <v>32</v>
      </c>
      <c r="O177" s="31" t="s">
        <v>76</v>
      </c>
      <c r="P177" s="32" t="s">
        <v>28</v>
      </c>
      <c r="Q177" s="33" t="s">
        <v>516</v>
      </c>
      <c r="R177" s="33" t="s">
        <v>420</v>
      </c>
      <c r="S177" s="29">
        <v>240</v>
      </c>
      <c r="T177" s="31" t="s">
        <v>1558</v>
      </c>
      <c r="U177" s="31" t="s">
        <v>517</v>
      </c>
      <c r="V177" s="31" t="s">
        <v>519</v>
      </c>
      <c r="W177" s="50">
        <v>45148</v>
      </c>
      <c r="X177" s="34">
        <v>240</v>
      </c>
      <c r="Y177" s="34">
        <v>2400</v>
      </c>
      <c r="Z177" s="34" t="s">
        <v>800</v>
      </c>
      <c r="AA177" s="34">
        <f t="shared" si="7"/>
        <v>0</v>
      </c>
      <c r="AB177" s="34">
        <f t="shared" si="8"/>
        <v>0</v>
      </c>
      <c r="AC177" s="25" t="s">
        <v>285</v>
      </c>
      <c r="AD177" s="25" t="s">
        <v>76</v>
      </c>
      <c r="AE177" s="25"/>
      <c r="AF177" s="25"/>
      <c r="AG177" s="25"/>
      <c r="AH177" s="35"/>
    </row>
    <row r="178" spans="1:34" ht="31.2">
      <c r="A178" s="23" t="s">
        <v>514</v>
      </c>
      <c r="B178" s="81">
        <v>6000023828</v>
      </c>
      <c r="C178" s="25" t="s">
        <v>520</v>
      </c>
      <c r="D178" s="25">
        <v>6000023828</v>
      </c>
      <c r="E178" s="25">
        <v>10</v>
      </c>
      <c r="F178" s="25">
        <v>120</v>
      </c>
      <c r="G178" s="26">
        <f t="shared" si="6"/>
        <v>1200</v>
      </c>
      <c r="H178" s="27" t="s">
        <v>46</v>
      </c>
      <c r="I178" s="28" t="s">
        <v>180</v>
      </c>
      <c r="J178" s="29">
        <v>120</v>
      </c>
      <c r="K178" s="29">
        <v>9</v>
      </c>
      <c r="L178" s="56" t="s">
        <v>163</v>
      </c>
      <c r="M178" s="31">
        <v>1200</v>
      </c>
      <c r="N178" s="31">
        <v>20</v>
      </c>
      <c r="O178" s="31" t="s">
        <v>76</v>
      </c>
      <c r="P178" s="32" t="s">
        <v>28</v>
      </c>
      <c r="Q178" s="33" t="s">
        <v>521</v>
      </c>
      <c r="R178" s="33" t="s">
        <v>522</v>
      </c>
      <c r="S178" s="29">
        <v>120</v>
      </c>
      <c r="T178" s="31" t="s">
        <v>1558</v>
      </c>
      <c r="U178" s="31" t="s">
        <v>523</v>
      </c>
      <c r="V178" s="31" t="s">
        <v>524</v>
      </c>
      <c r="W178" s="50" t="s">
        <v>820</v>
      </c>
      <c r="X178" s="34">
        <v>120</v>
      </c>
      <c r="Y178" s="34">
        <v>1200</v>
      </c>
      <c r="Z178" s="34" t="s">
        <v>800</v>
      </c>
      <c r="AA178" s="34">
        <f t="shared" si="7"/>
        <v>0</v>
      </c>
      <c r="AB178" s="34">
        <f t="shared" si="8"/>
        <v>0</v>
      </c>
      <c r="AC178" s="25" t="s">
        <v>285</v>
      </c>
      <c r="AD178" s="25" t="s">
        <v>76</v>
      </c>
      <c r="AE178" s="25"/>
      <c r="AF178" s="25"/>
      <c r="AG178" s="25"/>
      <c r="AH178" s="35"/>
    </row>
    <row r="179" spans="1:34" ht="31.2">
      <c r="A179" s="23" t="s">
        <v>514</v>
      </c>
      <c r="B179" s="81"/>
      <c r="C179" s="25"/>
      <c r="D179" s="25"/>
      <c r="E179" s="25">
        <v>10</v>
      </c>
      <c r="F179" s="25">
        <v>180</v>
      </c>
      <c r="G179" s="26">
        <f t="shared" si="6"/>
        <v>1800</v>
      </c>
      <c r="H179" s="27" t="s">
        <v>37</v>
      </c>
      <c r="I179" s="28" t="s">
        <v>180</v>
      </c>
      <c r="J179" s="29">
        <v>180</v>
      </c>
      <c r="K179" s="29">
        <v>10</v>
      </c>
      <c r="L179" s="56" t="s">
        <v>163</v>
      </c>
      <c r="M179" s="31">
        <v>1800</v>
      </c>
      <c r="N179" s="31">
        <v>26</v>
      </c>
      <c r="O179" s="31" t="s">
        <v>76</v>
      </c>
      <c r="P179" s="32" t="s">
        <v>28</v>
      </c>
      <c r="Q179" s="33" t="s">
        <v>521</v>
      </c>
      <c r="R179" s="33" t="s">
        <v>522</v>
      </c>
      <c r="S179" s="29">
        <v>180</v>
      </c>
      <c r="T179" s="31" t="s">
        <v>1558</v>
      </c>
      <c r="U179" s="31" t="s">
        <v>523</v>
      </c>
      <c r="V179" s="31" t="s">
        <v>524</v>
      </c>
      <c r="W179" s="50" t="s">
        <v>813</v>
      </c>
      <c r="X179" s="34">
        <v>180</v>
      </c>
      <c r="Y179" s="34">
        <v>1800</v>
      </c>
      <c r="Z179" s="34" t="s">
        <v>816</v>
      </c>
      <c r="AA179" s="34">
        <f t="shared" si="7"/>
        <v>0</v>
      </c>
      <c r="AB179" s="34">
        <f t="shared" si="8"/>
        <v>0</v>
      </c>
      <c r="AC179" s="25" t="s">
        <v>285</v>
      </c>
      <c r="AD179" s="25" t="s">
        <v>76</v>
      </c>
      <c r="AE179" s="25"/>
      <c r="AF179" s="25"/>
      <c r="AG179" s="25"/>
      <c r="AH179" s="35"/>
    </row>
    <row r="180" spans="1:34" ht="31.2">
      <c r="A180" s="23" t="s">
        <v>514</v>
      </c>
      <c r="B180" s="81"/>
      <c r="C180" s="25"/>
      <c r="D180" s="25"/>
      <c r="E180" s="25">
        <v>10</v>
      </c>
      <c r="F180" s="25">
        <v>180</v>
      </c>
      <c r="G180" s="26">
        <f t="shared" si="6"/>
        <v>1800</v>
      </c>
      <c r="H180" s="27" t="s">
        <v>146</v>
      </c>
      <c r="I180" s="28" t="s">
        <v>180</v>
      </c>
      <c r="J180" s="29">
        <v>180</v>
      </c>
      <c r="K180" s="29">
        <v>10</v>
      </c>
      <c r="L180" s="56" t="s">
        <v>163</v>
      </c>
      <c r="M180" s="31">
        <v>1800</v>
      </c>
      <c r="N180" s="31">
        <v>26</v>
      </c>
      <c r="O180" s="31" t="s">
        <v>76</v>
      </c>
      <c r="P180" s="32" t="s">
        <v>28</v>
      </c>
      <c r="Q180" s="33" t="s">
        <v>521</v>
      </c>
      <c r="R180" s="33" t="s">
        <v>522</v>
      </c>
      <c r="S180" s="29">
        <v>180</v>
      </c>
      <c r="T180" s="31" t="s">
        <v>1558</v>
      </c>
      <c r="U180" s="31" t="s">
        <v>523</v>
      </c>
      <c r="V180" s="31" t="s">
        <v>524</v>
      </c>
      <c r="W180" s="50" t="s">
        <v>820</v>
      </c>
      <c r="X180" s="34">
        <v>180</v>
      </c>
      <c r="Y180" s="34">
        <v>1800</v>
      </c>
      <c r="Z180" s="34" t="s">
        <v>800</v>
      </c>
      <c r="AA180" s="34">
        <f t="shared" si="7"/>
        <v>0</v>
      </c>
      <c r="AB180" s="34">
        <f t="shared" si="8"/>
        <v>0</v>
      </c>
      <c r="AC180" s="25" t="s">
        <v>285</v>
      </c>
      <c r="AD180" s="25" t="s">
        <v>76</v>
      </c>
      <c r="AE180" s="25"/>
      <c r="AF180" s="25"/>
      <c r="AG180" s="25"/>
      <c r="AH180" s="35"/>
    </row>
    <row r="181" spans="1:34" ht="31.2">
      <c r="A181" s="23" t="s">
        <v>525</v>
      </c>
      <c r="B181" s="81">
        <v>6000023793</v>
      </c>
      <c r="C181" s="25" t="s">
        <v>526</v>
      </c>
      <c r="D181" s="25">
        <v>6000023793</v>
      </c>
      <c r="E181" s="25">
        <v>8</v>
      </c>
      <c r="F181" s="25">
        <v>100</v>
      </c>
      <c r="G181" s="26">
        <f t="shared" si="6"/>
        <v>800</v>
      </c>
      <c r="H181" s="27" t="s">
        <v>27</v>
      </c>
      <c r="I181" s="28" t="s">
        <v>186</v>
      </c>
      <c r="J181" s="29">
        <v>100</v>
      </c>
      <c r="K181" s="29">
        <v>5</v>
      </c>
      <c r="L181" s="56" t="s">
        <v>529</v>
      </c>
      <c r="M181" s="31">
        <v>800</v>
      </c>
      <c r="N181" s="31">
        <v>4</v>
      </c>
      <c r="O181" s="31" t="s">
        <v>76</v>
      </c>
      <c r="P181" s="32" t="s">
        <v>160</v>
      </c>
      <c r="Q181" s="33" t="s">
        <v>527</v>
      </c>
      <c r="R181" s="33" t="s">
        <v>528</v>
      </c>
      <c r="S181" s="29">
        <v>100</v>
      </c>
      <c r="T181" s="31" t="s">
        <v>152</v>
      </c>
      <c r="U181" s="31" t="s">
        <v>530</v>
      </c>
      <c r="V181" s="31" t="s">
        <v>531</v>
      </c>
      <c r="W181" s="50" t="s">
        <v>69</v>
      </c>
      <c r="X181" s="34">
        <v>100</v>
      </c>
      <c r="Y181" s="34">
        <v>800</v>
      </c>
      <c r="Z181" s="34" t="s">
        <v>338</v>
      </c>
      <c r="AA181" s="34">
        <f t="shared" si="7"/>
        <v>0</v>
      </c>
      <c r="AB181" s="34">
        <f t="shared" si="8"/>
        <v>0</v>
      </c>
      <c r="AC181" s="25" t="s">
        <v>285</v>
      </c>
      <c r="AD181" s="25" t="s">
        <v>76</v>
      </c>
      <c r="AE181" s="25"/>
      <c r="AF181" s="25"/>
      <c r="AG181" s="25"/>
      <c r="AH181" s="35"/>
    </row>
    <row r="182" spans="1:34" ht="31.2">
      <c r="A182" s="23" t="s">
        <v>525</v>
      </c>
      <c r="B182" s="81"/>
      <c r="C182" s="25"/>
      <c r="D182" s="25"/>
      <c r="E182" s="25">
        <v>8</v>
      </c>
      <c r="F182" s="25">
        <v>600</v>
      </c>
      <c r="G182" s="26">
        <f t="shared" si="6"/>
        <v>4800</v>
      </c>
      <c r="H182" s="27" t="s">
        <v>46</v>
      </c>
      <c r="I182" s="28" t="s">
        <v>180</v>
      </c>
      <c r="J182" s="29">
        <v>600</v>
      </c>
      <c r="K182" s="29">
        <v>10</v>
      </c>
      <c r="L182" s="56" t="s">
        <v>529</v>
      </c>
      <c r="M182" s="31">
        <v>4800</v>
      </c>
      <c r="N182" s="31">
        <v>24</v>
      </c>
      <c r="O182" s="31" t="s">
        <v>76</v>
      </c>
      <c r="P182" s="32" t="s">
        <v>160</v>
      </c>
      <c r="Q182" s="33" t="s">
        <v>527</v>
      </c>
      <c r="R182" s="33" t="s">
        <v>532</v>
      </c>
      <c r="S182" s="29">
        <v>600</v>
      </c>
      <c r="T182" s="31" t="s">
        <v>152</v>
      </c>
      <c r="U182" s="31" t="s">
        <v>530</v>
      </c>
      <c r="V182" s="31" t="s">
        <v>531</v>
      </c>
      <c r="W182" s="50" t="s">
        <v>69</v>
      </c>
      <c r="X182" s="34">
        <v>600</v>
      </c>
      <c r="Y182" s="34">
        <v>4800</v>
      </c>
      <c r="Z182" s="34" t="s">
        <v>338</v>
      </c>
      <c r="AA182" s="34">
        <f t="shared" si="7"/>
        <v>0</v>
      </c>
      <c r="AB182" s="34">
        <f t="shared" si="8"/>
        <v>0</v>
      </c>
      <c r="AC182" s="25" t="s">
        <v>285</v>
      </c>
      <c r="AD182" s="25" t="s">
        <v>76</v>
      </c>
      <c r="AE182" s="25"/>
      <c r="AF182" s="25"/>
      <c r="AG182" s="25"/>
      <c r="AH182" s="35"/>
    </row>
    <row r="183" spans="1:34" ht="31.2">
      <c r="A183" s="23" t="s">
        <v>525</v>
      </c>
      <c r="B183" s="81"/>
      <c r="C183" s="25"/>
      <c r="D183" s="25"/>
      <c r="E183" s="25">
        <v>8</v>
      </c>
      <c r="F183" s="25">
        <v>450</v>
      </c>
      <c r="G183" s="26">
        <f t="shared" si="6"/>
        <v>3600</v>
      </c>
      <c r="H183" s="27" t="s">
        <v>37</v>
      </c>
      <c r="I183" s="28" t="s">
        <v>180</v>
      </c>
      <c r="J183" s="29">
        <v>450</v>
      </c>
      <c r="K183" s="29">
        <v>8</v>
      </c>
      <c r="L183" s="56" t="s">
        <v>163</v>
      </c>
      <c r="M183" s="31">
        <v>3600</v>
      </c>
      <c r="N183" s="31">
        <v>18</v>
      </c>
      <c r="O183" s="39" t="s">
        <v>795</v>
      </c>
      <c r="P183" s="32" t="s">
        <v>160</v>
      </c>
      <c r="Q183" s="33" t="s">
        <v>527</v>
      </c>
      <c r="R183" s="33" t="s">
        <v>532</v>
      </c>
      <c r="S183" s="29">
        <v>450</v>
      </c>
      <c r="T183" s="31" t="s">
        <v>152</v>
      </c>
      <c r="U183" s="31" t="s">
        <v>530</v>
      </c>
      <c r="V183" s="31" t="s">
        <v>533</v>
      </c>
      <c r="W183" s="50" t="s">
        <v>69</v>
      </c>
      <c r="X183" s="34">
        <v>450</v>
      </c>
      <c r="Y183" s="34">
        <v>3600</v>
      </c>
      <c r="Z183" s="34" t="s">
        <v>338</v>
      </c>
      <c r="AA183" s="34">
        <f t="shared" si="7"/>
        <v>0</v>
      </c>
      <c r="AB183" s="34">
        <f t="shared" si="8"/>
        <v>0</v>
      </c>
      <c r="AC183" s="25" t="s">
        <v>285</v>
      </c>
      <c r="AD183" s="25" t="s">
        <v>76</v>
      </c>
      <c r="AE183" s="25"/>
      <c r="AF183" s="25"/>
      <c r="AG183" s="25"/>
      <c r="AH183" s="35"/>
    </row>
    <row r="184" spans="1:34" ht="31.2">
      <c r="A184" s="23" t="s">
        <v>525</v>
      </c>
      <c r="B184" s="81"/>
      <c r="C184" s="25"/>
      <c r="D184" s="25"/>
      <c r="E184" s="25">
        <v>8</v>
      </c>
      <c r="F184" s="25">
        <v>250</v>
      </c>
      <c r="G184" s="26">
        <f t="shared" si="6"/>
        <v>2000</v>
      </c>
      <c r="H184" s="27" t="s">
        <v>146</v>
      </c>
      <c r="I184" s="28" t="s">
        <v>180</v>
      </c>
      <c r="J184" s="29">
        <v>250</v>
      </c>
      <c r="K184" s="29">
        <v>7</v>
      </c>
      <c r="L184" s="56" t="s">
        <v>163</v>
      </c>
      <c r="M184" s="31">
        <v>2000</v>
      </c>
      <c r="N184" s="31">
        <v>10</v>
      </c>
      <c r="O184" s="39" t="s">
        <v>796</v>
      </c>
      <c r="P184" s="32" t="s">
        <v>160</v>
      </c>
      <c r="Q184" s="33" t="s">
        <v>534</v>
      </c>
      <c r="R184" s="33" t="s">
        <v>535</v>
      </c>
      <c r="S184" s="29">
        <v>250</v>
      </c>
      <c r="T184" s="31" t="s">
        <v>152</v>
      </c>
      <c r="U184" s="31" t="s">
        <v>536</v>
      </c>
      <c r="V184" s="31" t="s">
        <v>537</v>
      </c>
      <c r="W184" s="50">
        <v>45142</v>
      </c>
      <c r="X184" s="34">
        <v>250</v>
      </c>
      <c r="Y184" s="34">
        <v>2000</v>
      </c>
      <c r="Z184" s="34" t="s">
        <v>800</v>
      </c>
      <c r="AA184" s="34">
        <f t="shared" si="7"/>
        <v>0</v>
      </c>
      <c r="AB184" s="34">
        <f t="shared" si="8"/>
        <v>0</v>
      </c>
      <c r="AC184" s="25" t="s">
        <v>285</v>
      </c>
      <c r="AD184" s="25" t="s">
        <v>76</v>
      </c>
      <c r="AE184" s="25"/>
      <c r="AF184" s="25"/>
      <c r="AG184" s="25"/>
      <c r="AH184" s="35"/>
    </row>
    <row r="185" spans="1:34" ht="31.2">
      <c r="A185" s="23" t="s">
        <v>525</v>
      </c>
      <c r="B185" s="81">
        <v>6000023794</v>
      </c>
      <c r="C185" s="25" t="s">
        <v>526</v>
      </c>
      <c r="D185" s="25">
        <v>6000023794</v>
      </c>
      <c r="E185" s="25">
        <v>8</v>
      </c>
      <c r="F185" s="25">
        <v>600</v>
      </c>
      <c r="G185" s="26">
        <f t="shared" si="6"/>
        <v>4800</v>
      </c>
      <c r="H185" s="27" t="s">
        <v>46</v>
      </c>
      <c r="I185" s="28" t="s">
        <v>180</v>
      </c>
      <c r="J185" s="29">
        <v>600</v>
      </c>
      <c r="K185" s="29">
        <v>20</v>
      </c>
      <c r="L185" s="56" t="s">
        <v>540</v>
      </c>
      <c r="M185" s="31">
        <v>4800</v>
      </c>
      <c r="N185" s="31">
        <v>24</v>
      </c>
      <c r="O185" s="39" t="s">
        <v>1510</v>
      </c>
      <c r="P185" s="32" t="s">
        <v>160</v>
      </c>
      <c r="Q185" s="33" t="s">
        <v>538</v>
      </c>
      <c r="R185" s="33" t="s">
        <v>539</v>
      </c>
      <c r="S185" s="29">
        <v>600</v>
      </c>
      <c r="T185" s="31" t="s">
        <v>152</v>
      </c>
      <c r="U185" s="31" t="s">
        <v>541</v>
      </c>
      <c r="V185" s="31" t="s">
        <v>542</v>
      </c>
      <c r="W185" s="50">
        <v>45175</v>
      </c>
      <c r="X185" s="34">
        <v>600</v>
      </c>
      <c r="Y185" s="34">
        <v>4800</v>
      </c>
      <c r="Z185" s="34" t="s">
        <v>800</v>
      </c>
      <c r="AA185" s="34">
        <f t="shared" si="7"/>
        <v>0</v>
      </c>
      <c r="AB185" s="34">
        <f t="shared" si="8"/>
        <v>0</v>
      </c>
      <c r="AC185" s="25" t="s">
        <v>285</v>
      </c>
      <c r="AD185" s="25" t="s">
        <v>76</v>
      </c>
      <c r="AE185" s="25"/>
      <c r="AF185" s="25"/>
      <c r="AG185" s="25"/>
      <c r="AH185" s="35"/>
    </row>
    <row r="186" spans="1:34" ht="31.2">
      <c r="A186" s="23"/>
      <c r="B186" s="81"/>
      <c r="C186" s="25"/>
      <c r="D186" s="25"/>
      <c r="E186" s="25">
        <v>8</v>
      </c>
      <c r="F186" s="25">
        <v>500</v>
      </c>
      <c r="G186" s="26">
        <f t="shared" si="6"/>
        <v>4000</v>
      </c>
      <c r="H186" s="27" t="s">
        <v>37</v>
      </c>
      <c r="I186" s="28" t="s">
        <v>180</v>
      </c>
      <c r="J186" s="29">
        <v>500</v>
      </c>
      <c r="K186" s="29">
        <v>9</v>
      </c>
      <c r="L186" s="56" t="s">
        <v>529</v>
      </c>
      <c r="M186" s="31">
        <v>4000</v>
      </c>
      <c r="N186" s="31">
        <v>24</v>
      </c>
      <c r="O186" s="39" t="s">
        <v>1511</v>
      </c>
      <c r="P186" s="32" t="s">
        <v>160</v>
      </c>
      <c r="Q186" s="33" t="s">
        <v>538</v>
      </c>
      <c r="R186" s="33" t="s">
        <v>539</v>
      </c>
      <c r="S186" s="29">
        <v>500</v>
      </c>
      <c r="T186" s="31" t="s">
        <v>152</v>
      </c>
      <c r="U186" s="31" t="s">
        <v>530</v>
      </c>
      <c r="V186" s="31" t="s">
        <v>543</v>
      </c>
      <c r="W186" s="50">
        <v>45175</v>
      </c>
      <c r="X186" s="34">
        <v>500</v>
      </c>
      <c r="Y186" s="34">
        <v>4000</v>
      </c>
      <c r="Z186" s="34" t="s">
        <v>800</v>
      </c>
      <c r="AA186" s="34">
        <f t="shared" si="7"/>
        <v>0</v>
      </c>
      <c r="AB186" s="34">
        <f t="shared" si="8"/>
        <v>0</v>
      </c>
      <c r="AC186" s="25" t="s">
        <v>285</v>
      </c>
      <c r="AD186" s="25" t="s">
        <v>76</v>
      </c>
      <c r="AE186" s="25"/>
      <c r="AF186" s="25"/>
      <c r="AG186" s="25"/>
      <c r="AH186" s="35"/>
    </row>
    <row r="187" spans="1:34" ht="31.2">
      <c r="A187" s="23"/>
      <c r="B187" s="81"/>
      <c r="C187" s="25"/>
      <c r="D187" s="25"/>
      <c r="E187" s="25">
        <v>8</v>
      </c>
      <c r="F187" s="25">
        <v>300</v>
      </c>
      <c r="G187" s="26">
        <f t="shared" si="6"/>
        <v>2400</v>
      </c>
      <c r="H187" s="27" t="s">
        <v>146</v>
      </c>
      <c r="I187" s="28" t="s">
        <v>180</v>
      </c>
      <c r="J187" s="29">
        <v>300</v>
      </c>
      <c r="K187" s="29">
        <v>9</v>
      </c>
      <c r="L187" s="56" t="s">
        <v>163</v>
      </c>
      <c r="M187" s="31">
        <v>2400</v>
      </c>
      <c r="N187" s="31">
        <v>12</v>
      </c>
      <c r="O187" s="31" t="s">
        <v>76</v>
      </c>
      <c r="P187" s="32" t="s">
        <v>160</v>
      </c>
      <c r="Q187" s="33" t="s">
        <v>544</v>
      </c>
      <c r="R187" s="33" t="s">
        <v>545</v>
      </c>
      <c r="S187" s="29">
        <v>300</v>
      </c>
      <c r="T187" s="31" t="s">
        <v>152</v>
      </c>
      <c r="U187" s="31" t="s">
        <v>546</v>
      </c>
      <c r="V187" s="31" t="s">
        <v>547</v>
      </c>
      <c r="W187" s="50">
        <v>45180</v>
      </c>
      <c r="X187" s="34">
        <v>300</v>
      </c>
      <c r="Y187" s="34">
        <v>2400</v>
      </c>
      <c r="Z187" s="34" t="s">
        <v>826</v>
      </c>
      <c r="AA187" s="34">
        <f t="shared" si="7"/>
        <v>0</v>
      </c>
      <c r="AB187" s="34">
        <f t="shared" si="8"/>
        <v>0</v>
      </c>
      <c r="AC187" s="25" t="s">
        <v>285</v>
      </c>
      <c r="AD187" s="25" t="s">
        <v>76</v>
      </c>
      <c r="AE187" s="25"/>
      <c r="AF187" s="25"/>
      <c r="AG187" s="25"/>
      <c r="AH187" s="35"/>
    </row>
    <row r="188" spans="1:34" ht="23.25" customHeight="1">
      <c r="A188" s="23" t="s">
        <v>525</v>
      </c>
      <c r="B188" s="81">
        <v>6000023795</v>
      </c>
      <c r="C188" s="25" t="s">
        <v>548</v>
      </c>
      <c r="D188" s="25">
        <v>6000023795</v>
      </c>
      <c r="E188" s="25">
        <v>8</v>
      </c>
      <c r="F188" s="25">
        <v>300</v>
      </c>
      <c r="G188" s="26">
        <f t="shared" si="6"/>
        <v>2400</v>
      </c>
      <c r="H188" s="27" t="s">
        <v>27</v>
      </c>
      <c r="I188" s="28" t="s">
        <v>1327</v>
      </c>
      <c r="J188" s="29">
        <v>300</v>
      </c>
      <c r="K188" s="29">
        <v>7</v>
      </c>
      <c r="L188" s="56" t="s">
        <v>529</v>
      </c>
      <c r="M188" s="31">
        <v>2400</v>
      </c>
      <c r="N188" s="31">
        <v>12</v>
      </c>
      <c r="O188" s="31" t="s">
        <v>76</v>
      </c>
      <c r="P188" s="32" t="s">
        <v>160</v>
      </c>
      <c r="Q188" s="33" t="s">
        <v>549</v>
      </c>
      <c r="R188" s="33" t="s">
        <v>550</v>
      </c>
      <c r="S188" s="29">
        <v>300</v>
      </c>
      <c r="T188" s="31" t="s">
        <v>152</v>
      </c>
      <c r="U188" s="31" t="s">
        <v>551</v>
      </c>
      <c r="V188" s="31" t="s">
        <v>552</v>
      </c>
      <c r="W188" s="50" t="s">
        <v>880</v>
      </c>
      <c r="X188" s="34">
        <v>300</v>
      </c>
      <c r="Y188" s="34">
        <v>2400</v>
      </c>
      <c r="Z188" s="34" t="s">
        <v>800</v>
      </c>
      <c r="AA188" s="34">
        <f t="shared" si="7"/>
        <v>0</v>
      </c>
      <c r="AB188" s="34">
        <f t="shared" si="8"/>
        <v>0</v>
      </c>
      <c r="AC188" s="25" t="s">
        <v>285</v>
      </c>
      <c r="AD188" s="25" t="s">
        <v>76</v>
      </c>
      <c r="AE188" s="25"/>
      <c r="AF188" s="25"/>
      <c r="AG188" s="25"/>
      <c r="AH188" s="35"/>
    </row>
    <row r="189" spans="1:34" ht="62.4">
      <c r="A189" s="23" t="s">
        <v>525</v>
      </c>
      <c r="B189" s="81">
        <v>6000023795</v>
      </c>
      <c r="C189" s="25" t="s">
        <v>548</v>
      </c>
      <c r="D189" s="25">
        <v>6000023795</v>
      </c>
      <c r="E189" s="25">
        <v>8</v>
      </c>
      <c r="F189" s="25">
        <v>750</v>
      </c>
      <c r="G189" s="26">
        <f t="shared" si="6"/>
        <v>6000</v>
      </c>
      <c r="H189" s="27" t="s">
        <v>46</v>
      </c>
      <c r="I189" s="28" t="s">
        <v>1328</v>
      </c>
      <c r="J189" s="29">
        <v>750</v>
      </c>
      <c r="K189" s="29">
        <v>19</v>
      </c>
      <c r="L189" s="56" t="s">
        <v>529</v>
      </c>
      <c r="M189" s="31">
        <v>6000</v>
      </c>
      <c r="N189" s="31">
        <v>30</v>
      </c>
      <c r="O189" s="31" t="s">
        <v>76</v>
      </c>
      <c r="P189" s="32" t="s">
        <v>160</v>
      </c>
      <c r="Q189" s="33" t="s">
        <v>549</v>
      </c>
      <c r="R189" s="33" t="s">
        <v>553</v>
      </c>
      <c r="S189" s="29">
        <v>750</v>
      </c>
      <c r="T189" s="31" t="s">
        <v>152</v>
      </c>
      <c r="U189" s="31" t="s">
        <v>551</v>
      </c>
      <c r="V189" s="31" t="s">
        <v>552</v>
      </c>
      <c r="W189" s="50" t="s">
        <v>880</v>
      </c>
      <c r="X189" s="34">
        <v>750</v>
      </c>
      <c r="Y189" s="34">
        <v>6000</v>
      </c>
      <c r="Z189" s="34" t="s">
        <v>800</v>
      </c>
      <c r="AA189" s="34">
        <f t="shared" si="7"/>
        <v>0</v>
      </c>
      <c r="AB189" s="34">
        <f t="shared" si="8"/>
        <v>0</v>
      </c>
      <c r="AC189" s="25" t="s">
        <v>285</v>
      </c>
      <c r="AD189" s="25" t="s">
        <v>76</v>
      </c>
      <c r="AE189" s="25"/>
      <c r="AF189" s="25"/>
      <c r="AG189" s="25"/>
      <c r="AH189" s="35"/>
    </row>
    <row r="190" spans="1:34" ht="31.2">
      <c r="A190" s="23" t="s">
        <v>525</v>
      </c>
      <c r="B190" s="81"/>
      <c r="C190" s="25"/>
      <c r="D190" s="25"/>
      <c r="E190" s="25">
        <v>8</v>
      </c>
      <c r="F190" s="25">
        <v>200</v>
      </c>
      <c r="G190" s="26">
        <f t="shared" si="6"/>
        <v>1600</v>
      </c>
      <c r="H190" s="27" t="s">
        <v>37</v>
      </c>
      <c r="I190" s="28" t="s">
        <v>186</v>
      </c>
      <c r="J190" s="29">
        <v>200</v>
      </c>
      <c r="K190" s="29">
        <v>7</v>
      </c>
      <c r="L190" s="56" t="s">
        <v>529</v>
      </c>
      <c r="M190" s="31">
        <v>1600</v>
      </c>
      <c r="N190" s="31">
        <v>8</v>
      </c>
      <c r="O190" s="31" t="s">
        <v>76</v>
      </c>
      <c r="P190" s="32" t="s">
        <v>160</v>
      </c>
      <c r="Q190" s="33" t="s">
        <v>549</v>
      </c>
      <c r="R190" s="33" t="s">
        <v>554</v>
      </c>
      <c r="S190" s="29">
        <v>200</v>
      </c>
      <c r="T190" s="31" t="s">
        <v>152</v>
      </c>
      <c r="U190" s="31" t="s">
        <v>551</v>
      </c>
      <c r="V190" s="31" t="s">
        <v>552</v>
      </c>
      <c r="W190" s="50" t="s">
        <v>880</v>
      </c>
      <c r="X190" s="34">
        <v>200</v>
      </c>
      <c r="Y190" s="34">
        <v>1600</v>
      </c>
      <c r="Z190" s="34" t="s">
        <v>800</v>
      </c>
      <c r="AA190" s="34">
        <f t="shared" si="7"/>
        <v>0</v>
      </c>
      <c r="AB190" s="34">
        <f t="shared" si="8"/>
        <v>0</v>
      </c>
      <c r="AC190" s="25" t="s">
        <v>285</v>
      </c>
      <c r="AD190" s="25" t="s">
        <v>76</v>
      </c>
      <c r="AE190" s="25"/>
      <c r="AF190" s="25"/>
      <c r="AG190" s="25"/>
      <c r="AH190" s="35"/>
    </row>
    <row r="191" spans="1:34" ht="31.2">
      <c r="A191" s="23" t="s">
        <v>525</v>
      </c>
      <c r="B191" s="81"/>
      <c r="C191" s="25"/>
      <c r="D191" s="25"/>
      <c r="E191" s="25">
        <v>8</v>
      </c>
      <c r="F191" s="25">
        <v>150</v>
      </c>
      <c r="G191" s="26">
        <f t="shared" si="6"/>
        <v>1200</v>
      </c>
      <c r="H191" s="27" t="s">
        <v>146</v>
      </c>
      <c r="I191" s="28" t="s">
        <v>186</v>
      </c>
      <c r="J191" s="29">
        <v>150</v>
      </c>
      <c r="K191" s="29">
        <v>5</v>
      </c>
      <c r="L191" s="56" t="s">
        <v>529</v>
      </c>
      <c r="M191" s="31">
        <v>1200</v>
      </c>
      <c r="N191" s="31">
        <v>6</v>
      </c>
      <c r="O191" s="31" t="s">
        <v>76</v>
      </c>
      <c r="P191" s="32" t="s">
        <v>160</v>
      </c>
      <c r="Q191" s="33" t="s">
        <v>555</v>
      </c>
      <c r="R191" s="33" t="s">
        <v>556</v>
      </c>
      <c r="S191" s="29">
        <v>150</v>
      </c>
      <c r="T191" s="31" t="s">
        <v>152</v>
      </c>
      <c r="U191" s="31" t="s">
        <v>555</v>
      </c>
      <c r="V191" s="31" t="s">
        <v>557</v>
      </c>
      <c r="W191" s="50" t="s">
        <v>880</v>
      </c>
      <c r="X191" s="34">
        <v>150</v>
      </c>
      <c r="Y191" s="34">
        <v>1200</v>
      </c>
      <c r="Z191" s="34" t="s">
        <v>800</v>
      </c>
      <c r="AA191" s="34">
        <f t="shared" si="7"/>
        <v>0</v>
      </c>
      <c r="AB191" s="34">
        <f t="shared" si="8"/>
        <v>0</v>
      </c>
      <c r="AC191" s="25" t="s">
        <v>285</v>
      </c>
      <c r="AD191" s="25" t="s">
        <v>76</v>
      </c>
      <c r="AE191" s="25"/>
      <c r="AF191" s="25"/>
      <c r="AG191" s="25"/>
      <c r="AH191" s="35"/>
    </row>
    <row r="192" spans="1:34" ht="31.2">
      <c r="A192" s="23" t="s">
        <v>525</v>
      </c>
      <c r="B192" s="81">
        <v>6000023796</v>
      </c>
      <c r="C192" s="25" t="s">
        <v>548</v>
      </c>
      <c r="D192" s="25">
        <v>6000023796</v>
      </c>
      <c r="E192" s="25">
        <v>8</v>
      </c>
      <c r="F192" s="25">
        <v>150</v>
      </c>
      <c r="G192" s="26">
        <f t="shared" si="6"/>
        <v>1200</v>
      </c>
      <c r="H192" s="27" t="s">
        <v>27</v>
      </c>
      <c r="I192" s="28" t="s">
        <v>558</v>
      </c>
      <c r="J192" s="29">
        <v>150</v>
      </c>
      <c r="K192" s="29">
        <v>10</v>
      </c>
      <c r="L192" s="56" t="s">
        <v>210</v>
      </c>
      <c r="M192" s="31">
        <v>1200</v>
      </c>
      <c r="N192" s="31">
        <v>6</v>
      </c>
      <c r="O192" s="31" t="s">
        <v>76</v>
      </c>
      <c r="P192" s="32" t="s">
        <v>559</v>
      </c>
      <c r="Q192" s="33" t="s">
        <v>560</v>
      </c>
      <c r="R192" s="33" t="s">
        <v>561</v>
      </c>
      <c r="S192" s="29">
        <v>150</v>
      </c>
      <c r="T192" s="31" t="s">
        <v>562</v>
      </c>
      <c r="U192" s="31" t="s">
        <v>563</v>
      </c>
      <c r="V192" s="31" t="s">
        <v>564</v>
      </c>
      <c r="W192" s="50" t="s">
        <v>820</v>
      </c>
      <c r="X192" s="34">
        <v>150</v>
      </c>
      <c r="Y192" s="34">
        <v>1200</v>
      </c>
      <c r="Z192" s="34" t="s">
        <v>800</v>
      </c>
      <c r="AA192" s="34">
        <f t="shared" si="7"/>
        <v>0</v>
      </c>
      <c r="AB192" s="34">
        <f t="shared" si="8"/>
        <v>0</v>
      </c>
      <c r="AC192" s="25" t="s">
        <v>285</v>
      </c>
      <c r="AD192" s="25" t="s">
        <v>76</v>
      </c>
      <c r="AE192" s="25"/>
      <c r="AF192" s="25"/>
      <c r="AG192" s="25"/>
      <c r="AH192" s="35"/>
    </row>
    <row r="193" spans="1:34" ht="31.2">
      <c r="A193" s="23" t="s">
        <v>525</v>
      </c>
      <c r="B193" s="81"/>
      <c r="C193" s="25"/>
      <c r="D193" s="25"/>
      <c r="E193" s="25">
        <v>8</v>
      </c>
      <c r="F193" s="25">
        <v>800</v>
      </c>
      <c r="G193" s="26">
        <f t="shared" si="6"/>
        <v>6400</v>
      </c>
      <c r="H193" s="27" t="s">
        <v>46</v>
      </c>
      <c r="I193" s="28" t="s">
        <v>558</v>
      </c>
      <c r="J193" s="29">
        <v>800</v>
      </c>
      <c r="K193" s="29">
        <v>15</v>
      </c>
      <c r="L193" s="56" t="s">
        <v>210</v>
      </c>
      <c r="M193" s="31">
        <v>6400</v>
      </c>
      <c r="N193" s="31">
        <v>32</v>
      </c>
      <c r="O193" s="31" t="s">
        <v>76</v>
      </c>
      <c r="P193" s="32" t="s">
        <v>559</v>
      </c>
      <c r="Q193" s="33" t="s">
        <v>560</v>
      </c>
      <c r="R193" s="33" t="s">
        <v>561</v>
      </c>
      <c r="S193" s="29">
        <v>800</v>
      </c>
      <c r="T193" s="31" t="s">
        <v>562</v>
      </c>
      <c r="U193" s="31" t="s">
        <v>563</v>
      </c>
      <c r="V193" s="31" t="s">
        <v>564</v>
      </c>
      <c r="W193" s="50" t="s">
        <v>820</v>
      </c>
      <c r="X193" s="34">
        <v>800</v>
      </c>
      <c r="Y193" s="34">
        <v>6400</v>
      </c>
      <c r="Z193" s="34" t="s">
        <v>800</v>
      </c>
      <c r="AA193" s="34">
        <f t="shared" si="7"/>
        <v>0</v>
      </c>
      <c r="AB193" s="34">
        <f t="shared" si="8"/>
        <v>0</v>
      </c>
      <c r="AC193" s="25" t="s">
        <v>285</v>
      </c>
      <c r="AD193" s="25" t="s">
        <v>76</v>
      </c>
      <c r="AE193" s="25"/>
      <c r="AF193" s="25"/>
      <c r="AG193" s="25"/>
      <c r="AH193" s="35"/>
    </row>
    <row r="194" spans="1:34" ht="31.2">
      <c r="A194" s="23" t="s">
        <v>525</v>
      </c>
      <c r="B194" s="81"/>
      <c r="C194" s="25"/>
      <c r="D194" s="25"/>
      <c r="E194" s="25">
        <v>8</v>
      </c>
      <c r="F194" s="25">
        <v>450</v>
      </c>
      <c r="G194" s="26">
        <f t="shared" si="6"/>
        <v>3600</v>
      </c>
      <c r="H194" s="27" t="s">
        <v>37</v>
      </c>
      <c r="I194" s="28" t="s">
        <v>558</v>
      </c>
      <c r="J194" s="29">
        <v>450</v>
      </c>
      <c r="K194" s="29">
        <v>10</v>
      </c>
      <c r="L194" s="56" t="s">
        <v>210</v>
      </c>
      <c r="M194" s="31">
        <v>3600</v>
      </c>
      <c r="N194" s="31">
        <v>18</v>
      </c>
      <c r="O194" s="31" t="s">
        <v>76</v>
      </c>
      <c r="P194" s="32" t="s">
        <v>559</v>
      </c>
      <c r="Q194" s="33" t="s">
        <v>560</v>
      </c>
      <c r="R194" s="33" t="s">
        <v>561</v>
      </c>
      <c r="S194" s="29">
        <v>450</v>
      </c>
      <c r="T194" s="31" t="s">
        <v>562</v>
      </c>
      <c r="U194" s="31" t="s">
        <v>563</v>
      </c>
      <c r="V194" s="31" t="s">
        <v>564</v>
      </c>
      <c r="W194" s="50" t="s">
        <v>820</v>
      </c>
      <c r="X194" s="34">
        <v>450</v>
      </c>
      <c r="Y194" s="34">
        <v>3600</v>
      </c>
      <c r="Z194" s="34" t="s">
        <v>800</v>
      </c>
      <c r="AA194" s="34">
        <f t="shared" si="7"/>
        <v>0</v>
      </c>
      <c r="AB194" s="34">
        <f t="shared" si="8"/>
        <v>0</v>
      </c>
      <c r="AC194" s="25" t="s">
        <v>285</v>
      </c>
      <c r="AD194" s="25" t="s">
        <v>76</v>
      </c>
      <c r="AE194" s="25"/>
      <c r="AF194" s="25"/>
      <c r="AG194" s="25"/>
      <c r="AH194" s="35"/>
    </row>
    <row r="195" spans="1:34" ht="31.2">
      <c r="A195" s="23" t="s">
        <v>565</v>
      </c>
      <c r="B195" s="81">
        <v>6000024084</v>
      </c>
      <c r="C195" s="25" t="s">
        <v>566</v>
      </c>
      <c r="D195" s="25">
        <v>5148519</v>
      </c>
      <c r="E195" s="25">
        <v>8</v>
      </c>
      <c r="F195" s="25">
        <v>100</v>
      </c>
      <c r="G195" s="26">
        <f t="shared" si="6"/>
        <v>800</v>
      </c>
      <c r="H195" s="27" t="s">
        <v>27</v>
      </c>
      <c r="I195" s="28" t="s">
        <v>186</v>
      </c>
      <c r="J195" s="29">
        <v>100</v>
      </c>
      <c r="K195" s="29">
        <v>6</v>
      </c>
      <c r="L195" s="56" t="s">
        <v>188</v>
      </c>
      <c r="M195" s="31">
        <v>800</v>
      </c>
      <c r="N195" s="31">
        <v>4</v>
      </c>
      <c r="O195" s="31" t="s">
        <v>76</v>
      </c>
      <c r="P195" s="32" t="s">
        <v>160</v>
      </c>
      <c r="Q195" s="33" t="s">
        <v>567</v>
      </c>
      <c r="R195" s="33" t="s">
        <v>568</v>
      </c>
      <c r="S195" s="29">
        <v>100</v>
      </c>
      <c r="T195" s="31" t="s">
        <v>152</v>
      </c>
      <c r="U195" s="31" t="s">
        <v>569</v>
      </c>
      <c r="V195" s="31" t="s">
        <v>570</v>
      </c>
      <c r="W195" s="50">
        <v>45203</v>
      </c>
      <c r="X195" s="34">
        <v>100</v>
      </c>
      <c r="Y195" s="34">
        <v>800</v>
      </c>
      <c r="Z195" s="34" t="s">
        <v>800</v>
      </c>
      <c r="AA195" s="34">
        <f t="shared" si="7"/>
        <v>0</v>
      </c>
      <c r="AB195" s="34">
        <f t="shared" si="8"/>
        <v>0</v>
      </c>
      <c r="AC195" s="25" t="s">
        <v>36</v>
      </c>
      <c r="AD195" s="25" t="s">
        <v>76</v>
      </c>
      <c r="AE195" s="25"/>
      <c r="AF195" s="25"/>
      <c r="AG195" s="25"/>
      <c r="AH195" s="35"/>
    </row>
    <row r="196" spans="1:34" ht="62.4">
      <c r="A196" s="23" t="s">
        <v>565</v>
      </c>
      <c r="B196" s="81"/>
      <c r="C196" s="25"/>
      <c r="D196" s="25"/>
      <c r="E196" s="25">
        <v>8</v>
      </c>
      <c r="F196" s="25">
        <v>950</v>
      </c>
      <c r="G196" s="26">
        <f t="shared" si="6"/>
        <v>7600</v>
      </c>
      <c r="H196" s="27" t="s">
        <v>46</v>
      </c>
      <c r="I196" s="28" t="s">
        <v>1329</v>
      </c>
      <c r="J196" s="29">
        <v>950</v>
      </c>
      <c r="K196" s="29">
        <v>11</v>
      </c>
      <c r="L196" s="56" t="s">
        <v>188</v>
      </c>
      <c r="M196" s="31">
        <v>7600</v>
      </c>
      <c r="N196" s="31">
        <v>38</v>
      </c>
      <c r="O196" s="31" t="s">
        <v>76</v>
      </c>
      <c r="P196" s="32" t="s">
        <v>160</v>
      </c>
      <c r="Q196" s="33" t="s">
        <v>571</v>
      </c>
      <c r="R196" s="33" t="s">
        <v>572</v>
      </c>
      <c r="S196" s="29">
        <v>950</v>
      </c>
      <c r="T196" s="31" t="s">
        <v>152</v>
      </c>
      <c r="U196" s="31" t="s">
        <v>569</v>
      </c>
      <c r="V196" s="31" t="s">
        <v>570</v>
      </c>
      <c r="W196" s="50">
        <v>45203</v>
      </c>
      <c r="X196" s="34">
        <v>950</v>
      </c>
      <c r="Y196" s="34">
        <v>7600</v>
      </c>
      <c r="Z196" s="34" t="s">
        <v>800</v>
      </c>
      <c r="AA196" s="34">
        <f t="shared" si="7"/>
        <v>0</v>
      </c>
      <c r="AB196" s="34">
        <f t="shared" si="8"/>
        <v>0</v>
      </c>
      <c r="AC196" s="25" t="s">
        <v>36</v>
      </c>
      <c r="AD196" s="25" t="s">
        <v>76</v>
      </c>
      <c r="AE196" s="25"/>
      <c r="AF196" s="25"/>
      <c r="AG196" s="25"/>
      <c r="AH196" s="35"/>
    </row>
    <row r="197" spans="1:34" ht="31.2">
      <c r="A197" s="23" t="s">
        <v>565</v>
      </c>
      <c r="B197" s="81"/>
      <c r="C197" s="25"/>
      <c r="D197" s="25"/>
      <c r="E197" s="25">
        <v>8</v>
      </c>
      <c r="F197" s="25">
        <v>350</v>
      </c>
      <c r="G197" s="26">
        <f t="shared" si="6"/>
        <v>2800</v>
      </c>
      <c r="H197" s="27" t="s">
        <v>37</v>
      </c>
      <c r="I197" s="28" t="s">
        <v>186</v>
      </c>
      <c r="J197" s="29">
        <v>350</v>
      </c>
      <c r="K197" s="29">
        <v>8</v>
      </c>
      <c r="L197" s="56" t="s">
        <v>188</v>
      </c>
      <c r="M197" s="31">
        <v>2800</v>
      </c>
      <c r="N197" s="31">
        <v>14</v>
      </c>
      <c r="O197" s="31" t="s">
        <v>76</v>
      </c>
      <c r="P197" s="32" t="s">
        <v>160</v>
      </c>
      <c r="Q197" s="33" t="s">
        <v>567</v>
      </c>
      <c r="R197" s="33" t="s">
        <v>568</v>
      </c>
      <c r="S197" s="29">
        <v>350</v>
      </c>
      <c r="T197" s="31" t="s">
        <v>152</v>
      </c>
      <c r="U197" s="31" t="s">
        <v>569</v>
      </c>
      <c r="V197" s="31" t="s">
        <v>570</v>
      </c>
      <c r="W197" s="50">
        <v>45206</v>
      </c>
      <c r="X197" s="34">
        <v>350</v>
      </c>
      <c r="Y197" s="34">
        <v>2800</v>
      </c>
      <c r="Z197" s="34" t="s">
        <v>800</v>
      </c>
      <c r="AA197" s="34">
        <f t="shared" si="7"/>
        <v>0</v>
      </c>
      <c r="AB197" s="34">
        <f t="shared" si="8"/>
        <v>0</v>
      </c>
      <c r="AC197" s="25" t="s">
        <v>36</v>
      </c>
      <c r="AD197" s="25" t="s">
        <v>76</v>
      </c>
      <c r="AE197" s="25"/>
      <c r="AF197" s="25"/>
      <c r="AG197" s="25"/>
      <c r="AH197" s="35"/>
    </row>
    <row r="198" spans="1:34" ht="31.2">
      <c r="A198" s="23" t="s">
        <v>573</v>
      </c>
      <c r="B198" s="81">
        <v>6000024139</v>
      </c>
      <c r="C198" s="25" t="s">
        <v>574</v>
      </c>
      <c r="D198" s="25">
        <v>6000024139</v>
      </c>
      <c r="E198" s="25">
        <v>10</v>
      </c>
      <c r="F198" s="25">
        <v>300</v>
      </c>
      <c r="G198" s="26">
        <f t="shared" si="6"/>
        <v>3000</v>
      </c>
      <c r="H198" s="27" t="s">
        <v>27</v>
      </c>
      <c r="I198" s="28" t="s">
        <v>380</v>
      </c>
      <c r="J198" s="29">
        <v>300</v>
      </c>
      <c r="K198" s="29">
        <v>8</v>
      </c>
      <c r="L198" s="56" t="s">
        <v>42</v>
      </c>
      <c r="M198" s="31">
        <v>3000</v>
      </c>
      <c r="N198" s="31">
        <v>30</v>
      </c>
      <c r="O198" s="31" t="s">
        <v>76</v>
      </c>
      <c r="P198" s="32" t="s">
        <v>160</v>
      </c>
      <c r="Q198" s="33" t="s">
        <v>575</v>
      </c>
      <c r="R198" s="33" t="s">
        <v>576</v>
      </c>
      <c r="S198" s="29">
        <v>300</v>
      </c>
      <c r="T198" s="31" t="s">
        <v>1558</v>
      </c>
      <c r="U198" s="31" t="s">
        <v>577</v>
      </c>
      <c r="V198" s="31" t="s">
        <v>578</v>
      </c>
      <c r="W198" s="50">
        <v>45168</v>
      </c>
      <c r="X198" s="34">
        <v>300</v>
      </c>
      <c r="Y198" s="34">
        <v>3000</v>
      </c>
      <c r="Z198" s="34" t="s">
        <v>1434</v>
      </c>
      <c r="AA198" s="34">
        <f t="shared" si="7"/>
        <v>0</v>
      </c>
      <c r="AB198" s="34">
        <f t="shared" si="8"/>
        <v>0</v>
      </c>
      <c r="AC198" s="25" t="s">
        <v>36</v>
      </c>
      <c r="AD198" s="25" t="s">
        <v>76</v>
      </c>
      <c r="AE198" s="25"/>
      <c r="AF198" s="25"/>
      <c r="AG198" s="25"/>
      <c r="AH198" s="35"/>
    </row>
    <row r="199" spans="1:34" ht="21" customHeight="1">
      <c r="A199" s="23" t="s">
        <v>573</v>
      </c>
      <c r="B199" s="81"/>
      <c r="C199" s="25"/>
      <c r="D199" s="25"/>
      <c r="E199" s="25">
        <v>10</v>
      </c>
      <c r="F199" s="25">
        <v>1350</v>
      </c>
      <c r="G199" s="26">
        <f t="shared" si="6"/>
        <v>13500</v>
      </c>
      <c r="H199" s="27" t="s">
        <v>46</v>
      </c>
      <c r="I199" s="28" t="s">
        <v>380</v>
      </c>
      <c r="J199" s="29">
        <v>1350</v>
      </c>
      <c r="K199" s="29">
        <v>19</v>
      </c>
      <c r="L199" s="56" t="s">
        <v>579</v>
      </c>
      <c r="M199" s="31">
        <v>13500</v>
      </c>
      <c r="N199" s="31">
        <v>135</v>
      </c>
      <c r="O199" s="31" t="s">
        <v>76</v>
      </c>
      <c r="P199" s="32" t="s">
        <v>160</v>
      </c>
      <c r="Q199" s="33" t="s">
        <v>575</v>
      </c>
      <c r="R199" s="33" t="s">
        <v>576</v>
      </c>
      <c r="S199" s="29">
        <v>1350</v>
      </c>
      <c r="T199" s="31" t="s">
        <v>1558</v>
      </c>
      <c r="U199" s="31" t="s">
        <v>577</v>
      </c>
      <c r="V199" s="31" t="s">
        <v>580</v>
      </c>
      <c r="W199" s="50">
        <v>45163</v>
      </c>
      <c r="X199" s="34">
        <v>1350</v>
      </c>
      <c r="Y199" s="34">
        <v>13500</v>
      </c>
      <c r="Z199" s="34" t="s">
        <v>870</v>
      </c>
      <c r="AA199" s="34">
        <f t="shared" si="7"/>
        <v>0</v>
      </c>
      <c r="AB199" s="34">
        <f t="shared" si="8"/>
        <v>0</v>
      </c>
      <c r="AC199" s="25" t="s">
        <v>36</v>
      </c>
      <c r="AD199" s="25" t="s">
        <v>76</v>
      </c>
      <c r="AE199" s="25"/>
      <c r="AF199" s="25"/>
      <c r="AG199" s="25"/>
      <c r="AH199" s="35"/>
    </row>
    <row r="200" spans="1:34" ht="31.2">
      <c r="A200" s="23" t="s">
        <v>573</v>
      </c>
      <c r="B200" s="81"/>
      <c r="C200" s="25"/>
      <c r="D200" s="25"/>
      <c r="E200" s="25">
        <v>10</v>
      </c>
      <c r="F200" s="25">
        <v>1850</v>
      </c>
      <c r="G200" s="26">
        <f t="shared" si="6"/>
        <v>18500</v>
      </c>
      <c r="H200" s="27" t="s">
        <v>37</v>
      </c>
      <c r="I200" s="28" t="s">
        <v>380</v>
      </c>
      <c r="J200" s="29">
        <v>1850</v>
      </c>
      <c r="K200" s="29">
        <v>24</v>
      </c>
      <c r="L200" s="56" t="s">
        <v>42</v>
      </c>
      <c r="M200" s="31">
        <v>18500</v>
      </c>
      <c r="N200" s="31">
        <v>185</v>
      </c>
      <c r="O200" s="31" t="s">
        <v>76</v>
      </c>
      <c r="P200" s="32" t="s">
        <v>160</v>
      </c>
      <c r="Q200" s="33" t="s">
        <v>575</v>
      </c>
      <c r="R200" s="33" t="s">
        <v>576</v>
      </c>
      <c r="S200" s="29">
        <v>1850</v>
      </c>
      <c r="T200" s="31" t="s">
        <v>1558</v>
      </c>
      <c r="U200" s="31" t="s">
        <v>577</v>
      </c>
      <c r="V200" s="31" t="s">
        <v>578</v>
      </c>
      <c r="W200" s="50">
        <v>45164</v>
      </c>
      <c r="X200" s="34">
        <v>1850</v>
      </c>
      <c r="Y200" s="34">
        <v>18500</v>
      </c>
      <c r="Z200" s="34" t="s">
        <v>800</v>
      </c>
      <c r="AA200" s="34">
        <f t="shared" si="7"/>
        <v>0</v>
      </c>
      <c r="AB200" s="34">
        <f t="shared" si="8"/>
        <v>0</v>
      </c>
      <c r="AC200" s="25" t="s">
        <v>36</v>
      </c>
      <c r="AD200" s="25" t="s">
        <v>76</v>
      </c>
      <c r="AE200" s="25"/>
      <c r="AF200" s="25"/>
      <c r="AG200" s="25"/>
      <c r="AH200" s="35"/>
    </row>
    <row r="201" spans="1:34" ht="31.2">
      <c r="A201" s="23" t="s">
        <v>573</v>
      </c>
      <c r="B201" s="81"/>
      <c r="C201" s="25"/>
      <c r="D201" s="25"/>
      <c r="E201" s="25">
        <v>10</v>
      </c>
      <c r="F201" s="25">
        <v>850</v>
      </c>
      <c r="G201" s="26">
        <f t="shared" si="6"/>
        <v>8500</v>
      </c>
      <c r="H201" s="27" t="s">
        <v>146</v>
      </c>
      <c r="I201" s="28" t="s">
        <v>380</v>
      </c>
      <c r="J201" s="29">
        <v>850</v>
      </c>
      <c r="K201" s="29">
        <v>10</v>
      </c>
      <c r="L201" s="56" t="s">
        <v>42</v>
      </c>
      <c r="M201" s="31">
        <v>8500</v>
      </c>
      <c r="N201" s="31">
        <v>85</v>
      </c>
      <c r="O201" s="31" t="s">
        <v>76</v>
      </c>
      <c r="P201" s="32" t="s">
        <v>160</v>
      </c>
      <c r="Q201" s="33" t="s">
        <v>575</v>
      </c>
      <c r="R201" s="33" t="s">
        <v>576</v>
      </c>
      <c r="S201" s="29">
        <v>850</v>
      </c>
      <c r="T201" s="31" t="s">
        <v>1558</v>
      </c>
      <c r="U201" s="31" t="s">
        <v>577</v>
      </c>
      <c r="V201" s="31" t="s">
        <v>578</v>
      </c>
      <c r="W201" s="50">
        <v>45164</v>
      </c>
      <c r="X201" s="34">
        <v>850</v>
      </c>
      <c r="Y201" s="34">
        <v>8500</v>
      </c>
      <c r="Z201" s="34" t="s">
        <v>800</v>
      </c>
      <c r="AA201" s="34">
        <f t="shared" si="7"/>
        <v>0</v>
      </c>
      <c r="AB201" s="34">
        <f t="shared" si="8"/>
        <v>0</v>
      </c>
      <c r="AC201" s="25" t="s">
        <v>36</v>
      </c>
      <c r="AD201" s="25" t="s">
        <v>76</v>
      </c>
      <c r="AE201" s="25"/>
      <c r="AF201" s="25"/>
      <c r="AG201" s="25"/>
      <c r="AH201" s="35"/>
    </row>
    <row r="202" spans="1:34" ht="31.2">
      <c r="A202" s="23" t="s">
        <v>240</v>
      </c>
      <c r="B202" s="81">
        <v>6000024103</v>
      </c>
      <c r="C202" s="25" t="s">
        <v>581</v>
      </c>
      <c r="D202" s="25">
        <v>230828</v>
      </c>
      <c r="E202" s="25">
        <v>30</v>
      </c>
      <c r="F202" s="25">
        <v>50</v>
      </c>
      <c r="G202" s="26">
        <f t="shared" ref="G202:G265" si="9">F202*E202</f>
        <v>1500</v>
      </c>
      <c r="H202" s="27" t="s">
        <v>46</v>
      </c>
      <c r="I202" s="28" t="s">
        <v>186</v>
      </c>
      <c r="J202" s="29">
        <v>50</v>
      </c>
      <c r="K202" s="29">
        <v>3</v>
      </c>
      <c r="L202" s="56" t="s">
        <v>920</v>
      </c>
      <c r="M202" s="31">
        <v>1500</v>
      </c>
      <c r="N202" s="31">
        <v>15</v>
      </c>
      <c r="O202" s="31" t="s">
        <v>792</v>
      </c>
      <c r="P202" s="32" t="s">
        <v>160</v>
      </c>
      <c r="Q202" s="33" t="s">
        <v>582</v>
      </c>
      <c r="R202" s="33" t="s">
        <v>583</v>
      </c>
      <c r="S202" s="29">
        <v>50</v>
      </c>
      <c r="T202" s="31" t="s">
        <v>794</v>
      </c>
      <c r="U202" s="31" t="s">
        <v>981</v>
      </c>
      <c r="V202" s="31" t="s">
        <v>982</v>
      </c>
      <c r="W202" s="50">
        <v>45164</v>
      </c>
      <c r="X202" s="34">
        <v>50</v>
      </c>
      <c r="Y202" s="34">
        <v>1500</v>
      </c>
      <c r="Z202" s="34" t="s">
        <v>800</v>
      </c>
      <c r="AA202" s="34">
        <f t="shared" si="7"/>
        <v>0</v>
      </c>
      <c r="AB202" s="34">
        <f t="shared" si="8"/>
        <v>0</v>
      </c>
      <c r="AC202" s="25" t="s">
        <v>36</v>
      </c>
      <c r="AD202" s="25"/>
      <c r="AE202" s="25"/>
      <c r="AF202" s="25"/>
      <c r="AG202" s="25"/>
      <c r="AH202" s="35"/>
    </row>
    <row r="203" spans="1:34" ht="31.2">
      <c r="A203" s="23" t="s">
        <v>240</v>
      </c>
      <c r="B203" s="81"/>
      <c r="C203" s="25" t="s">
        <v>584</v>
      </c>
      <c r="D203" s="25">
        <v>230828</v>
      </c>
      <c r="E203" s="25">
        <v>10</v>
      </c>
      <c r="F203" s="25">
        <v>50</v>
      </c>
      <c r="G203" s="26">
        <f t="shared" si="9"/>
        <v>500</v>
      </c>
      <c r="H203" s="27" t="s">
        <v>27</v>
      </c>
      <c r="I203" s="28" t="s">
        <v>186</v>
      </c>
      <c r="J203" s="29">
        <v>50</v>
      </c>
      <c r="K203" s="29">
        <v>4</v>
      </c>
      <c r="L203" s="56" t="s">
        <v>859</v>
      </c>
      <c r="M203" s="31">
        <v>500</v>
      </c>
      <c r="N203" s="31">
        <v>5</v>
      </c>
      <c r="O203" s="31" t="s">
        <v>860</v>
      </c>
      <c r="P203" s="32" t="s">
        <v>160</v>
      </c>
      <c r="Q203" s="33" t="s">
        <v>585</v>
      </c>
      <c r="R203" s="33" t="s">
        <v>586</v>
      </c>
      <c r="S203" s="29">
        <v>50</v>
      </c>
      <c r="T203" s="31" t="s">
        <v>794</v>
      </c>
      <c r="U203" s="31" t="s">
        <v>983</v>
      </c>
      <c r="V203" s="31" t="s">
        <v>984</v>
      </c>
      <c r="W203" s="50" t="s">
        <v>903</v>
      </c>
      <c r="X203" s="34">
        <v>50</v>
      </c>
      <c r="Y203" s="34">
        <v>500</v>
      </c>
      <c r="Z203" s="34" t="s">
        <v>800</v>
      </c>
      <c r="AA203" s="34">
        <f t="shared" ref="AA203:AA266" si="10">J203-X203</f>
        <v>0</v>
      </c>
      <c r="AB203" s="34">
        <f t="shared" ref="AB203:AB266" si="11">M203-Y203</f>
        <v>0</v>
      </c>
      <c r="AC203" s="25" t="s">
        <v>36</v>
      </c>
      <c r="AD203" s="25"/>
      <c r="AE203" s="25"/>
      <c r="AF203" s="25"/>
      <c r="AG203" s="25"/>
      <c r="AH203" s="35"/>
    </row>
    <row r="204" spans="1:34" ht="31.2">
      <c r="A204" s="23" t="s">
        <v>240</v>
      </c>
      <c r="B204" s="81"/>
      <c r="C204" s="25" t="s">
        <v>584</v>
      </c>
      <c r="D204" s="25">
        <v>230828</v>
      </c>
      <c r="E204" s="25">
        <v>10</v>
      </c>
      <c r="F204" s="25">
        <v>50</v>
      </c>
      <c r="G204" s="26">
        <f t="shared" si="9"/>
        <v>500</v>
      </c>
      <c r="H204" s="27" t="s">
        <v>46</v>
      </c>
      <c r="I204" s="28" t="s">
        <v>186</v>
      </c>
      <c r="J204" s="29">
        <v>50</v>
      </c>
      <c r="K204" s="29">
        <v>3</v>
      </c>
      <c r="L204" s="56" t="s">
        <v>847</v>
      </c>
      <c r="M204" s="31">
        <v>500</v>
      </c>
      <c r="N204" s="31">
        <v>5</v>
      </c>
      <c r="O204" s="31" t="s">
        <v>819</v>
      </c>
      <c r="P204" s="32" t="s">
        <v>160</v>
      </c>
      <c r="Q204" s="33" t="s">
        <v>585</v>
      </c>
      <c r="R204" s="33" t="s">
        <v>586</v>
      </c>
      <c r="S204" s="29">
        <v>50</v>
      </c>
      <c r="T204" s="31" t="s">
        <v>794</v>
      </c>
      <c r="U204" s="31" t="s">
        <v>983</v>
      </c>
      <c r="V204" s="31" t="s">
        <v>985</v>
      </c>
      <c r="W204" s="50">
        <v>45164</v>
      </c>
      <c r="X204" s="34">
        <v>50</v>
      </c>
      <c r="Y204" s="34">
        <v>500</v>
      </c>
      <c r="Z204" s="34" t="s">
        <v>800</v>
      </c>
      <c r="AA204" s="34">
        <f t="shared" si="10"/>
        <v>0</v>
      </c>
      <c r="AB204" s="34">
        <f t="shared" si="11"/>
        <v>0</v>
      </c>
      <c r="AC204" s="25" t="s">
        <v>36</v>
      </c>
      <c r="AD204" s="25"/>
      <c r="AE204" s="25"/>
      <c r="AF204" s="25"/>
      <c r="AG204" s="25"/>
      <c r="AH204" s="35"/>
    </row>
    <row r="205" spans="1:34" ht="31.2">
      <c r="A205" s="23" t="s">
        <v>240</v>
      </c>
      <c r="B205" s="81"/>
      <c r="C205" s="25" t="s">
        <v>587</v>
      </c>
      <c r="D205" s="25">
        <v>230828</v>
      </c>
      <c r="E205" s="25">
        <v>30</v>
      </c>
      <c r="F205" s="25">
        <v>35</v>
      </c>
      <c r="G205" s="26">
        <f t="shared" si="9"/>
        <v>1050</v>
      </c>
      <c r="H205" s="27" t="s">
        <v>46</v>
      </c>
      <c r="I205" s="28" t="s">
        <v>42</v>
      </c>
      <c r="J205" s="29">
        <v>35</v>
      </c>
      <c r="K205" s="29">
        <v>1</v>
      </c>
      <c r="L205" s="56" t="s">
        <v>787</v>
      </c>
      <c r="M205" s="31">
        <v>1050</v>
      </c>
      <c r="N205" s="31">
        <v>11</v>
      </c>
      <c r="O205" s="31" t="s">
        <v>791</v>
      </c>
      <c r="P205" s="32" t="s">
        <v>28</v>
      </c>
      <c r="Q205" s="33" t="s">
        <v>588</v>
      </c>
      <c r="R205" s="33" t="s">
        <v>589</v>
      </c>
      <c r="S205" s="29">
        <v>35</v>
      </c>
      <c r="T205" s="31" t="s">
        <v>794</v>
      </c>
      <c r="U205" s="31" t="s">
        <v>986</v>
      </c>
      <c r="V205" s="31" t="s">
        <v>987</v>
      </c>
      <c r="W205" s="50">
        <v>45189</v>
      </c>
      <c r="X205" s="34">
        <v>35</v>
      </c>
      <c r="Y205" s="34">
        <v>1050</v>
      </c>
      <c r="Z205" s="34" t="s">
        <v>800</v>
      </c>
      <c r="AA205" s="34">
        <f t="shared" si="10"/>
        <v>0</v>
      </c>
      <c r="AB205" s="34">
        <f t="shared" si="11"/>
        <v>0</v>
      </c>
      <c r="AC205" s="25" t="s">
        <v>36</v>
      </c>
      <c r="AD205" s="25"/>
      <c r="AE205" s="25"/>
      <c r="AF205" s="25"/>
      <c r="AG205" s="25"/>
      <c r="AH205" s="35"/>
    </row>
    <row r="206" spans="1:34" ht="62.4">
      <c r="A206" s="23" t="s">
        <v>240</v>
      </c>
      <c r="B206" s="81">
        <v>6000024103</v>
      </c>
      <c r="C206" s="25" t="s">
        <v>587</v>
      </c>
      <c r="D206" s="25">
        <v>230828</v>
      </c>
      <c r="E206" s="25">
        <v>30</v>
      </c>
      <c r="F206" s="25">
        <v>35</v>
      </c>
      <c r="G206" s="26">
        <f t="shared" si="9"/>
        <v>1050</v>
      </c>
      <c r="H206" s="27" t="s">
        <v>37</v>
      </c>
      <c r="I206" s="28" t="s">
        <v>1330</v>
      </c>
      <c r="J206" s="29">
        <v>35</v>
      </c>
      <c r="K206" s="29">
        <v>5</v>
      </c>
      <c r="L206" s="56" t="s">
        <v>787</v>
      </c>
      <c r="M206" s="31">
        <v>1050</v>
      </c>
      <c r="N206" s="31">
        <v>11</v>
      </c>
      <c r="O206" s="31" t="s">
        <v>791</v>
      </c>
      <c r="P206" s="32" t="s">
        <v>28</v>
      </c>
      <c r="Q206" s="33" t="s">
        <v>588</v>
      </c>
      <c r="R206" s="33" t="s">
        <v>590</v>
      </c>
      <c r="S206" s="29">
        <v>35</v>
      </c>
      <c r="T206" s="31" t="s">
        <v>794</v>
      </c>
      <c r="U206" s="31" t="s">
        <v>986</v>
      </c>
      <c r="V206" s="31" t="s">
        <v>987</v>
      </c>
      <c r="W206" s="50" t="s">
        <v>920</v>
      </c>
      <c r="X206" s="34">
        <v>35</v>
      </c>
      <c r="Y206" s="34">
        <v>1050</v>
      </c>
      <c r="Z206" s="34" t="s">
        <v>826</v>
      </c>
      <c r="AA206" s="34">
        <f t="shared" si="10"/>
        <v>0</v>
      </c>
      <c r="AB206" s="34">
        <f t="shared" si="11"/>
        <v>0</v>
      </c>
      <c r="AC206" s="25" t="s">
        <v>36</v>
      </c>
      <c r="AD206" s="25"/>
      <c r="AE206" s="25"/>
      <c r="AF206" s="25"/>
      <c r="AG206" s="25"/>
      <c r="AH206" s="35"/>
    </row>
    <row r="207" spans="1:34" ht="31.2">
      <c r="A207" s="23" t="s">
        <v>591</v>
      </c>
      <c r="B207" s="81">
        <v>6000024077</v>
      </c>
      <c r="C207" s="25" t="s">
        <v>592</v>
      </c>
      <c r="D207" s="25">
        <v>6000024077</v>
      </c>
      <c r="E207" s="25">
        <v>10</v>
      </c>
      <c r="F207" s="25">
        <v>280</v>
      </c>
      <c r="G207" s="26">
        <f t="shared" si="9"/>
        <v>2800</v>
      </c>
      <c r="H207" s="27" t="s">
        <v>27</v>
      </c>
      <c r="I207" s="28" t="s">
        <v>380</v>
      </c>
      <c r="J207" s="29">
        <v>280</v>
      </c>
      <c r="K207" s="29">
        <v>8</v>
      </c>
      <c r="L207" s="56" t="s">
        <v>69</v>
      </c>
      <c r="M207" s="31">
        <v>2800</v>
      </c>
      <c r="N207" s="31">
        <v>36</v>
      </c>
      <c r="O207" s="31" t="s">
        <v>730</v>
      </c>
      <c r="P207" s="32" t="s">
        <v>28</v>
      </c>
      <c r="Q207" s="33" t="s">
        <v>593</v>
      </c>
      <c r="R207" s="33" t="s">
        <v>594</v>
      </c>
      <c r="S207" s="29">
        <v>280</v>
      </c>
      <c r="T207" s="31" t="s">
        <v>1558</v>
      </c>
      <c r="U207" s="31" t="s">
        <v>595</v>
      </c>
      <c r="V207" s="31" t="s">
        <v>596</v>
      </c>
      <c r="W207" s="50">
        <v>45160</v>
      </c>
      <c r="X207" s="34">
        <v>280</v>
      </c>
      <c r="Y207" s="34">
        <v>2800</v>
      </c>
      <c r="Z207" s="34" t="s">
        <v>826</v>
      </c>
      <c r="AA207" s="34">
        <f t="shared" si="10"/>
        <v>0</v>
      </c>
      <c r="AB207" s="34">
        <f t="shared" si="11"/>
        <v>0</v>
      </c>
      <c r="AC207" s="25" t="s">
        <v>36</v>
      </c>
      <c r="AD207" s="25"/>
      <c r="AE207" s="25"/>
      <c r="AF207" s="25"/>
      <c r="AG207" s="25"/>
      <c r="AH207" s="35"/>
    </row>
    <row r="208" spans="1:34" ht="31.2">
      <c r="A208" s="23"/>
      <c r="B208" s="81"/>
      <c r="C208" s="25"/>
      <c r="D208" s="25"/>
      <c r="E208" s="25">
        <v>10</v>
      </c>
      <c r="F208" s="25">
        <v>1120</v>
      </c>
      <c r="G208" s="26">
        <f t="shared" si="9"/>
        <v>11200</v>
      </c>
      <c r="H208" s="27" t="s">
        <v>46</v>
      </c>
      <c r="I208" s="28" t="s">
        <v>380</v>
      </c>
      <c r="J208" s="29">
        <v>1120</v>
      </c>
      <c r="K208" s="29">
        <v>20</v>
      </c>
      <c r="L208" s="56" t="s">
        <v>321</v>
      </c>
      <c r="M208" s="31">
        <v>11200</v>
      </c>
      <c r="N208" s="31">
        <v>110</v>
      </c>
      <c r="O208" s="31" t="s">
        <v>750</v>
      </c>
      <c r="P208" s="32" t="s">
        <v>28</v>
      </c>
      <c r="Q208" s="33" t="s">
        <v>593</v>
      </c>
      <c r="R208" s="33" t="s">
        <v>597</v>
      </c>
      <c r="S208" s="29">
        <v>1120</v>
      </c>
      <c r="T208" s="31" t="s">
        <v>1558</v>
      </c>
      <c r="U208" s="31" t="s">
        <v>598</v>
      </c>
      <c r="V208" s="31" t="s">
        <v>599</v>
      </c>
      <c r="W208" s="50" t="s">
        <v>1355</v>
      </c>
      <c r="X208" s="34">
        <f>500+620</f>
        <v>1120</v>
      </c>
      <c r="Y208" s="34">
        <f>5000+6200</f>
        <v>11200</v>
      </c>
      <c r="Z208" s="34" t="s">
        <v>826</v>
      </c>
      <c r="AA208" s="34">
        <f t="shared" si="10"/>
        <v>0</v>
      </c>
      <c r="AB208" s="34">
        <f t="shared" si="11"/>
        <v>0</v>
      </c>
      <c r="AC208" s="25" t="s">
        <v>36</v>
      </c>
      <c r="AD208" s="25"/>
      <c r="AE208" s="25"/>
      <c r="AF208" s="25"/>
      <c r="AG208" s="25"/>
      <c r="AH208" s="35"/>
    </row>
    <row r="209" spans="1:34" ht="31.2">
      <c r="A209" s="23"/>
      <c r="B209" s="81"/>
      <c r="C209" s="25"/>
      <c r="D209" s="25"/>
      <c r="E209" s="25">
        <v>10</v>
      </c>
      <c r="F209" s="25">
        <v>2520</v>
      </c>
      <c r="G209" s="26">
        <f t="shared" si="9"/>
        <v>25200</v>
      </c>
      <c r="H209" s="27" t="s">
        <v>37</v>
      </c>
      <c r="I209" s="28" t="s">
        <v>380</v>
      </c>
      <c r="J209" s="29">
        <v>2520</v>
      </c>
      <c r="K209" s="29">
        <v>11</v>
      </c>
      <c r="L209" s="56" t="s">
        <v>69</v>
      </c>
      <c r="M209" s="31">
        <v>25200</v>
      </c>
      <c r="N209" s="31">
        <v>260</v>
      </c>
      <c r="O209" s="31" t="s">
        <v>743</v>
      </c>
      <c r="P209" s="32" t="s">
        <v>28</v>
      </c>
      <c r="Q209" s="33" t="s">
        <v>593</v>
      </c>
      <c r="R209" s="33" t="s">
        <v>594</v>
      </c>
      <c r="S209" s="29">
        <v>2520</v>
      </c>
      <c r="T209" s="31" t="s">
        <v>1558</v>
      </c>
      <c r="U209" s="31" t="s">
        <v>595</v>
      </c>
      <c r="V209" s="31" t="s">
        <v>596</v>
      </c>
      <c r="W209" s="50" t="s">
        <v>953</v>
      </c>
      <c r="X209" s="34">
        <v>2520</v>
      </c>
      <c r="Y209" s="34">
        <v>25200</v>
      </c>
      <c r="Z209" s="34" t="s">
        <v>988</v>
      </c>
      <c r="AA209" s="34">
        <f t="shared" si="10"/>
        <v>0</v>
      </c>
      <c r="AB209" s="34">
        <f t="shared" si="11"/>
        <v>0</v>
      </c>
      <c r="AC209" s="25" t="s">
        <v>36</v>
      </c>
      <c r="AD209" s="25"/>
      <c r="AE209" s="25"/>
      <c r="AF209" s="25"/>
      <c r="AG209" s="25"/>
      <c r="AH209" s="35"/>
    </row>
    <row r="210" spans="1:34" ht="31.2">
      <c r="A210" s="23"/>
      <c r="B210" s="81"/>
      <c r="C210" s="25"/>
      <c r="D210" s="25"/>
      <c r="E210" s="25">
        <v>10</v>
      </c>
      <c r="F210" s="25">
        <v>1680</v>
      </c>
      <c r="G210" s="26">
        <f t="shared" si="9"/>
        <v>16800</v>
      </c>
      <c r="H210" s="27" t="s">
        <v>146</v>
      </c>
      <c r="I210" s="28" t="s">
        <v>380</v>
      </c>
      <c r="J210" s="29">
        <v>1680</v>
      </c>
      <c r="K210" s="29">
        <v>23</v>
      </c>
      <c r="L210" s="56" t="s">
        <v>69</v>
      </c>
      <c r="M210" s="31">
        <v>16800</v>
      </c>
      <c r="N210" s="31">
        <v>176</v>
      </c>
      <c r="O210" s="31" t="s">
        <v>744</v>
      </c>
      <c r="P210" s="32" t="s">
        <v>28</v>
      </c>
      <c r="Q210" s="33" t="s">
        <v>593</v>
      </c>
      <c r="R210" s="33" t="s">
        <v>594</v>
      </c>
      <c r="S210" s="29">
        <v>1680</v>
      </c>
      <c r="T210" s="31" t="s">
        <v>1558</v>
      </c>
      <c r="U210" s="31" t="s">
        <v>595</v>
      </c>
      <c r="V210" s="31" t="s">
        <v>596</v>
      </c>
      <c r="W210" s="50" t="s">
        <v>1471</v>
      </c>
      <c r="X210" s="34">
        <v>1680</v>
      </c>
      <c r="Y210" s="34">
        <v>16800</v>
      </c>
      <c r="Z210" s="34" t="s">
        <v>989</v>
      </c>
      <c r="AA210" s="34">
        <f t="shared" si="10"/>
        <v>0</v>
      </c>
      <c r="AB210" s="34">
        <f t="shared" si="11"/>
        <v>0</v>
      </c>
      <c r="AC210" s="25" t="s">
        <v>36</v>
      </c>
      <c r="AD210" s="25"/>
      <c r="AE210" s="25"/>
      <c r="AF210" s="25"/>
      <c r="AG210" s="25"/>
      <c r="AH210" s="35"/>
    </row>
    <row r="211" spans="1:34" ht="31.2">
      <c r="A211" s="23" t="s">
        <v>591</v>
      </c>
      <c r="B211" s="81">
        <v>6000024077</v>
      </c>
      <c r="C211" s="25" t="s">
        <v>600</v>
      </c>
      <c r="D211" s="25">
        <v>6000024077</v>
      </c>
      <c r="E211" s="25">
        <v>10</v>
      </c>
      <c r="F211" s="25">
        <v>400</v>
      </c>
      <c r="G211" s="26">
        <f t="shared" si="9"/>
        <v>4000</v>
      </c>
      <c r="H211" s="27" t="s">
        <v>46</v>
      </c>
      <c r="I211" s="28" t="s">
        <v>380</v>
      </c>
      <c r="J211" s="29">
        <v>400</v>
      </c>
      <c r="K211" s="29">
        <v>27</v>
      </c>
      <c r="L211" s="56" t="s">
        <v>42</v>
      </c>
      <c r="M211" s="31">
        <v>4000</v>
      </c>
      <c r="N211" s="31">
        <v>48</v>
      </c>
      <c r="O211" s="31" t="s">
        <v>76</v>
      </c>
      <c r="P211" s="32" t="s">
        <v>28</v>
      </c>
      <c r="Q211" s="33" t="s">
        <v>601</v>
      </c>
      <c r="R211" s="33" t="s">
        <v>602</v>
      </c>
      <c r="S211" s="29">
        <v>400</v>
      </c>
      <c r="T211" s="31" t="s">
        <v>1558</v>
      </c>
      <c r="U211" s="31" t="s">
        <v>603</v>
      </c>
      <c r="V211" s="31" t="s">
        <v>604</v>
      </c>
      <c r="W211" s="50">
        <v>45168</v>
      </c>
      <c r="X211" s="34">
        <v>400</v>
      </c>
      <c r="Y211" s="34">
        <v>4000</v>
      </c>
      <c r="Z211" s="34" t="s">
        <v>800</v>
      </c>
      <c r="AA211" s="34">
        <f t="shared" si="10"/>
        <v>0</v>
      </c>
      <c r="AB211" s="34">
        <f t="shared" si="11"/>
        <v>0</v>
      </c>
      <c r="AC211" s="25" t="s">
        <v>36</v>
      </c>
      <c r="AD211" s="465" t="s">
        <v>1378</v>
      </c>
      <c r="AE211" s="27">
        <v>8500060820</v>
      </c>
      <c r="AF211" s="25"/>
      <c r="AG211" s="25"/>
      <c r="AH211" s="35"/>
    </row>
    <row r="212" spans="1:34" ht="46.8">
      <c r="A212" s="23"/>
      <c r="B212" s="81"/>
      <c r="C212" s="25"/>
      <c r="D212" s="25"/>
      <c r="E212" s="25">
        <v>10</v>
      </c>
      <c r="F212" s="25">
        <v>2200</v>
      </c>
      <c r="G212" s="26">
        <f t="shared" si="9"/>
        <v>22000</v>
      </c>
      <c r="H212" s="27" t="s">
        <v>37</v>
      </c>
      <c r="I212" s="28" t="s">
        <v>380</v>
      </c>
      <c r="J212" s="29">
        <v>2200</v>
      </c>
      <c r="K212" s="29">
        <v>35</v>
      </c>
      <c r="L212" s="56" t="s">
        <v>605</v>
      </c>
      <c r="M212" s="31">
        <v>22000</v>
      </c>
      <c r="N212" s="31">
        <v>228</v>
      </c>
      <c r="O212" s="31" t="s">
        <v>745</v>
      </c>
      <c r="P212" s="32" t="s">
        <v>28</v>
      </c>
      <c r="Q212" s="33" t="s">
        <v>601</v>
      </c>
      <c r="R212" s="33" t="s">
        <v>602</v>
      </c>
      <c r="S212" s="29">
        <v>2200</v>
      </c>
      <c r="T212" s="31" t="s">
        <v>1558</v>
      </c>
      <c r="U212" s="31" t="s">
        <v>606</v>
      </c>
      <c r="V212" s="31" t="s">
        <v>607</v>
      </c>
      <c r="W212" s="50" t="s">
        <v>1430</v>
      </c>
      <c r="X212" s="34">
        <f>500+800+900</f>
        <v>2200</v>
      </c>
      <c r="Y212" s="34">
        <f>5000+8000+9000</f>
        <v>22000</v>
      </c>
      <c r="Z212" s="34" t="s">
        <v>1431</v>
      </c>
      <c r="AA212" s="34">
        <f t="shared" si="10"/>
        <v>0</v>
      </c>
      <c r="AB212" s="34">
        <f t="shared" si="11"/>
        <v>0</v>
      </c>
      <c r="AC212" s="25" t="s">
        <v>36</v>
      </c>
      <c r="AD212" s="466"/>
      <c r="AE212" s="27">
        <v>5000896441</v>
      </c>
      <c r="AF212" s="25"/>
      <c r="AG212" s="25"/>
      <c r="AH212" s="35"/>
    </row>
    <row r="213" spans="1:34" ht="24.75" customHeight="1">
      <c r="A213" s="23"/>
      <c r="B213" s="81"/>
      <c r="C213" s="25"/>
      <c r="D213" s="25"/>
      <c r="E213" s="25">
        <v>10</v>
      </c>
      <c r="F213" s="25">
        <v>1400</v>
      </c>
      <c r="G213" s="26">
        <f t="shared" si="9"/>
        <v>14000</v>
      </c>
      <c r="H213" s="27" t="s">
        <v>146</v>
      </c>
      <c r="I213" s="28" t="s">
        <v>380</v>
      </c>
      <c r="J213" s="29">
        <v>1400</v>
      </c>
      <c r="K213" s="29">
        <v>23</v>
      </c>
      <c r="L213" s="56" t="s">
        <v>69</v>
      </c>
      <c r="M213" s="31">
        <v>14000</v>
      </c>
      <c r="N213" s="31">
        <v>148</v>
      </c>
      <c r="O213" s="31" t="s">
        <v>746</v>
      </c>
      <c r="P213" s="32" t="s">
        <v>28</v>
      </c>
      <c r="Q213" s="33" t="s">
        <v>608</v>
      </c>
      <c r="R213" s="33" t="s">
        <v>609</v>
      </c>
      <c r="S213" s="29">
        <v>1400</v>
      </c>
      <c r="T213" s="31" t="s">
        <v>1558</v>
      </c>
      <c r="U213" s="31" t="s">
        <v>610</v>
      </c>
      <c r="V213" s="31" t="s">
        <v>611</v>
      </c>
      <c r="W213" s="50" t="s">
        <v>1432</v>
      </c>
      <c r="X213" s="34">
        <f>1130+270</f>
        <v>1400</v>
      </c>
      <c r="Y213" s="34">
        <f>11300+2700</f>
        <v>14000</v>
      </c>
      <c r="Z213" s="34" t="s">
        <v>1433</v>
      </c>
      <c r="AA213" s="34">
        <f t="shared" si="10"/>
        <v>0</v>
      </c>
      <c r="AB213" s="34">
        <f t="shared" si="11"/>
        <v>0</v>
      </c>
      <c r="AC213" s="25" t="s">
        <v>36</v>
      </c>
      <c r="AD213" s="464"/>
      <c r="AE213" s="27" t="s">
        <v>1379</v>
      </c>
      <c r="AF213" s="25" t="s">
        <v>1505</v>
      </c>
      <c r="AG213" s="25"/>
      <c r="AH213" s="35"/>
    </row>
    <row r="214" spans="1:34" ht="31.2">
      <c r="A214" s="23" t="s">
        <v>591</v>
      </c>
      <c r="B214" s="81">
        <v>6000024077</v>
      </c>
      <c r="C214" s="25" t="s">
        <v>612</v>
      </c>
      <c r="D214" s="25">
        <v>6000024077</v>
      </c>
      <c r="E214" s="25">
        <v>10</v>
      </c>
      <c r="F214" s="25">
        <v>1350</v>
      </c>
      <c r="G214" s="26">
        <f t="shared" si="9"/>
        <v>13500</v>
      </c>
      <c r="H214" s="27" t="s">
        <v>27</v>
      </c>
      <c r="I214" s="28" t="s">
        <v>380</v>
      </c>
      <c r="J214" s="29">
        <v>1350</v>
      </c>
      <c r="K214" s="29">
        <v>43</v>
      </c>
      <c r="L214" s="56" t="s">
        <v>183</v>
      </c>
      <c r="M214" s="31">
        <v>13500</v>
      </c>
      <c r="N214" s="31">
        <v>143</v>
      </c>
      <c r="O214" s="31" t="s">
        <v>738</v>
      </c>
      <c r="P214" s="32" t="s">
        <v>28</v>
      </c>
      <c r="Q214" s="33" t="s">
        <v>613</v>
      </c>
      <c r="R214" s="33" t="s">
        <v>614</v>
      </c>
      <c r="S214" s="29">
        <v>1350</v>
      </c>
      <c r="T214" s="31" t="s">
        <v>1558</v>
      </c>
      <c r="U214" s="31" t="s">
        <v>615</v>
      </c>
      <c r="V214" s="31" t="s">
        <v>616</v>
      </c>
      <c r="W214" s="50">
        <v>45164</v>
      </c>
      <c r="X214" s="34">
        <v>1350</v>
      </c>
      <c r="Y214" s="34">
        <v>13500</v>
      </c>
      <c r="Z214" s="34" t="s">
        <v>800</v>
      </c>
      <c r="AA214" s="34">
        <f t="shared" si="10"/>
        <v>0</v>
      </c>
      <c r="AB214" s="34">
        <f t="shared" si="11"/>
        <v>0</v>
      </c>
      <c r="AC214" s="25" t="s">
        <v>36</v>
      </c>
      <c r="AD214" s="25"/>
      <c r="AE214" s="25"/>
      <c r="AF214" s="25"/>
      <c r="AG214" s="25"/>
      <c r="AH214" s="35"/>
    </row>
    <row r="215" spans="1:34" ht="46.8">
      <c r="A215" s="23"/>
      <c r="B215" s="81"/>
      <c r="C215" s="25"/>
      <c r="D215" s="25"/>
      <c r="E215" s="25">
        <v>10</v>
      </c>
      <c r="F215" s="25">
        <v>4050</v>
      </c>
      <c r="G215" s="26">
        <f t="shared" si="9"/>
        <v>40500</v>
      </c>
      <c r="H215" s="27" t="s">
        <v>46</v>
      </c>
      <c r="I215" s="28" t="s">
        <v>380</v>
      </c>
      <c r="J215" s="29">
        <v>4050</v>
      </c>
      <c r="K215" s="29">
        <v>58</v>
      </c>
      <c r="L215" s="56" t="s">
        <v>605</v>
      </c>
      <c r="M215" s="31">
        <v>40500</v>
      </c>
      <c r="N215" s="31">
        <v>413</v>
      </c>
      <c r="O215" s="31" t="s">
        <v>747</v>
      </c>
      <c r="P215" s="32" t="s">
        <v>28</v>
      </c>
      <c r="Q215" s="33" t="s">
        <v>613</v>
      </c>
      <c r="R215" s="33" t="s">
        <v>614</v>
      </c>
      <c r="S215" s="29">
        <v>4050</v>
      </c>
      <c r="T215" s="31" t="s">
        <v>1558</v>
      </c>
      <c r="U215" s="31" t="s">
        <v>617</v>
      </c>
      <c r="V215" s="31" t="s">
        <v>618</v>
      </c>
      <c r="W215" s="50" t="s">
        <v>1346</v>
      </c>
      <c r="X215" s="34">
        <f>3000+1050</f>
        <v>4050</v>
      </c>
      <c r="Y215" s="34">
        <f>30000+10500</f>
        <v>40500</v>
      </c>
      <c r="Z215" s="34" t="s">
        <v>990</v>
      </c>
      <c r="AA215" s="34">
        <f t="shared" si="10"/>
        <v>0</v>
      </c>
      <c r="AB215" s="34">
        <f t="shared" si="11"/>
        <v>0</v>
      </c>
      <c r="AC215" s="25" t="s">
        <v>36</v>
      </c>
      <c r="AD215" s="25"/>
      <c r="AE215" s="25"/>
      <c r="AF215" s="25"/>
      <c r="AG215" s="25"/>
      <c r="AH215" s="35"/>
    </row>
    <row r="216" spans="1:34" ht="48.75" customHeight="1">
      <c r="A216" s="23"/>
      <c r="B216" s="81"/>
      <c r="C216" s="25"/>
      <c r="D216" s="25"/>
      <c r="E216" s="25">
        <v>10</v>
      </c>
      <c r="F216" s="25">
        <v>5400</v>
      </c>
      <c r="G216" s="26">
        <f t="shared" si="9"/>
        <v>54000</v>
      </c>
      <c r="H216" s="27" t="s">
        <v>37</v>
      </c>
      <c r="I216" s="28" t="s">
        <v>619</v>
      </c>
      <c r="J216" s="29">
        <v>5400</v>
      </c>
      <c r="K216" s="29">
        <v>85</v>
      </c>
      <c r="L216" s="56" t="s">
        <v>321</v>
      </c>
      <c r="M216" s="31">
        <v>54000</v>
      </c>
      <c r="N216" s="31">
        <v>548</v>
      </c>
      <c r="O216" s="31" t="s">
        <v>748</v>
      </c>
      <c r="P216" s="32" t="s">
        <v>28</v>
      </c>
      <c r="Q216" s="33" t="s">
        <v>613</v>
      </c>
      <c r="R216" s="33" t="s">
        <v>620</v>
      </c>
      <c r="S216" s="29">
        <v>5400</v>
      </c>
      <c r="T216" s="31" t="s">
        <v>1558</v>
      </c>
      <c r="U216" s="31" t="s">
        <v>617</v>
      </c>
      <c r="V216" s="31" t="s">
        <v>621</v>
      </c>
      <c r="W216" s="50" t="s">
        <v>1347</v>
      </c>
      <c r="X216" s="34">
        <f>3000+2400</f>
        <v>5400</v>
      </c>
      <c r="Y216" s="34">
        <f>30000+24000</f>
        <v>54000</v>
      </c>
      <c r="Z216" s="34" t="s">
        <v>1456</v>
      </c>
      <c r="AA216" s="34">
        <f t="shared" si="10"/>
        <v>0</v>
      </c>
      <c r="AB216" s="34">
        <f t="shared" si="11"/>
        <v>0</v>
      </c>
      <c r="AC216" s="25" t="s">
        <v>36</v>
      </c>
      <c r="AD216" s="25"/>
      <c r="AE216" s="25"/>
      <c r="AF216" s="25"/>
      <c r="AG216" s="25"/>
      <c r="AH216" s="35"/>
    </row>
    <row r="217" spans="1:34" ht="46.8">
      <c r="A217" s="23"/>
      <c r="B217" s="81"/>
      <c r="C217" s="25"/>
      <c r="D217" s="25"/>
      <c r="E217" s="25">
        <v>10</v>
      </c>
      <c r="F217" s="25">
        <v>2700</v>
      </c>
      <c r="G217" s="26">
        <f t="shared" si="9"/>
        <v>27000</v>
      </c>
      <c r="H217" s="27" t="s">
        <v>146</v>
      </c>
      <c r="I217" s="28" t="s">
        <v>380</v>
      </c>
      <c r="J217" s="29">
        <v>2700</v>
      </c>
      <c r="K217" s="29">
        <v>33</v>
      </c>
      <c r="L217" s="56" t="s">
        <v>321</v>
      </c>
      <c r="M217" s="31">
        <v>27000</v>
      </c>
      <c r="N217" s="31">
        <v>248</v>
      </c>
      <c r="O217" s="31" t="s">
        <v>749</v>
      </c>
      <c r="P217" s="32" t="s">
        <v>28</v>
      </c>
      <c r="Q217" s="33" t="s">
        <v>613</v>
      </c>
      <c r="R217" s="33" t="s">
        <v>622</v>
      </c>
      <c r="S217" s="29">
        <v>2700</v>
      </c>
      <c r="T217" s="31" t="s">
        <v>1558</v>
      </c>
      <c r="U217" s="31" t="s">
        <v>617</v>
      </c>
      <c r="V217" s="31" t="s">
        <v>621</v>
      </c>
      <c r="W217" s="50" t="s">
        <v>1453</v>
      </c>
      <c r="X217" s="34">
        <f>1000+500+1200</f>
        <v>2700</v>
      </c>
      <c r="Y217" s="34">
        <f>10000+5000+12000</f>
        <v>27000</v>
      </c>
      <c r="Z217" s="34" t="s">
        <v>1454</v>
      </c>
      <c r="AA217" s="34">
        <f t="shared" si="10"/>
        <v>0</v>
      </c>
      <c r="AB217" s="34">
        <f t="shared" si="11"/>
        <v>0</v>
      </c>
      <c r="AC217" s="25" t="s">
        <v>36</v>
      </c>
      <c r="AD217" s="25"/>
      <c r="AE217" s="25"/>
      <c r="AF217" s="25"/>
      <c r="AG217" s="25"/>
      <c r="AH217" s="35"/>
    </row>
    <row r="218" spans="1:34" ht="31.2">
      <c r="A218" s="23" t="s">
        <v>525</v>
      </c>
      <c r="B218" s="81">
        <v>6000024128</v>
      </c>
      <c r="C218" s="25" t="s">
        <v>548</v>
      </c>
      <c r="D218" s="25">
        <v>0</v>
      </c>
      <c r="E218" s="25">
        <v>8</v>
      </c>
      <c r="F218" s="25">
        <v>300</v>
      </c>
      <c r="G218" s="26">
        <f t="shared" si="9"/>
        <v>2400</v>
      </c>
      <c r="H218" s="27" t="s">
        <v>27</v>
      </c>
      <c r="I218" s="37">
        <v>45142</v>
      </c>
      <c r="J218" s="29">
        <v>300</v>
      </c>
      <c r="K218" s="29">
        <v>13</v>
      </c>
      <c r="L218" s="56" t="s">
        <v>993</v>
      </c>
      <c r="M218" s="31">
        <v>2400</v>
      </c>
      <c r="N218" s="31">
        <v>32</v>
      </c>
      <c r="O218" s="31" t="s">
        <v>996</v>
      </c>
      <c r="P218" s="32" t="s">
        <v>139</v>
      </c>
      <c r="Q218" s="33" t="s">
        <v>991</v>
      </c>
      <c r="R218" s="33" t="s">
        <v>992</v>
      </c>
      <c r="S218" s="29">
        <v>300</v>
      </c>
      <c r="T218" s="31" t="s">
        <v>1558</v>
      </c>
      <c r="U218" s="31" t="s">
        <v>994</v>
      </c>
      <c r="V218" s="31" t="s">
        <v>995</v>
      </c>
      <c r="W218" s="50">
        <v>45225</v>
      </c>
      <c r="X218" s="34">
        <v>300</v>
      </c>
      <c r="Y218" s="34">
        <v>2400</v>
      </c>
      <c r="Z218" s="34" t="s">
        <v>800</v>
      </c>
      <c r="AA218" s="34">
        <f t="shared" si="10"/>
        <v>0</v>
      </c>
      <c r="AB218" s="34">
        <f t="shared" si="11"/>
        <v>0</v>
      </c>
      <c r="AC218" s="25" t="s">
        <v>36</v>
      </c>
      <c r="AD218" s="25"/>
      <c r="AE218" s="25"/>
      <c r="AF218" s="25"/>
      <c r="AG218" s="25"/>
      <c r="AH218" s="35"/>
    </row>
    <row r="219" spans="1:34" ht="31.2">
      <c r="A219" s="23" t="s">
        <v>525</v>
      </c>
      <c r="B219" s="81">
        <v>6000024128</v>
      </c>
      <c r="C219" s="25" t="s">
        <v>548</v>
      </c>
      <c r="D219" s="25">
        <v>0</v>
      </c>
      <c r="E219" s="25">
        <v>8</v>
      </c>
      <c r="F219" s="25">
        <v>650</v>
      </c>
      <c r="G219" s="26">
        <f t="shared" si="9"/>
        <v>5200</v>
      </c>
      <c r="H219" s="27" t="s">
        <v>46</v>
      </c>
      <c r="I219" s="37">
        <v>45142</v>
      </c>
      <c r="J219" s="29">
        <v>650</v>
      </c>
      <c r="K219" s="29">
        <v>15</v>
      </c>
      <c r="L219" s="56" t="s">
        <v>993</v>
      </c>
      <c r="M219" s="31">
        <v>5200</v>
      </c>
      <c r="N219" s="31">
        <v>60</v>
      </c>
      <c r="O219" s="31" t="s">
        <v>997</v>
      </c>
      <c r="P219" s="32" t="s">
        <v>139</v>
      </c>
      <c r="Q219" s="33" t="s">
        <v>991</v>
      </c>
      <c r="R219" s="33" t="s">
        <v>992</v>
      </c>
      <c r="S219" s="29">
        <v>650</v>
      </c>
      <c r="T219" s="31" t="s">
        <v>1558</v>
      </c>
      <c r="U219" s="31" t="s">
        <v>994</v>
      </c>
      <c r="V219" s="31" t="s">
        <v>995</v>
      </c>
      <c r="W219" s="50">
        <v>45226</v>
      </c>
      <c r="X219" s="34">
        <v>650</v>
      </c>
      <c r="Y219" s="34">
        <v>5200</v>
      </c>
      <c r="Z219" s="34" t="s">
        <v>800</v>
      </c>
      <c r="AA219" s="34">
        <f t="shared" si="10"/>
        <v>0</v>
      </c>
      <c r="AB219" s="34">
        <f t="shared" si="11"/>
        <v>0</v>
      </c>
      <c r="AC219" s="25" t="s">
        <v>36</v>
      </c>
      <c r="AD219" s="25"/>
      <c r="AE219" s="25"/>
      <c r="AF219" s="25"/>
      <c r="AG219" s="25"/>
      <c r="AH219" s="35"/>
    </row>
    <row r="220" spans="1:34" ht="31.2">
      <c r="A220" s="23" t="s">
        <v>525</v>
      </c>
      <c r="B220" s="81">
        <v>6000024128</v>
      </c>
      <c r="C220" s="25" t="s">
        <v>548</v>
      </c>
      <c r="D220" s="25">
        <v>0</v>
      </c>
      <c r="E220" s="25">
        <v>8</v>
      </c>
      <c r="F220" s="25">
        <v>350</v>
      </c>
      <c r="G220" s="26">
        <f t="shared" si="9"/>
        <v>2800</v>
      </c>
      <c r="H220" s="27" t="s">
        <v>37</v>
      </c>
      <c r="I220" s="37">
        <v>45142</v>
      </c>
      <c r="J220" s="29">
        <v>350</v>
      </c>
      <c r="K220" s="29">
        <v>10</v>
      </c>
      <c r="L220" s="56" t="s">
        <v>875</v>
      </c>
      <c r="M220" s="31">
        <v>2800</v>
      </c>
      <c r="N220" s="31">
        <v>36</v>
      </c>
      <c r="O220" s="31" t="s">
        <v>877</v>
      </c>
      <c r="P220" s="32" t="s">
        <v>139</v>
      </c>
      <c r="Q220" s="33" t="s">
        <v>991</v>
      </c>
      <c r="R220" s="33" t="s">
        <v>992</v>
      </c>
      <c r="S220" s="29">
        <v>350</v>
      </c>
      <c r="T220" s="31" t="s">
        <v>1558</v>
      </c>
      <c r="U220" s="31" t="s">
        <v>994</v>
      </c>
      <c r="V220" s="31" t="s">
        <v>998</v>
      </c>
      <c r="W220" s="50" t="s">
        <v>1887</v>
      </c>
      <c r="X220" s="34">
        <f>100+250</f>
        <v>350</v>
      </c>
      <c r="Y220" s="34">
        <f>800+2000</f>
        <v>2800</v>
      </c>
      <c r="Z220" s="34" t="s">
        <v>800</v>
      </c>
      <c r="AA220" s="34">
        <f t="shared" si="10"/>
        <v>0</v>
      </c>
      <c r="AB220" s="34">
        <f t="shared" si="11"/>
        <v>0</v>
      </c>
      <c r="AC220" s="25" t="s">
        <v>36</v>
      </c>
      <c r="AD220" s="25"/>
      <c r="AE220" s="25"/>
      <c r="AF220" s="25"/>
      <c r="AG220" s="25"/>
      <c r="AH220" s="35"/>
    </row>
    <row r="221" spans="1:34" ht="15.6">
      <c r="A221" s="23" t="s">
        <v>525</v>
      </c>
      <c r="B221" s="81">
        <v>6000024128</v>
      </c>
      <c r="C221" s="25" t="s">
        <v>548</v>
      </c>
      <c r="D221" s="25">
        <v>0</v>
      </c>
      <c r="E221" s="25">
        <v>8</v>
      </c>
      <c r="F221" s="25">
        <v>100</v>
      </c>
      <c r="G221" s="26">
        <f t="shared" si="9"/>
        <v>800</v>
      </c>
      <c r="H221" s="27" t="s">
        <v>146</v>
      </c>
      <c r="I221" s="37">
        <v>45142</v>
      </c>
      <c r="J221" s="29">
        <v>100</v>
      </c>
      <c r="K221" s="29">
        <v>4</v>
      </c>
      <c r="L221" s="56" t="s">
        <v>875</v>
      </c>
      <c r="M221" s="31">
        <v>800</v>
      </c>
      <c r="N221" s="31">
        <v>16</v>
      </c>
      <c r="O221" s="31" t="s">
        <v>878</v>
      </c>
      <c r="P221" s="32" t="s">
        <v>139</v>
      </c>
      <c r="Q221" s="33" t="s">
        <v>999</v>
      </c>
      <c r="R221" s="33" t="s">
        <v>1000</v>
      </c>
      <c r="S221" s="29">
        <v>100</v>
      </c>
      <c r="T221" s="31" t="s">
        <v>1558</v>
      </c>
      <c r="U221" s="31" t="s">
        <v>1001</v>
      </c>
      <c r="V221" s="31" t="s">
        <v>1002</v>
      </c>
      <c r="W221" s="50">
        <v>45229</v>
      </c>
      <c r="X221" s="34">
        <v>100</v>
      </c>
      <c r="Y221" s="34">
        <v>800</v>
      </c>
      <c r="Z221" s="34" t="s">
        <v>800</v>
      </c>
      <c r="AA221" s="34">
        <f t="shared" si="10"/>
        <v>0</v>
      </c>
      <c r="AB221" s="34">
        <f t="shared" si="11"/>
        <v>0</v>
      </c>
      <c r="AC221" s="25" t="s">
        <v>36</v>
      </c>
      <c r="AD221" s="25"/>
      <c r="AE221" s="25"/>
      <c r="AF221" s="25"/>
      <c r="AG221" s="25"/>
      <c r="AH221" s="35"/>
    </row>
    <row r="222" spans="1:34" ht="62.4">
      <c r="A222" s="23" t="s">
        <v>623</v>
      </c>
      <c r="B222" s="81">
        <v>6000024132</v>
      </c>
      <c r="C222" s="25" t="s">
        <v>624</v>
      </c>
      <c r="D222" s="25" t="s">
        <v>625</v>
      </c>
      <c r="E222" s="25">
        <v>10</v>
      </c>
      <c r="F222" s="25">
        <v>300</v>
      </c>
      <c r="G222" s="26">
        <f t="shared" si="9"/>
        <v>3000</v>
      </c>
      <c r="H222" s="27" t="s">
        <v>46</v>
      </c>
      <c r="I222" s="28" t="s">
        <v>1497</v>
      </c>
      <c r="J222" s="29">
        <v>300</v>
      </c>
      <c r="K222" s="29">
        <v>15</v>
      </c>
      <c r="L222" s="56" t="s">
        <v>69</v>
      </c>
      <c r="M222" s="31">
        <v>3000</v>
      </c>
      <c r="N222" s="31">
        <v>30</v>
      </c>
      <c r="O222" s="31" t="s">
        <v>742</v>
      </c>
      <c r="P222" s="32" t="s">
        <v>1004</v>
      </c>
      <c r="Q222" s="33">
        <v>8.5000599548500001E+19</v>
      </c>
      <c r="R222" s="33" t="s">
        <v>1005</v>
      </c>
      <c r="S222" s="29">
        <v>300</v>
      </c>
      <c r="T222" s="31" t="s">
        <v>87</v>
      </c>
      <c r="U222" s="31" t="s">
        <v>1006</v>
      </c>
      <c r="V222" s="31" t="s">
        <v>1007</v>
      </c>
      <c r="W222" s="50">
        <v>45170</v>
      </c>
      <c r="X222" s="34">
        <v>300</v>
      </c>
      <c r="Y222" s="34">
        <v>3000</v>
      </c>
      <c r="Z222" s="34" t="s">
        <v>758</v>
      </c>
      <c r="AA222" s="34">
        <f t="shared" si="10"/>
        <v>0</v>
      </c>
      <c r="AB222" s="34">
        <f t="shared" si="11"/>
        <v>0</v>
      </c>
      <c r="AC222" s="25" t="s">
        <v>36</v>
      </c>
      <c r="AD222" s="25" t="s">
        <v>1504</v>
      </c>
      <c r="AE222" s="25"/>
      <c r="AF222" s="25"/>
      <c r="AG222" s="25"/>
      <c r="AH222" s="35"/>
    </row>
    <row r="223" spans="1:34" ht="31.2">
      <c r="A223" s="23" t="s">
        <v>623</v>
      </c>
      <c r="B223" s="81">
        <v>6000024132</v>
      </c>
      <c r="C223" s="25" t="s">
        <v>626</v>
      </c>
      <c r="D223" s="25" t="s">
        <v>625</v>
      </c>
      <c r="E223" s="25">
        <v>10</v>
      </c>
      <c r="F223" s="25">
        <v>420</v>
      </c>
      <c r="G223" s="26">
        <f t="shared" si="9"/>
        <v>4200</v>
      </c>
      <c r="H223" s="27" t="s">
        <v>27</v>
      </c>
      <c r="I223" s="28" t="s">
        <v>69</v>
      </c>
      <c r="J223" s="29">
        <v>420</v>
      </c>
      <c r="K223" s="29">
        <v>13</v>
      </c>
      <c r="L223" s="56" t="s">
        <v>732</v>
      </c>
      <c r="M223" s="31">
        <v>4200</v>
      </c>
      <c r="N223" s="31">
        <v>42</v>
      </c>
      <c r="O223" s="31" t="s">
        <v>76</v>
      </c>
      <c r="P223" s="32" t="s">
        <v>160</v>
      </c>
      <c r="Q223" s="33">
        <v>8500059956</v>
      </c>
      <c r="R223" s="33" t="s">
        <v>628</v>
      </c>
      <c r="S223" s="29">
        <v>420</v>
      </c>
      <c r="T223" s="31" t="s">
        <v>87</v>
      </c>
      <c r="U223" s="31" t="s">
        <v>1008</v>
      </c>
      <c r="V223" s="31" t="s">
        <v>1009</v>
      </c>
      <c r="W223" s="50">
        <v>45169</v>
      </c>
      <c r="X223" s="34">
        <v>420</v>
      </c>
      <c r="Y223" s="34">
        <v>4200</v>
      </c>
      <c r="Z223" s="34" t="s">
        <v>1445</v>
      </c>
      <c r="AA223" s="34">
        <f t="shared" si="10"/>
        <v>0</v>
      </c>
      <c r="AB223" s="34">
        <f t="shared" si="11"/>
        <v>0</v>
      </c>
      <c r="AC223" s="25" t="s">
        <v>36</v>
      </c>
      <c r="AD223" s="25"/>
      <c r="AE223" s="25"/>
      <c r="AF223" s="25"/>
      <c r="AG223" s="25"/>
      <c r="AH223" s="35"/>
    </row>
    <row r="224" spans="1:34" ht="31.2">
      <c r="A224" s="23" t="s">
        <v>623</v>
      </c>
      <c r="B224" s="81"/>
      <c r="C224" s="25"/>
      <c r="D224" s="25"/>
      <c r="E224" s="25">
        <v>10</v>
      </c>
      <c r="F224" s="25">
        <v>380</v>
      </c>
      <c r="G224" s="26">
        <f t="shared" si="9"/>
        <v>3800</v>
      </c>
      <c r="H224" s="27" t="s">
        <v>46</v>
      </c>
      <c r="I224" s="28" t="s">
        <v>69</v>
      </c>
      <c r="J224" s="29">
        <v>380</v>
      </c>
      <c r="K224" s="29">
        <v>15</v>
      </c>
      <c r="L224" s="56" t="s">
        <v>732</v>
      </c>
      <c r="M224" s="31">
        <v>3800</v>
      </c>
      <c r="N224" s="31">
        <v>38</v>
      </c>
      <c r="O224" s="31" t="s">
        <v>76</v>
      </c>
      <c r="P224" s="32" t="s">
        <v>160</v>
      </c>
      <c r="Q224" s="33" t="s">
        <v>627</v>
      </c>
      <c r="R224" s="33" t="s">
        <v>628</v>
      </c>
      <c r="S224" s="29">
        <v>380</v>
      </c>
      <c r="T224" s="31" t="s">
        <v>87</v>
      </c>
      <c r="U224" s="31" t="s">
        <v>1008</v>
      </c>
      <c r="V224" s="31" t="s">
        <v>1009</v>
      </c>
      <c r="W224" s="50">
        <v>45170</v>
      </c>
      <c r="X224" s="34">
        <v>380</v>
      </c>
      <c r="Y224" s="34">
        <v>3800</v>
      </c>
      <c r="Z224" s="34" t="s">
        <v>758</v>
      </c>
      <c r="AA224" s="34">
        <f t="shared" si="10"/>
        <v>0</v>
      </c>
      <c r="AB224" s="34">
        <f t="shared" si="11"/>
        <v>0</v>
      </c>
      <c r="AC224" s="25" t="s">
        <v>36</v>
      </c>
      <c r="AD224" s="25"/>
      <c r="AE224" s="25"/>
      <c r="AF224" s="25"/>
      <c r="AG224" s="25"/>
      <c r="AH224" s="35"/>
    </row>
    <row r="225" spans="1:34" ht="31.2">
      <c r="A225" s="23" t="s">
        <v>623</v>
      </c>
      <c r="B225" s="81"/>
      <c r="C225" s="25"/>
      <c r="D225" s="25"/>
      <c r="E225" s="25">
        <v>10</v>
      </c>
      <c r="F225" s="25">
        <v>504</v>
      </c>
      <c r="G225" s="26">
        <f t="shared" si="9"/>
        <v>5040</v>
      </c>
      <c r="H225" s="27" t="s">
        <v>37</v>
      </c>
      <c r="I225" s="28" t="s">
        <v>69</v>
      </c>
      <c r="J225" s="29">
        <v>504</v>
      </c>
      <c r="K225" s="29">
        <v>7</v>
      </c>
      <c r="L225" s="56" t="s">
        <v>732</v>
      </c>
      <c r="M225" s="31">
        <v>5040</v>
      </c>
      <c r="N225" s="31">
        <v>50</v>
      </c>
      <c r="O225" s="31" t="s">
        <v>76</v>
      </c>
      <c r="P225" s="32" t="s">
        <v>160</v>
      </c>
      <c r="Q225" s="33" t="s">
        <v>627</v>
      </c>
      <c r="R225" s="33" t="s">
        <v>628</v>
      </c>
      <c r="S225" s="29">
        <v>504</v>
      </c>
      <c r="T225" s="31" t="s">
        <v>87</v>
      </c>
      <c r="U225" s="31" t="s">
        <v>1008</v>
      </c>
      <c r="V225" s="31" t="s">
        <v>1009</v>
      </c>
      <c r="W225" s="50">
        <v>45170</v>
      </c>
      <c r="X225" s="34">
        <v>504</v>
      </c>
      <c r="Y225" s="34">
        <v>5040</v>
      </c>
      <c r="Z225" s="34" t="s">
        <v>871</v>
      </c>
      <c r="AA225" s="34">
        <f t="shared" si="10"/>
        <v>0</v>
      </c>
      <c r="AB225" s="34">
        <f t="shared" si="11"/>
        <v>0</v>
      </c>
      <c r="AC225" s="25" t="s">
        <v>36</v>
      </c>
      <c r="AD225" s="25"/>
      <c r="AE225" s="25"/>
      <c r="AF225" s="25"/>
      <c r="AG225" s="25"/>
      <c r="AH225" s="35"/>
    </row>
    <row r="226" spans="1:34" ht="31.2">
      <c r="A226" s="23" t="s">
        <v>623</v>
      </c>
      <c r="B226" s="81"/>
      <c r="C226" s="25"/>
      <c r="D226" s="25"/>
      <c r="E226" s="25">
        <v>10</v>
      </c>
      <c r="F226" s="25">
        <v>100</v>
      </c>
      <c r="G226" s="26">
        <f t="shared" si="9"/>
        <v>1000</v>
      </c>
      <c r="H226" s="27" t="s">
        <v>146</v>
      </c>
      <c r="I226" s="28" t="s">
        <v>69</v>
      </c>
      <c r="J226" s="29">
        <v>100</v>
      </c>
      <c r="K226" s="29">
        <v>2</v>
      </c>
      <c r="L226" s="56" t="s">
        <v>732</v>
      </c>
      <c r="M226" s="31">
        <v>1000</v>
      </c>
      <c r="N226" s="31">
        <v>10</v>
      </c>
      <c r="O226" s="31" t="s">
        <v>736</v>
      </c>
      <c r="P226" s="32" t="s">
        <v>160</v>
      </c>
      <c r="Q226" s="33" t="s">
        <v>627</v>
      </c>
      <c r="R226" s="33" t="s">
        <v>628</v>
      </c>
      <c r="S226" s="29">
        <v>100</v>
      </c>
      <c r="T226" s="31" t="s">
        <v>87</v>
      </c>
      <c r="U226" s="31" t="s">
        <v>1008</v>
      </c>
      <c r="V226" s="31" t="s">
        <v>1009</v>
      </c>
      <c r="W226" s="50">
        <v>45176</v>
      </c>
      <c r="X226" s="34">
        <v>100</v>
      </c>
      <c r="Y226" s="34">
        <v>1000</v>
      </c>
      <c r="Z226" s="34" t="s">
        <v>729</v>
      </c>
      <c r="AA226" s="34">
        <f t="shared" si="10"/>
        <v>0</v>
      </c>
      <c r="AB226" s="34">
        <f t="shared" si="11"/>
        <v>0</v>
      </c>
      <c r="AC226" s="25" t="s">
        <v>36</v>
      </c>
      <c r="AD226" s="25"/>
      <c r="AE226" s="25"/>
      <c r="AF226" s="25"/>
      <c r="AG226" s="25"/>
      <c r="AH226" s="35"/>
    </row>
    <row r="227" spans="1:34" ht="31.2">
      <c r="A227" s="23" t="s">
        <v>623</v>
      </c>
      <c r="B227" s="81">
        <v>6000024132</v>
      </c>
      <c r="C227" s="25" t="s">
        <v>629</v>
      </c>
      <c r="D227" s="25" t="s">
        <v>625</v>
      </c>
      <c r="E227" s="25">
        <v>10</v>
      </c>
      <c r="F227" s="25">
        <v>75</v>
      </c>
      <c r="G227" s="26">
        <f t="shared" si="9"/>
        <v>750</v>
      </c>
      <c r="H227" s="27" t="s">
        <v>243</v>
      </c>
      <c r="I227" s="28" t="s">
        <v>69</v>
      </c>
      <c r="J227" s="29">
        <v>75</v>
      </c>
      <c r="K227" s="52">
        <v>5</v>
      </c>
      <c r="L227" s="56" t="s">
        <v>76</v>
      </c>
      <c r="M227" s="31">
        <v>750</v>
      </c>
      <c r="N227" s="31" t="s">
        <v>1693</v>
      </c>
      <c r="O227" s="457" t="s">
        <v>1696</v>
      </c>
      <c r="P227" s="32" t="s">
        <v>160</v>
      </c>
      <c r="Q227" s="33" t="s">
        <v>630</v>
      </c>
      <c r="R227" s="33" t="s">
        <v>631</v>
      </c>
      <c r="S227" s="29">
        <v>75</v>
      </c>
      <c r="T227" s="31" t="s">
        <v>632</v>
      </c>
      <c r="U227" s="31" t="s">
        <v>633</v>
      </c>
      <c r="V227" s="30" t="s">
        <v>634</v>
      </c>
      <c r="W227" s="50" t="s">
        <v>1512</v>
      </c>
      <c r="X227" s="34">
        <v>75</v>
      </c>
      <c r="Y227" s="34">
        <v>750</v>
      </c>
      <c r="Z227" s="34" t="s">
        <v>800</v>
      </c>
      <c r="AA227" s="34">
        <f t="shared" si="10"/>
        <v>0</v>
      </c>
      <c r="AB227" s="34">
        <f t="shared" si="11"/>
        <v>0</v>
      </c>
      <c r="AC227" s="25" t="s">
        <v>36</v>
      </c>
      <c r="AD227" s="25"/>
      <c r="AE227" s="25"/>
      <c r="AF227" s="25"/>
      <c r="AG227" s="25"/>
      <c r="AH227" s="35"/>
    </row>
    <row r="228" spans="1:34" ht="31.2">
      <c r="A228" s="23" t="s">
        <v>623</v>
      </c>
      <c r="B228" s="81"/>
      <c r="C228" s="25"/>
      <c r="D228" s="25"/>
      <c r="E228" s="25">
        <v>10</v>
      </c>
      <c r="F228" s="25">
        <v>350</v>
      </c>
      <c r="G228" s="26">
        <f t="shared" si="9"/>
        <v>3500</v>
      </c>
      <c r="H228" s="27" t="s">
        <v>27</v>
      </c>
      <c r="I228" s="28" t="s">
        <v>69</v>
      </c>
      <c r="J228" s="29">
        <v>350</v>
      </c>
      <c r="K228" s="52">
        <v>10</v>
      </c>
      <c r="L228" s="56" t="s">
        <v>42</v>
      </c>
      <c r="M228" s="31">
        <v>3500</v>
      </c>
      <c r="N228" s="31" t="s">
        <v>1694</v>
      </c>
      <c r="O228" s="458"/>
      <c r="P228" s="32" t="s">
        <v>160</v>
      </c>
      <c r="Q228" s="33">
        <v>8500059977</v>
      </c>
      <c r="R228" s="33" t="s">
        <v>631</v>
      </c>
      <c r="S228" s="29">
        <v>350</v>
      </c>
      <c r="T228" s="31" t="s">
        <v>632</v>
      </c>
      <c r="U228" s="31" t="s">
        <v>633</v>
      </c>
      <c r="V228" s="30" t="s">
        <v>634</v>
      </c>
      <c r="W228" s="50" t="s">
        <v>1533</v>
      </c>
      <c r="X228" s="34">
        <f>200+150</f>
        <v>350</v>
      </c>
      <c r="Y228" s="34">
        <f>2000+1500</f>
        <v>3500</v>
      </c>
      <c r="Z228" s="34" t="s">
        <v>1434</v>
      </c>
      <c r="AA228" s="34">
        <f t="shared" si="10"/>
        <v>0</v>
      </c>
      <c r="AB228" s="34">
        <f t="shared" si="11"/>
        <v>0</v>
      </c>
      <c r="AC228" s="25" t="s">
        <v>36</v>
      </c>
      <c r="AD228" s="25"/>
      <c r="AE228" s="25"/>
      <c r="AF228" s="25"/>
      <c r="AG228" s="25"/>
      <c r="AH228" s="35"/>
    </row>
    <row r="229" spans="1:34" ht="31.2">
      <c r="A229" s="23" t="s">
        <v>623</v>
      </c>
      <c r="B229" s="81"/>
      <c r="C229" s="25"/>
      <c r="D229" s="25"/>
      <c r="E229" s="25">
        <v>10</v>
      </c>
      <c r="F229" s="25">
        <v>100</v>
      </c>
      <c r="G229" s="26">
        <f t="shared" si="9"/>
        <v>1000</v>
      </c>
      <c r="H229" s="27" t="s">
        <v>46</v>
      </c>
      <c r="I229" s="28" t="s">
        <v>69</v>
      </c>
      <c r="J229" s="29">
        <v>100</v>
      </c>
      <c r="K229" s="52">
        <v>14</v>
      </c>
      <c r="L229" s="56" t="s">
        <v>42</v>
      </c>
      <c r="M229" s="31">
        <v>1000</v>
      </c>
      <c r="N229" s="31" t="s">
        <v>1695</v>
      </c>
      <c r="O229" s="459"/>
      <c r="P229" s="32" t="s">
        <v>160</v>
      </c>
      <c r="Q229" s="33" t="s">
        <v>630</v>
      </c>
      <c r="R229" s="33" t="s">
        <v>631</v>
      </c>
      <c r="S229" s="29">
        <v>100</v>
      </c>
      <c r="T229" s="31" t="s">
        <v>632</v>
      </c>
      <c r="U229" s="31" t="s">
        <v>633</v>
      </c>
      <c r="V229" s="30" t="s">
        <v>634</v>
      </c>
      <c r="W229" s="50">
        <v>45174</v>
      </c>
      <c r="X229" s="34">
        <v>100</v>
      </c>
      <c r="Y229" s="34">
        <v>1000</v>
      </c>
      <c r="Z229" s="34" t="s">
        <v>758</v>
      </c>
      <c r="AA229" s="34">
        <f t="shared" si="10"/>
        <v>0</v>
      </c>
      <c r="AB229" s="34">
        <f t="shared" si="11"/>
        <v>0</v>
      </c>
      <c r="AC229" s="25" t="s">
        <v>36</v>
      </c>
      <c r="AD229" s="25"/>
      <c r="AE229" s="25"/>
      <c r="AF229" s="25"/>
      <c r="AG229" s="25"/>
      <c r="AH229" s="35"/>
    </row>
    <row r="230" spans="1:34" ht="62.4">
      <c r="A230" s="23" t="s">
        <v>635</v>
      </c>
      <c r="B230" s="81">
        <v>6000024135</v>
      </c>
      <c r="C230" s="25" t="s">
        <v>636</v>
      </c>
      <c r="D230" s="25" t="s">
        <v>637</v>
      </c>
      <c r="E230" s="25">
        <v>10</v>
      </c>
      <c r="F230" s="25">
        <v>3096</v>
      </c>
      <c r="G230" s="26">
        <f t="shared" si="9"/>
        <v>30960</v>
      </c>
      <c r="H230" s="27" t="s">
        <v>46</v>
      </c>
      <c r="I230" s="28" t="s">
        <v>1498</v>
      </c>
      <c r="J230" s="29">
        <v>3096</v>
      </c>
      <c r="K230" s="29">
        <v>36</v>
      </c>
      <c r="L230" s="56" t="s">
        <v>756</v>
      </c>
      <c r="M230" s="31">
        <v>30960</v>
      </c>
      <c r="N230" s="31">
        <v>310</v>
      </c>
      <c r="O230" s="31" t="s">
        <v>76</v>
      </c>
      <c r="P230" s="32" t="s">
        <v>160</v>
      </c>
      <c r="Q230" s="33" t="s">
        <v>638</v>
      </c>
      <c r="R230" s="33" t="s">
        <v>639</v>
      </c>
      <c r="S230" s="29">
        <v>3096</v>
      </c>
      <c r="T230" s="31" t="s">
        <v>761</v>
      </c>
      <c r="U230" s="31" t="s">
        <v>1010</v>
      </c>
      <c r="V230" s="31" t="s">
        <v>1011</v>
      </c>
      <c r="W230" s="50" t="s">
        <v>1012</v>
      </c>
      <c r="X230" s="34">
        <v>3096</v>
      </c>
      <c r="Y230" s="34">
        <v>30960</v>
      </c>
      <c r="Z230" s="34" t="s">
        <v>1013</v>
      </c>
      <c r="AA230" s="34">
        <f t="shared" si="10"/>
        <v>0</v>
      </c>
      <c r="AB230" s="34">
        <f t="shared" si="11"/>
        <v>0</v>
      </c>
      <c r="AC230" s="25" t="s">
        <v>36</v>
      </c>
      <c r="AD230" s="25"/>
      <c r="AE230" s="25"/>
      <c r="AF230" s="25"/>
      <c r="AG230" s="25"/>
      <c r="AH230" s="35"/>
    </row>
    <row r="231" spans="1:34" ht="31.2">
      <c r="A231" s="23" t="s">
        <v>635</v>
      </c>
      <c r="B231" s="81">
        <v>6000024135</v>
      </c>
      <c r="C231" s="25" t="s">
        <v>636</v>
      </c>
      <c r="D231" s="25" t="s">
        <v>637</v>
      </c>
      <c r="E231" s="25">
        <v>10</v>
      </c>
      <c r="F231" s="25">
        <v>864</v>
      </c>
      <c r="G231" s="26">
        <f t="shared" si="9"/>
        <v>8640</v>
      </c>
      <c r="H231" s="27" t="s">
        <v>146</v>
      </c>
      <c r="I231" s="28" t="s">
        <v>69</v>
      </c>
      <c r="J231" s="29">
        <v>864</v>
      </c>
      <c r="K231" s="29">
        <v>16</v>
      </c>
      <c r="L231" s="56" t="s">
        <v>756</v>
      </c>
      <c r="M231" s="31">
        <v>8640</v>
      </c>
      <c r="N231" s="31">
        <v>86</v>
      </c>
      <c r="O231" s="31" t="s">
        <v>76</v>
      </c>
      <c r="P231" s="32" t="s">
        <v>160</v>
      </c>
      <c r="Q231" s="33" t="s">
        <v>640</v>
      </c>
      <c r="R231" s="33" t="s">
        <v>641</v>
      </c>
      <c r="S231" s="29">
        <v>864</v>
      </c>
      <c r="T231" s="31" t="s">
        <v>761</v>
      </c>
      <c r="U231" s="31" t="s">
        <v>1010</v>
      </c>
      <c r="V231" s="31" t="s">
        <v>1011</v>
      </c>
      <c r="W231" s="50">
        <v>45141</v>
      </c>
      <c r="X231" s="34">
        <v>864</v>
      </c>
      <c r="Y231" s="34">
        <v>8640</v>
      </c>
      <c r="Z231" s="34" t="s">
        <v>757</v>
      </c>
      <c r="AA231" s="34">
        <f t="shared" si="10"/>
        <v>0</v>
      </c>
      <c r="AB231" s="34">
        <f t="shared" si="11"/>
        <v>0</v>
      </c>
      <c r="AC231" s="25" t="s">
        <v>36</v>
      </c>
      <c r="AD231" s="25"/>
      <c r="AE231" s="25"/>
      <c r="AF231" s="25"/>
      <c r="AG231" s="25"/>
      <c r="AH231" s="35"/>
    </row>
    <row r="232" spans="1:34" ht="31.2">
      <c r="A232" s="23" t="s">
        <v>635</v>
      </c>
      <c r="B232" s="81">
        <v>6000024136</v>
      </c>
      <c r="C232" s="25" t="s">
        <v>636</v>
      </c>
      <c r="D232" s="25" t="s">
        <v>642</v>
      </c>
      <c r="E232" s="25">
        <v>10</v>
      </c>
      <c r="F232" s="25">
        <v>1536</v>
      </c>
      <c r="G232" s="26">
        <f t="shared" si="9"/>
        <v>15360</v>
      </c>
      <c r="H232" s="27" t="s">
        <v>46</v>
      </c>
      <c r="I232" s="28" t="s">
        <v>1003</v>
      </c>
      <c r="J232" s="29">
        <v>1536</v>
      </c>
      <c r="K232" s="29">
        <v>17</v>
      </c>
      <c r="L232" s="56" t="s">
        <v>787</v>
      </c>
      <c r="M232" s="31">
        <v>15360</v>
      </c>
      <c r="N232" s="31">
        <v>154</v>
      </c>
      <c r="O232" s="31" t="s">
        <v>797</v>
      </c>
      <c r="P232" s="32" t="s">
        <v>1004</v>
      </c>
      <c r="Q232" s="33" t="s">
        <v>1014</v>
      </c>
      <c r="R232" s="33" t="s">
        <v>1015</v>
      </c>
      <c r="S232" s="29">
        <v>1536</v>
      </c>
      <c r="T232" s="31" t="s">
        <v>761</v>
      </c>
      <c r="U232" s="31" t="s">
        <v>1016</v>
      </c>
      <c r="V232" s="31" t="s">
        <v>1017</v>
      </c>
      <c r="W232" s="50" t="s">
        <v>1018</v>
      </c>
      <c r="X232" s="34">
        <v>1536</v>
      </c>
      <c r="Y232" s="34">
        <v>15360</v>
      </c>
      <c r="Z232" s="34" t="s">
        <v>1019</v>
      </c>
      <c r="AA232" s="34">
        <f t="shared" si="10"/>
        <v>0</v>
      </c>
      <c r="AB232" s="34">
        <f t="shared" si="11"/>
        <v>0</v>
      </c>
      <c r="AC232" s="25" t="s">
        <v>36</v>
      </c>
      <c r="AD232" s="25"/>
      <c r="AE232" s="25"/>
      <c r="AF232" s="25"/>
      <c r="AG232" s="25"/>
      <c r="AH232" s="35"/>
    </row>
    <row r="233" spans="1:34" ht="31.2">
      <c r="A233" s="23"/>
      <c r="B233" s="81"/>
      <c r="C233" s="25"/>
      <c r="D233" s="25"/>
      <c r="E233" s="25">
        <v>10</v>
      </c>
      <c r="F233" s="25">
        <v>2424</v>
      </c>
      <c r="G233" s="26">
        <f t="shared" si="9"/>
        <v>24240</v>
      </c>
      <c r="H233" s="27" t="s">
        <v>146</v>
      </c>
      <c r="I233" s="28" t="s">
        <v>42</v>
      </c>
      <c r="J233" s="29">
        <v>2424</v>
      </c>
      <c r="K233" s="29">
        <v>56</v>
      </c>
      <c r="L233" s="56" t="s">
        <v>787</v>
      </c>
      <c r="M233" s="31">
        <v>24240</v>
      </c>
      <c r="N233" s="31">
        <v>342</v>
      </c>
      <c r="O233" s="31" t="s">
        <v>76</v>
      </c>
      <c r="P233" s="32" t="s">
        <v>160</v>
      </c>
      <c r="Q233" s="33" t="s">
        <v>643</v>
      </c>
      <c r="R233" s="33" t="s">
        <v>644</v>
      </c>
      <c r="S233" s="29">
        <v>2424</v>
      </c>
      <c r="T233" s="31" t="s">
        <v>761</v>
      </c>
      <c r="U233" s="31" t="s">
        <v>1016</v>
      </c>
      <c r="V233" s="31" t="s">
        <v>1017</v>
      </c>
      <c r="W233" s="50" t="s">
        <v>787</v>
      </c>
      <c r="X233" s="34">
        <v>2424</v>
      </c>
      <c r="Y233" s="34">
        <v>24240</v>
      </c>
      <c r="Z233" s="34" t="s">
        <v>757</v>
      </c>
      <c r="AA233" s="34">
        <f t="shared" si="10"/>
        <v>0</v>
      </c>
      <c r="AB233" s="34">
        <f t="shared" si="11"/>
        <v>0</v>
      </c>
      <c r="AC233" s="25" t="s">
        <v>36</v>
      </c>
      <c r="AD233" s="25"/>
      <c r="AE233" s="25"/>
      <c r="AF233" s="25"/>
      <c r="AG233" s="25"/>
      <c r="AH233" s="35"/>
    </row>
    <row r="234" spans="1:34" ht="31.2">
      <c r="A234" s="23" t="s">
        <v>645</v>
      </c>
      <c r="B234" s="81">
        <v>6000024223</v>
      </c>
      <c r="C234" s="25" t="s">
        <v>646</v>
      </c>
      <c r="D234" s="25" t="s">
        <v>647</v>
      </c>
      <c r="E234" s="25">
        <v>10</v>
      </c>
      <c r="F234" s="25">
        <v>800</v>
      </c>
      <c r="G234" s="26">
        <f t="shared" si="9"/>
        <v>8000</v>
      </c>
      <c r="H234" s="27" t="s">
        <v>27</v>
      </c>
      <c r="I234" s="28" t="s">
        <v>380</v>
      </c>
      <c r="J234" s="29">
        <v>800</v>
      </c>
      <c r="K234" s="29">
        <v>13</v>
      </c>
      <c r="L234" s="56" t="s">
        <v>380</v>
      </c>
      <c r="M234" s="31">
        <v>8000</v>
      </c>
      <c r="N234" s="31">
        <v>80</v>
      </c>
      <c r="O234" s="31" t="s">
        <v>76</v>
      </c>
      <c r="P234" s="32" t="s">
        <v>160</v>
      </c>
      <c r="Q234" s="33" t="s">
        <v>648</v>
      </c>
      <c r="R234" s="33" t="s">
        <v>649</v>
      </c>
      <c r="S234" s="29">
        <v>800</v>
      </c>
      <c r="T234" s="31" t="s">
        <v>1558</v>
      </c>
      <c r="U234" s="31" t="s">
        <v>650</v>
      </c>
      <c r="V234" s="31" t="s">
        <v>651</v>
      </c>
      <c r="W234" s="50" t="s">
        <v>920</v>
      </c>
      <c r="X234" s="34">
        <v>800</v>
      </c>
      <c r="Y234" s="34">
        <v>8000</v>
      </c>
      <c r="Z234" s="34" t="s">
        <v>926</v>
      </c>
      <c r="AA234" s="34">
        <f t="shared" si="10"/>
        <v>0</v>
      </c>
      <c r="AB234" s="34">
        <f t="shared" si="11"/>
        <v>0</v>
      </c>
      <c r="AC234" s="25" t="s">
        <v>36</v>
      </c>
      <c r="AD234" s="25"/>
      <c r="AE234" s="25"/>
      <c r="AF234" s="25"/>
      <c r="AG234" s="25"/>
      <c r="AH234" s="35"/>
    </row>
    <row r="235" spans="1:34" ht="31.2">
      <c r="A235" s="23"/>
      <c r="B235" s="81"/>
      <c r="C235" s="25"/>
      <c r="D235" s="25"/>
      <c r="E235" s="25">
        <v>10</v>
      </c>
      <c r="F235" s="25">
        <v>1250</v>
      </c>
      <c r="G235" s="26">
        <f t="shared" si="9"/>
        <v>12500</v>
      </c>
      <c r="H235" s="27" t="s">
        <v>46</v>
      </c>
      <c r="I235" s="28" t="s">
        <v>380</v>
      </c>
      <c r="J235" s="29">
        <v>1250</v>
      </c>
      <c r="K235" s="29">
        <v>16</v>
      </c>
      <c r="L235" s="56" t="s">
        <v>380</v>
      </c>
      <c r="M235" s="31">
        <v>12500</v>
      </c>
      <c r="N235" s="31">
        <v>125</v>
      </c>
      <c r="O235" s="31" t="s">
        <v>76</v>
      </c>
      <c r="P235" s="32" t="s">
        <v>160</v>
      </c>
      <c r="Q235" s="33" t="s">
        <v>648</v>
      </c>
      <c r="R235" s="33" t="s">
        <v>649</v>
      </c>
      <c r="S235" s="29">
        <v>1250</v>
      </c>
      <c r="T235" s="31" t="s">
        <v>1558</v>
      </c>
      <c r="U235" s="31" t="s">
        <v>650</v>
      </c>
      <c r="V235" s="31" t="s">
        <v>651</v>
      </c>
      <c r="W235" s="50" t="s">
        <v>820</v>
      </c>
      <c r="X235" s="34">
        <v>1250</v>
      </c>
      <c r="Y235" s="34">
        <v>12500</v>
      </c>
      <c r="Z235" s="34" t="s">
        <v>267</v>
      </c>
      <c r="AA235" s="34">
        <f t="shared" si="10"/>
        <v>0</v>
      </c>
      <c r="AB235" s="34">
        <f t="shared" si="11"/>
        <v>0</v>
      </c>
      <c r="AC235" s="25" t="s">
        <v>36</v>
      </c>
      <c r="AD235" s="25"/>
      <c r="AE235" s="25"/>
      <c r="AF235" s="25"/>
      <c r="AG235" s="25"/>
      <c r="AH235" s="35"/>
    </row>
    <row r="236" spans="1:34" ht="31.2">
      <c r="A236" s="23" t="s">
        <v>652</v>
      </c>
      <c r="B236" s="81">
        <v>6000024171</v>
      </c>
      <c r="C236" s="25" t="s">
        <v>653</v>
      </c>
      <c r="D236" s="25">
        <v>2342323</v>
      </c>
      <c r="E236" s="25">
        <v>10</v>
      </c>
      <c r="F236" s="25">
        <v>450</v>
      </c>
      <c r="G236" s="26">
        <f t="shared" si="9"/>
        <v>4500</v>
      </c>
      <c r="H236" s="27" t="s">
        <v>46</v>
      </c>
      <c r="I236" s="28" t="s">
        <v>380</v>
      </c>
      <c r="J236" s="29">
        <v>450</v>
      </c>
      <c r="K236" s="29">
        <v>10</v>
      </c>
      <c r="L236" s="56" t="s">
        <v>380</v>
      </c>
      <c r="M236" s="31">
        <v>4500</v>
      </c>
      <c r="N236" s="31">
        <v>50</v>
      </c>
      <c r="O236" s="31" t="s">
        <v>76</v>
      </c>
      <c r="P236" s="32" t="s">
        <v>160</v>
      </c>
      <c r="Q236" s="33" t="s">
        <v>640</v>
      </c>
      <c r="R236" s="33" t="s">
        <v>654</v>
      </c>
      <c r="S236" s="29">
        <v>450</v>
      </c>
      <c r="T236" s="31" t="s">
        <v>655</v>
      </c>
      <c r="U236" s="31" t="s">
        <v>656</v>
      </c>
      <c r="V236" s="31" t="s">
        <v>657</v>
      </c>
      <c r="W236" s="50">
        <v>45163</v>
      </c>
      <c r="X236" s="34">
        <v>450</v>
      </c>
      <c r="Y236" s="34">
        <v>4500</v>
      </c>
      <c r="Z236" s="34" t="s">
        <v>800</v>
      </c>
      <c r="AA236" s="34">
        <f t="shared" si="10"/>
        <v>0</v>
      </c>
      <c r="AB236" s="34">
        <f t="shared" si="11"/>
        <v>0</v>
      </c>
      <c r="AC236" s="25" t="s">
        <v>36</v>
      </c>
      <c r="AD236" s="25"/>
      <c r="AE236" s="25"/>
      <c r="AF236" s="25"/>
      <c r="AG236" s="25"/>
      <c r="AH236" s="35"/>
    </row>
    <row r="237" spans="1:34" ht="62.4">
      <c r="A237" s="23" t="s">
        <v>652</v>
      </c>
      <c r="B237" s="81">
        <v>6000024171</v>
      </c>
      <c r="C237" s="25" t="s">
        <v>653</v>
      </c>
      <c r="D237" s="25">
        <v>2342323</v>
      </c>
      <c r="E237" s="25">
        <v>10</v>
      </c>
      <c r="F237" s="25">
        <v>1600</v>
      </c>
      <c r="G237" s="26">
        <f t="shared" si="9"/>
        <v>16000</v>
      </c>
      <c r="H237" s="27" t="s">
        <v>37</v>
      </c>
      <c r="I237" s="28" t="s">
        <v>1020</v>
      </c>
      <c r="J237" s="29">
        <v>1600</v>
      </c>
      <c r="K237" s="29">
        <v>37</v>
      </c>
      <c r="L237" s="56" t="s">
        <v>380</v>
      </c>
      <c r="M237" s="31">
        <v>16000</v>
      </c>
      <c r="N237" s="31">
        <v>100</v>
      </c>
      <c r="O237" s="31" t="s">
        <v>76</v>
      </c>
      <c r="P237" s="32" t="s">
        <v>1021</v>
      </c>
      <c r="Q237" s="33" t="s">
        <v>658</v>
      </c>
      <c r="R237" s="33" t="s">
        <v>659</v>
      </c>
      <c r="S237" s="29">
        <v>1600</v>
      </c>
      <c r="T237" s="31" t="s">
        <v>655</v>
      </c>
      <c r="U237" s="31" t="s">
        <v>656</v>
      </c>
      <c r="V237" s="31" t="s">
        <v>657</v>
      </c>
      <c r="W237" s="50" t="s">
        <v>1402</v>
      </c>
      <c r="X237" s="34">
        <v>1600</v>
      </c>
      <c r="Y237" s="34">
        <v>16000</v>
      </c>
      <c r="Z237" s="34" t="s">
        <v>1022</v>
      </c>
      <c r="AA237" s="34">
        <f t="shared" si="10"/>
        <v>0</v>
      </c>
      <c r="AB237" s="34">
        <f t="shared" si="11"/>
        <v>0</v>
      </c>
      <c r="AC237" s="25" t="s">
        <v>36</v>
      </c>
      <c r="AD237" s="25"/>
      <c r="AE237" s="25"/>
      <c r="AF237" s="25"/>
      <c r="AG237" s="25"/>
      <c r="AH237" s="35"/>
    </row>
    <row r="238" spans="1:34" ht="31.2">
      <c r="A238" s="23" t="s">
        <v>652</v>
      </c>
      <c r="B238" s="81">
        <v>6000024171</v>
      </c>
      <c r="C238" s="25" t="s">
        <v>653</v>
      </c>
      <c r="D238" s="25">
        <v>2342323</v>
      </c>
      <c r="E238" s="25">
        <v>10</v>
      </c>
      <c r="F238" s="25">
        <v>100</v>
      </c>
      <c r="G238" s="26">
        <f t="shared" si="9"/>
        <v>1000</v>
      </c>
      <c r="H238" s="27" t="s">
        <v>146</v>
      </c>
      <c r="I238" s="28" t="s">
        <v>380</v>
      </c>
      <c r="J238" s="29">
        <v>100</v>
      </c>
      <c r="K238" s="29">
        <v>5</v>
      </c>
      <c r="L238" s="56" t="s">
        <v>380</v>
      </c>
      <c r="M238" s="31">
        <v>1000</v>
      </c>
      <c r="N238" s="31">
        <v>20</v>
      </c>
      <c r="O238" s="31" t="s">
        <v>76</v>
      </c>
      <c r="P238" s="32" t="s">
        <v>160</v>
      </c>
      <c r="Q238" s="33" t="s">
        <v>640</v>
      </c>
      <c r="R238" s="33" t="s">
        <v>654</v>
      </c>
      <c r="S238" s="29">
        <v>100</v>
      </c>
      <c r="T238" s="31" t="s">
        <v>655</v>
      </c>
      <c r="U238" s="31" t="s">
        <v>656</v>
      </c>
      <c r="V238" s="31" t="s">
        <v>657</v>
      </c>
      <c r="W238" s="50">
        <v>45163</v>
      </c>
      <c r="X238" s="34">
        <v>100</v>
      </c>
      <c r="Y238" s="34">
        <v>1000</v>
      </c>
      <c r="Z238" s="34" t="s">
        <v>800</v>
      </c>
      <c r="AA238" s="34">
        <f t="shared" si="10"/>
        <v>0</v>
      </c>
      <c r="AB238" s="34">
        <f t="shared" si="11"/>
        <v>0</v>
      </c>
      <c r="AC238" s="25" t="s">
        <v>36</v>
      </c>
      <c r="AD238" s="25"/>
      <c r="AE238" s="25"/>
      <c r="AF238" s="25"/>
      <c r="AG238" s="25"/>
      <c r="AH238" s="35"/>
    </row>
    <row r="239" spans="1:34" ht="31.2">
      <c r="A239" s="23" t="s">
        <v>660</v>
      </c>
      <c r="B239" s="81">
        <v>6000024282</v>
      </c>
      <c r="C239" s="25" t="s">
        <v>661</v>
      </c>
      <c r="D239" s="25">
        <v>6000024282</v>
      </c>
      <c r="E239" s="25">
        <v>40</v>
      </c>
      <c r="F239" s="25">
        <v>25</v>
      </c>
      <c r="G239" s="26">
        <f t="shared" si="9"/>
        <v>1000</v>
      </c>
      <c r="H239" s="27" t="s">
        <v>243</v>
      </c>
      <c r="I239" s="28" t="s">
        <v>779</v>
      </c>
      <c r="J239" s="29">
        <v>25</v>
      </c>
      <c r="K239" s="29">
        <v>2</v>
      </c>
      <c r="L239" s="57">
        <v>45142</v>
      </c>
      <c r="M239" s="31">
        <v>1000</v>
      </c>
      <c r="N239" s="31">
        <v>10</v>
      </c>
      <c r="O239" s="31" t="s">
        <v>76</v>
      </c>
      <c r="P239" s="32" t="s">
        <v>28</v>
      </c>
      <c r="Q239" s="33" t="s">
        <v>1023</v>
      </c>
      <c r="R239" s="33" t="s">
        <v>1024</v>
      </c>
      <c r="S239" s="29">
        <v>25</v>
      </c>
      <c r="T239" s="31" t="s">
        <v>76</v>
      </c>
      <c r="U239" s="31" t="s">
        <v>76</v>
      </c>
      <c r="V239" s="31" t="s">
        <v>76</v>
      </c>
      <c r="W239" s="50">
        <v>45176</v>
      </c>
      <c r="X239" s="34">
        <v>25</v>
      </c>
      <c r="Y239" s="34">
        <v>1000</v>
      </c>
      <c r="Z239" s="34" t="s">
        <v>800</v>
      </c>
      <c r="AA239" s="34">
        <f t="shared" si="10"/>
        <v>0</v>
      </c>
      <c r="AB239" s="34">
        <f t="shared" si="11"/>
        <v>0</v>
      </c>
      <c r="AC239" s="25" t="s">
        <v>36</v>
      </c>
      <c r="AD239" s="25"/>
      <c r="AE239" s="25"/>
      <c r="AF239" s="25"/>
      <c r="AG239" s="25"/>
      <c r="AH239" s="35"/>
    </row>
    <row r="240" spans="1:34" ht="31.2">
      <c r="A240" s="23"/>
      <c r="B240" s="81"/>
      <c r="C240" s="25"/>
      <c r="D240" s="25"/>
      <c r="E240" s="25">
        <v>40</v>
      </c>
      <c r="F240" s="25">
        <v>100</v>
      </c>
      <c r="G240" s="26">
        <f t="shared" si="9"/>
        <v>4000</v>
      </c>
      <c r="H240" s="27" t="s">
        <v>27</v>
      </c>
      <c r="I240" s="28" t="s">
        <v>813</v>
      </c>
      <c r="J240" s="29">
        <v>100</v>
      </c>
      <c r="K240" s="29">
        <v>2</v>
      </c>
      <c r="L240" s="57">
        <v>45142</v>
      </c>
      <c r="M240" s="31">
        <v>4000</v>
      </c>
      <c r="N240" s="31">
        <v>40</v>
      </c>
      <c r="O240" s="31" t="s">
        <v>76</v>
      </c>
      <c r="P240" s="32" t="s">
        <v>28</v>
      </c>
      <c r="Q240" s="33" t="s">
        <v>1025</v>
      </c>
      <c r="R240" s="33" t="s">
        <v>1026</v>
      </c>
      <c r="S240" s="29">
        <v>100</v>
      </c>
      <c r="T240" s="31" t="s">
        <v>76</v>
      </c>
      <c r="U240" s="31" t="s">
        <v>76</v>
      </c>
      <c r="V240" s="31" t="s">
        <v>76</v>
      </c>
      <c r="W240" s="50">
        <v>45176</v>
      </c>
      <c r="X240" s="34">
        <v>100</v>
      </c>
      <c r="Y240" s="34">
        <v>4000</v>
      </c>
      <c r="Z240" s="34" t="s">
        <v>800</v>
      </c>
      <c r="AA240" s="34">
        <f t="shared" si="10"/>
        <v>0</v>
      </c>
      <c r="AB240" s="34">
        <f t="shared" si="11"/>
        <v>0</v>
      </c>
      <c r="AC240" s="25" t="s">
        <v>36</v>
      </c>
      <c r="AD240" s="25"/>
      <c r="AE240" s="25"/>
      <c r="AF240" s="25"/>
      <c r="AG240" s="25"/>
      <c r="AH240" s="35"/>
    </row>
    <row r="241" spans="1:34" ht="31.2">
      <c r="A241" s="23"/>
      <c r="B241" s="81"/>
      <c r="C241" s="25"/>
      <c r="D241" s="25"/>
      <c r="E241" s="25">
        <v>40</v>
      </c>
      <c r="F241" s="25">
        <v>75</v>
      </c>
      <c r="G241" s="26">
        <f t="shared" si="9"/>
        <v>3000</v>
      </c>
      <c r="H241" s="27" t="s">
        <v>46</v>
      </c>
      <c r="I241" s="28" t="s">
        <v>813</v>
      </c>
      <c r="J241" s="29">
        <v>75</v>
      </c>
      <c r="K241" s="29">
        <v>1</v>
      </c>
      <c r="L241" s="57">
        <v>45142</v>
      </c>
      <c r="M241" s="31">
        <v>3000</v>
      </c>
      <c r="N241" s="31">
        <v>30</v>
      </c>
      <c r="O241" s="31" t="s">
        <v>76</v>
      </c>
      <c r="P241" s="32" t="s">
        <v>28</v>
      </c>
      <c r="Q241" s="33" t="s">
        <v>1025</v>
      </c>
      <c r="R241" s="33" t="s">
        <v>1026</v>
      </c>
      <c r="S241" s="29">
        <v>75</v>
      </c>
      <c r="T241" s="31" t="s">
        <v>76</v>
      </c>
      <c r="U241" s="31" t="s">
        <v>76</v>
      </c>
      <c r="V241" s="31" t="s">
        <v>76</v>
      </c>
      <c r="W241" s="50">
        <v>45176</v>
      </c>
      <c r="X241" s="34">
        <v>75</v>
      </c>
      <c r="Y241" s="34">
        <v>3000</v>
      </c>
      <c r="Z241" s="34" t="s">
        <v>800</v>
      </c>
      <c r="AA241" s="34">
        <f t="shared" si="10"/>
        <v>0</v>
      </c>
      <c r="AB241" s="34">
        <f t="shared" si="11"/>
        <v>0</v>
      </c>
      <c r="AC241" s="25" t="s">
        <v>36</v>
      </c>
      <c r="AD241" s="25"/>
      <c r="AE241" s="25"/>
      <c r="AF241" s="25"/>
      <c r="AG241" s="25"/>
      <c r="AH241" s="35"/>
    </row>
    <row r="242" spans="1:34" ht="31.2">
      <c r="A242" s="23"/>
      <c r="B242" s="81"/>
      <c r="C242" s="25"/>
      <c r="D242" s="25"/>
      <c r="E242" s="25">
        <v>0</v>
      </c>
      <c r="F242" s="25">
        <v>100</v>
      </c>
      <c r="G242" s="26">
        <f t="shared" si="9"/>
        <v>0</v>
      </c>
      <c r="H242" s="27" t="s">
        <v>243</v>
      </c>
      <c r="I242" s="28" t="s">
        <v>859</v>
      </c>
      <c r="J242" s="29">
        <v>100</v>
      </c>
      <c r="K242" s="29">
        <v>8</v>
      </c>
      <c r="L242" s="56"/>
      <c r="M242" s="31"/>
      <c r="N242" s="31"/>
      <c r="O242" s="31" t="s">
        <v>795</v>
      </c>
      <c r="P242" s="32" t="s">
        <v>28</v>
      </c>
      <c r="Q242" s="33" t="s">
        <v>1027</v>
      </c>
      <c r="R242" s="33" t="s">
        <v>1028</v>
      </c>
      <c r="S242" s="29">
        <v>100</v>
      </c>
      <c r="T242" s="31" t="s">
        <v>761</v>
      </c>
      <c r="U242" s="31" t="s">
        <v>1029</v>
      </c>
      <c r="V242" s="31" t="s">
        <v>1030</v>
      </c>
      <c r="W242" s="50">
        <v>45176</v>
      </c>
      <c r="X242" s="34">
        <v>100</v>
      </c>
      <c r="Y242" s="34">
        <v>0</v>
      </c>
      <c r="Z242" s="34" t="s">
        <v>800</v>
      </c>
      <c r="AA242" s="34">
        <f t="shared" si="10"/>
        <v>0</v>
      </c>
      <c r="AB242" s="34">
        <f t="shared" si="11"/>
        <v>0</v>
      </c>
      <c r="AC242" s="25" t="s">
        <v>36</v>
      </c>
      <c r="AD242" s="25"/>
      <c r="AE242" s="25"/>
      <c r="AF242" s="25"/>
      <c r="AG242" s="25"/>
      <c r="AH242" s="35"/>
    </row>
    <row r="243" spans="1:34" ht="31.2">
      <c r="A243" s="23"/>
      <c r="B243" s="81"/>
      <c r="C243" s="25"/>
      <c r="D243" s="25"/>
      <c r="E243" s="25">
        <v>0</v>
      </c>
      <c r="F243" s="25">
        <v>400</v>
      </c>
      <c r="G243" s="26">
        <f t="shared" si="9"/>
        <v>0</v>
      </c>
      <c r="H243" s="27" t="s">
        <v>27</v>
      </c>
      <c r="I243" s="28" t="s">
        <v>859</v>
      </c>
      <c r="J243" s="29">
        <v>400</v>
      </c>
      <c r="K243" s="29">
        <v>9</v>
      </c>
      <c r="L243" s="56"/>
      <c r="M243" s="31"/>
      <c r="N243" s="31"/>
      <c r="O243" s="31" t="s">
        <v>796</v>
      </c>
      <c r="P243" s="32" t="s">
        <v>28</v>
      </c>
      <c r="Q243" s="33" t="s">
        <v>1027</v>
      </c>
      <c r="R243" s="33" t="s">
        <v>1028</v>
      </c>
      <c r="S243" s="29">
        <v>400</v>
      </c>
      <c r="T243" s="31" t="s">
        <v>761</v>
      </c>
      <c r="U243" s="31" t="s">
        <v>1029</v>
      </c>
      <c r="V243" s="31" t="s">
        <v>1030</v>
      </c>
      <c r="W243" s="50">
        <v>45176</v>
      </c>
      <c r="X243" s="34">
        <v>400</v>
      </c>
      <c r="Y243" s="34">
        <v>0</v>
      </c>
      <c r="Z243" s="34" t="s">
        <v>800</v>
      </c>
      <c r="AA243" s="34">
        <f t="shared" si="10"/>
        <v>0</v>
      </c>
      <c r="AB243" s="34">
        <f t="shared" si="11"/>
        <v>0</v>
      </c>
      <c r="AC243" s="25" t="s">
        <v>36</v>
      </c>
      <c r="AD243" s="25"/>
      <c r="AE243" s="25"/>
      <c r="AF243" s="25"/>
      <c r="AG243" s="25"/>
      <c r="AH243" s="35"/>
    </row>
    <row r="244" spans="1:34" ht="31.2">
      <c r="A244" s="23"/>
      <c r="B244" s="81"/>
      <c r="C244" s="25"/>
      <c r="D244" s="25"/>
      <c r="E244" s="25">
        <v>0</v>
      </c>
      <c r="F244" s="25">
        <v>300</v>
      </c>
      <c r="G244" s="26">
        <f t="shared" si="9"/>
        <v>0</v>
      </c>
      <c r="H244" s="27" t="s">
        <v>46</v>
      </c>
      <c r="I244" s="28" t="s">
        <v>813</v>
      </c>
      <c r="J244" s="29">
        <v>300</v>
      </c>
      <c r="K244" s="29">
        <v>5</v>
      </c>
      <c r="L244" s="56"/>
      <c r="M244" s="31"/>
      <c r="N244" s="31"/>
      <c r="O244" s="31" t="s">
        <v>76</v>
      </c>
      <c r="P244" s="32" t="s">
        <v>28</v>
      </c>
      <c r="Q244" s="33" t="s">
        <v>1027</v>
      </c>
      <c r="R244" s="33" t="s">
        <v>1031</v>
      </c>
      <c r="S244" s="29">
        <v>300</v>
      </c>
      <c r="T244" s="31" t="s">
        <v>761</v>
      </c>
      <c r="U244" s="31" t="s">
        <v>1029</v>
      </c>
      <c r="V244" s="31" t="s">
        <v>1030</v>
      </c>
      <c r="W244" s="50">
        <v>45176</v>
      </c>
      <c r="X244" s="34">
        <v>300</v>
      </c>
      <c r="Y244" s="34">
        <v>0</v>
      </c>
      <c r="Z244" s="34" t="s">
        <v>800</v>
      </c>
      <c r="AA244" s="34">
        <f t="shared" si="10"/>
        <v>0</v>
      </c>
      <c r="AB244" s="34">
        <f t="shared" si="11"/>
        <v>0</v>
      </c>
      <c r="AC244" s="25" t="s">
        <v>36</v>
      </c>
      <c r="AD244" s="25"/>
      <c r="AE244" s="25"/>
      <c r="AF244" s="25"/>
      <c r="AG244" s="25"/>
      <c r="AH244" s="35"/>
    </row>
    <row r="245" spans="1:34" ht="31.2">
      <c r="A245" s="23" t="s">
        <v>660</v>
      </c>
      <c r="B245" s="81">
        <v>6000024282</v>
      </c>
      <c r="C245" s="25" t="s">
        <v>662</v>
      </c>
      <c r="D245" s="25">
        <v>6000024282</v>
      </c>
      <c r="E245" s="25">
        <v>30</v>
      </c>
      <c r="F245" s="25">
        <v>67</v>
      </c>
      <c r="G245" s="26">
        <f t="shared" si="9"/>
        <v>2010</v>
      </c>
      <c r="H245" s="27" t="s">
        <v>243</v>
      </c>
      <c r="I245" s="28" t="s">
        <v>813</v>
      </c>
      <c r="J245" s="29">
        <v>67</v>
      </c>
      <c r="K245" s="29">
        <v>1</v>
      </c>
      <c r="L245" s="56" t="s">
        <v>69</v>
      </c>
      <c r="M245" s="31">
        <v>2010</v>
      </c>
      <c r="N245" s="31">
        <v>11</v>
      </c>
      <c r="O245" s="31" t="s">
        <v>76</v>
      </c>
      <c r="P245" s="32" t="s">
        <v>28</v>
      </c>
      <c r="Q245" s="33" t="s">
        <v>1023</v>
      </c>
      <c r="R245" s="33" t="s">
        <v>1032</v>
      </c>
      <c r="S245" s="29">
        <v>67</v>
      </c>
      <c r="T245" s="31" t="s">
        <v>152</v>
      </c>
      <c r="U245" s="31" t="s">
        <v>663</v>
      </c>
      <c r="V245" s="31" t="s">
        <v>664</v>
      </c>
      <c r="W245" s="50" t="s">
        <v>925</v>
      </c>
      <c r="X245" s="34">
        <v>67</v>
      </c>
      <c r="Y245" s="34">
        <v>2010</v>
      </c>
      <c r="Z245" s="34" t="s">
        <v>826</v>
      </c>
      <c r="AA245" s="34">
        <f t="shared" si="10"/>
        <v>0</v>
      </c>
      <c r="AB245" s="34">
        <f t="shared" si="11"/>
        <v>0</v>
      </c>
      <c r="AC245" s="25" t="s">
        <v>36</v>
      </c>
      <c r="AD245" s="25" t="s">
        <v>76</v>
      </c>
      <c r="AE245" s="25"/>
      <c r="AF245" s="25"/>
      <c r="AG245" s="25"/>
      <c r="AH245" s="35"/>
    </row>
    <row r="246" spans="1:34" ht="62.4">
      <c r="A246" s="23"/>
      <c r="B246" s="81"/>
      <c r="C246" s="25"/>
      <c r="D246" s="25"/>
      <c r="E246" s="25">
        <v>30</v>
      </c>
      <c r="F246" s="25">
        <v>67</v>
      </c>
      <c r="G246" s="26">
        <f t="shared" si="9"/>
        <v>2010</v>
      </c>
      <c r="H246" s="27" t="s">
        <v>27</v>
      </c>
      <c r="I246" s="28" t="s">
        <v>1331</v>
      </c>
      <c r="J246" s="29">
        <v>67</v>
      </c>
      <c r="K246" s="29">
        <v>0</v>
      </c>
      <c r="L246" s="56" t="s">
        <v>69</v>
      </c>
      <c r="M246" s="31">
        <v>2010</v>
      </c>
      <c r="N246" s="31">
        <v>11</v>
      </c>
      <c r="O246" s="31" t="s">
        <v>76</v>
      </c>
      <c r="P246" s="32" t="s">
        <v>28</v>
      </c>
      <c r="Q246" s="33" t="s">
        <v>76</v>
      </c>
      <c r="R246" s="33" t="s">
        <v>1033</v>
      </c>
      <c r="S246" s="29">
        <v>67</v>
      </c>
      <c r="T246" s="31" t="s">
        <v>152</v>
      </c>
      <c r="U246" s="31" t="s">
        <v>663</v>
      </c>
      <c r="V246" s="31" t="s">
        <v>664</v>
      </c>
      <c r="W246" s="50" t="s">
        <v>925</v>
      </c>
      <c r="X246" s="34">
        <v>67</v>
      </c>
      <c r="Y246" s="34">
        <v>2010</v>
      </c>
      <c r="Z246" s="34" t="s">
        <v>826</v>
      </c>
      <c r="AA246" s="34">
        <f t="shared" si="10"/>
        <v>0</v>
      </c>
      <c r="AB246" s="34">
        <f t="shared" si="11"/>
        <v>0</v>
      </c>
      <c r="AC246" s="25" t="s">
        <v>36</v>
      </c>
      <c r="AD246" s="25" t="s">
        <v>76</v>
      </c>
      <c r="AE246" s="25"/>
      <c r="AF246" s="25"/>
      <c r="AG246" s="25"/>
      <c r="AH246" s="35"/>
    </row>
    <row r="247" spans="1:34" ht="31.2">
      <c r="A247" s="23"/>
      <c r="B247" s="81"/>
      <c r="C247" s="25"/>
      <c r="D247" s="25"/>
      <c r="E247" s="25">
        <v>30</v>
      </c>
      <c r="F247" s="25">
        <v>34</v>
      </c>
      <c r="G247" s="26">
        <f t="shared" si="9"/>
        <v>1020</v>
      </c>
      <c r="H247" s="27" t="s">
        <v>46</v>
      </c>
      <c r="I247" s="28" t="s">
        <v>779</v>
      </c>
      <c r="J247" s="29">
        <v>34</v>
      </c>
      <c r="K247" s="29">
        <v>1</v>
      </c>
      <c r="L247" s="56" t="s">
        <v>69</v>
      </c>
      <c r="M247" s="31">
        <v>1020</v>
      </c>
      <c r="N247" s="31">
        <v>6</v>
      </c>
      <c r="O247" s="31" t="s">
        <v>76</v>
      </c>
      <c r="P247" s="32" t="s">
        <v>28</v>
      </c>
      <c r="Q247" s="33" t="s">
        <v>76</v>
      </c>
      <c r="R247" s="33" t="s">
        <v>76</v>
      </c>
      <c r="S247" s="29">
        <v>34</v>
      </c>
      <c r="T247" s="31" t="s">
        <v>152</v>
      </c>
      <c r="U247" s="31" t="s">
        <v>663</v>
      </c>
      <c r="V247" s="31" t="s">
        <v>664</v>
      </c>
      <c r="W247" s="50" t="s">
        <v>880</v>
      </c>
      <c r="X247" s="34">
        <v>34</v>
      </c>
      <c r="Y247" s="34">
        <v>1020</v>
      </c>
      <c r="Z247" s="34" t="s">
        <v>798</v>
      </c>
      <c r="AA247" s="34">
        <f t="shared" si="10"/>
        <v>0</v>
      </c>
      <c r="AB247" s="34">
        <f t="shared" si="11"/>
        <v>0</v>
      </c>
      <c r="AC247" s="25" t="s">
        <v>36</v>
      </c>
      <c r="AD247" s="25" t="s">
        <v>76</v>
      </c>
      <c r="AE247" s="25"/>
      <c r="AF247" s="25"/>
      <c r="AG247" s="25"/>
      <c r="AH247" s="35"/>
    </row>
    <row r="248" spans="1:34" ht="31.2">
      <c r="A248" s="23"/>
      <c r="B248" s="81"/>
      <c r="C248" s="25"/>
      <c r="D248" s="25"/>
      <c r="E248" s="25">
        <v>0</v>
      </c>
      <c r="F248" s="25">
        <v>201</v>
      </c>
      <c r="G248" s="26">
        <f t="shared" si="9"/>
        <v>0</v>
      </c>
      <c r="H248" s="27" t="s">
        <v>243</v>
      </c>
      <c r="I248" s="28" t="s">
        <v>859</v>
      </c>
      <c r="J248" s="29">
        <v>201</v>
      </c>
      <c r="K248" s="29">
        <v>5</v>
      </c>
      <c r="L248" s="56" t="s">
        <v>76</v>
      </c>
      <c r="M248" s="31">
        <v>0</v>
      </c>
      <c r="N248" s="31">
        <v>0</v>
      </c>
      <c r="O248" s="31" t="s">
        <v>76</v>
      </c>
      <c r="P248" s="32" t="s">
        <v>28</v>
      </c>
      <c r="Q248" s="33" t="s">
        <v>1034</v>
      </c>
      <c r="R248" s="33" t="s">
        <v>1035</v>
      </c>
      <c r="S248" s="29">
        <v>201</v>
      </c>
      <c r="T248" s="31" t="s">
        <v>76</v>
      </c>
      <c r="U248" s="31" t="s">
        <v>76</v>
      </c>
      <c r="V248" s="31" t="s">
        <v>76</v>
      </c>
      <c r="W248" s="50" t="s">
        <v>925</v>
      </c>
      <c r="X248" s="34">
        <v>201</v>
      </c>
      <c r="Y248" s="34">
        <v>0</v>
      </c>
      <c r="Z248" s="34" t="s">
        <v>826</v>
      </c>
      <c r="AA248" s="34">
        <f t="shared" si="10"/>
        <v>0</v>
      </c>
      <c r="AB248" s="34">
        <f t="shared" si="11"/>
        <v>0</v>
      </c>
      <c r="AC248" s="25" t="s">
        <v>36</v>
      </c>
      <c r="AD248" s="25" t="s">
        <v>76</v>
      </c>
      <c r="AE248" s="25"/>
      <c r="AF248" s="25"/>
      <c r="AG248" s="25"/>
      <c r="AH248" s="35"/>
    </row>
    <row r="249" spans="1:34" ht="31.2">
      <c r="A249" s="23"/>
      <c r="B249" s="81"/>
      <c r="C249" s="25"/>
      <c r="D249" s="25"/>
      <c r="E249" s="25">
        <v>0</v>
      </c>
      <c r="F249" s="25">
        <v>201</v>
      </c>
      <c r="G249" s="26">
        <f t="shared" si="9"/>
        <v>0</v>
      </c>
      <c r="H249" s="27" t="s">
        <v>27</v>
      </c>
      <c r="I249" s="28" t="s">
        <v>859</v>
      </c>
      <c r="J249" s="29">
        <v>201</v>
      </c>
      <c r="K249" s="29">
        <v>5</v>
      </c>
      <c r="L249" s="56" t="s">
        <v>76</v>
      </c>
      <c r="M249" s="31">
        <v>0</v>
      </c>
      <c r="N249" s="31">
        <v>0</v>
      </c>
      <c r="O249" s="31" t="s">
        <v>76</v>
      </c>
      <c r="P249" s="32" t="s">
        <v>28</v>
      </c>
      <c r="Q249" s="33" t="s">
        <v>1034</v>
      </c>
      <c r="R249" s="33" t="s">
        <v>1035</v>
      </c>
      <c r="S249" s="29">
        <v>201</v>
      </c>
      <c r="T249" s="31" t="s">
        <v>76</v>
      </c>
      <c r="U249" s="31" t="s">
        <v>76</v>
      </c>
      <c r="V249" s="31" t="s">
        <v>76</v>
      </c>
      <c r="W249" s="50" t="s">
        <v>925</v>
      </c>
      <c r="X249" s="34">
        <v>201</v>
      </c>
      <c r="Y249" s="34">
        <v>0</v>
      </c>
      <c r="Z249" s="34" t="s">
        <v>826</v>
      </c>
      <c r="AA249" s="34">
        <f t="shared" si="10"/>
        <v>0</v>
      </c>
      <c r="AB249" s="34">
        <f t="shared" si="11"/>
        <v>0</v>
      </c>
      <c r="AC249" s="25" t="s">
        <v>36</v>
      </c>
      <c r="AD249" s="25" t="s">
        <v>76</v>
      </c>
      <c r="AE249" s="25"/>
      <c r="AF249" s="25"/>
      <c r="AG249" s="25"/>
      <c r="AH249" s="35"/>
    </row>
    <row r="250" spans="1:34" ht="31.2">
      <c r="A250" s="23"/>
      <c r="B250" s="81"/>
      <c r="C250" s="25"/>
      <c r="D250" s="25"/>
      <c r="E250" s="25">
        <v>0</v>
      </c>
      <c r="F250" s="25">
        <v>102</v>
      </c>
      <c r="G250" s="26">
        <f t="shared" si="9"/>
        <v>0</v>
      </c>
      <c r="H250" s="27" t="s">
        <v>46</v>
      </c>
      <c r="I250" s="28" t="s">
        <v>859</v>
      </c>
      <c r="J250" s="29">
        <v>102</v>
      </c>
      <c r="K250" s="29">
        <v>3</v>
      </c>
      <c r="L250" s="56" t="s">
        <v>76</v>
      </c>
      <c r="M250" s="31">
        <v>0</v>
      </c>
      <c r="N250" s="31">
        <v>0</v>
      </c>
      <c r="O250" s="31" t="s">
        <v>76</v>
      </c>
      <c r="P250" s="32" t="s">
        <v>28</v>
      </c>
      <c r="Q250" s="33" t="s">
        <v>1034</v>
      </c>
      <c r="R250" s="33" t="s">
        <v>1035</v>
      </c>
      <c r="S250" s="29">
        <v>102</v>
      </c>
      <c r="T250" s="31" t="s">
        <v>76</v>
      </c>
      <c r="U250" s="31" t="s">
        <v>76</v>
      </c>
      <c r="V250" s="31" t="s">
        <v>76</v>
      </c>
      <c r="W250" s="50" t="s">
        <v>880</v>
      </c>
      <c r="X250" s="34">
        <v>102</v>
      </c>
      <c r="Y250" s="34">
        <v>0</v>
      </c>
      <c r="Z250" s="34" t="s">
        <v>798</v>
      </c>
      <c r="AA250" s="34">
        <f t="shared" si="10"/>
        <v>0</v>
      </c>
      <c r="AB250" s="34">
        <f t="shared" si="11"/>
        <v>0</v>
      </c>
      <c r="AC250" s="25" t="s">
        <v>36</v>
      </c>
      <c r="AD250" s="25" t="s">
        <v>76</v>
      </c>
      <c r="AE250" s="25"/>
      <c r="AF250" s="25"/>
      <c r="AG250" s="25"/>
      <c r="AH250" s="35"/>
    </row>
    <row r="251" spans="1:34" ht="31.2">
      <c r="A251" s="23" t="s">
        <v>352</v>
      </c>
      <c r="B251" s="81">
        <v>6000024089</v>
      </c>
      <c r="C251" s="25" t="s">
        <v>353</v>
      </c>
      <c r="D251" s="25">
        <v>6000024089</v>
      </c>
      <c r="E251" s="25">
        <v>20</v>
      </c>
      <c r="F251" s="25">
        <v>100</v>
      </c>
      <c r="G251" s="26">
        <f t="shared" si="9"/>
        <v>2000</v>
      </c>
      <c r="H251" s="27" t="s">
        <v>46</v>
      </c>
      <c r="I251" s="28" t="s">
        <v>42</v>
      </c>
      <c r="J251" s="29">
        <v>100</v>
      </c>
      <c r="K251" s="29">
        <v>2</v>
      </c>
      <c r="L251" s="56" t="s">
        <v>69</v>
      </c>
      <c r="M251" s="31">
        <v>2000</v>
      </c>
      <c r="N251" s="31">
        <v>10</v>
      </c>
      <c r="O251" s="31" t="s">
        <v>76</v>
      </c>
      <c r="P251" s="32" t="s">
        <v>28</v>
      </c>
      <c r="Q251" s="33" t="s">
        <v>665</v>
      </c>
      <c r="R251" s="33" t="s">
        <v>666</v>
      </c>
      <c r="S251" s="29">
        <v>100</v>
      </c>
      <c r="T251" s="31" t="s">
        <v>152</v>
      </c>
      <c r="U251" s="31" t="s">
        <v>667</v>
      </c>
      <c r="V251" s="31" t="s">
        <v>668</v>
      </c>
      <c r="W251" s="50">
        <v>45210</v>
      </c>
      <c r="X251" s="34">
        <v>100</v>
      </c>
      <c r="Y251" s="34">
        <v>2000</v>
      </c>
      <c r="Z251" s="34" t="s">
        <v>800</v>
      </c>
      <c r="AA251" s="34">
        <f t="shared" si="10"/>
        <v>0</v>
      </c>
      <c r="AB251" s="34">
        <f t="shared" si="11"/>
        <v>0</v>
      </c>
      <c r="AC251" s="25" t="s">
        <v>669</v>
      </c>
      <c r="AD251" s="25" t="s">
        <v>76</v>
      </c>
      <c r="AE251" s="25"/>
      <c r="AF251" s="25"/>
      <c r="AG251" s="25"/>
      <c r="AH251" s="35"/>
    </row>
    <row r="252" spans="1:34" ht="31.2">
      <c r="A252" s="23"/>
      <c r="B252" s="81"/>
      <c r="C252" s="25"/>
      <c r="D252" s="25"/>
      <c r="E252" s="25">
        <v>20</v>
      </c>
      <c r="F252" s="25">
        <v>100</v>
      </c>
      <c r="G252" s="26">
        <f t="shared" si="9"/>
        <v>2000</v>
      </c>
      <c r="H252" s="27" t="s">
        <v>37</v>
      </c>
      <c r="I252" s="28" t="s">
        <v>42</v>
      </c>
      <c r="J252" s="29">
        <v>100</v>
      </c>
      <c r="K252" s="29">
        <v>0</v>
      </c>
      <c r="L252" s="56" t="s">
        <v>69</v>
      </c>
      <c r="M252" s="31">
        <v>2000</v>
      </c>
      <c r="N252" s="31">
        <v>10</v>
      </c>
      <c r="O252" s="31" t="s">
        <v>76</v>
      </c>
      <c r="P252" s="32" t="s">
        <v>28</v>
      </c>
      <c r="Q252" s="33" t="s">
        <v>665</v>
      </c>
      <c r="R252" s="33" t="s">
        <v>666</v>
      </c>
      <c r="S252" s="29">
        <v>100</v>
      </c>
      <c r="T252" s="31" t="s">
        <v>152</v>
      </c>
      <c r="U252" s="31" t="s">
        <v>667</v>
      </c>
      <c r="V252" s="31" t="s">
        <v>668</v>
      </c>
      <c r="W252" s="50">
        <v>45210</v>
      </c>
      <c r="X252" s="34">
        <v>100</v>
      </c>
      <c r="Y252" s="34">
        <v>2000</v>
      </c>
      <c r="Z252" s="34" t="s">
        <v>800</v>
      </c>
      <c r="AA252" s="34">
        <f t="shared" si="10"/>
        <v>0</v>
      </c>
      <c r="AB252" s="34">
        <f t="shared" si="11"/>
        <v>0</v>
      </c>
      <c r="AC252" s="25" t="s">
        <v>669</v>
      </c>
      <c r="AD252" s="25" t="s">
        <v>76</v>
      </c>
      <c r="AE252" s="25"/>
      <c r="AF252" s="25"/>
      <c r="AG252" s="25"/>
      <c r="AH252" s="35"/>
    </row>
    <row r="253" spans="1:34" ht="31.2">
      <c r="A253" s="23"/>
      <c r="B253" s="81"/>
      <c r="C253" s="25"/>
      <c r="D253" s="25"/>
      <c r="E253" s="25">
        <v>20</v>
      </c>
      <c r="F253" s="25">
        <v>100</v>
      </c>
      <c r="G253" s="26">
        <f t="shared" si="9"/>
        <v>2000</v>
      </c>
      <c r="H253" s="27" t="s">
        <v>146</v>
      </c>
      <c r="I253" s="28" t="s">
        <v>42</v>
      </c>
      <c r="J253" s="29">
        <v>100</v>
      </c>
      <c r="K253" s="29">
        <v>0</v>
      </c>
      <c r="L253" s="56" t="s">
        <v>69</v>
      </c>
      <c r="M253" s="31">
        <v>2000</v>
      </c>
      <c r="N253" s="31">
        <v>10</v>
      </c>
      <c r="O253" s="31" t="s">
        <v>76</v>
      </c>
      <c r="P253" s="32" t="s">
        <v>28</v>
      </c>
      <c r="Q253" s="33" t="s">
        <v>665</v>
      </c>
      <c r="R253" s="33" t="s">
        <v>666</v>
      </c>
      <c r="S253" s="29">
        <v>100</v>
      </c>
      <c r="T253" s="31" t="s">
        <v>152</v>
      </c>
      <c r="U253" s="31" t="s">
        <v>667</v>
      </c>
      <c r="V253" s="31" t="s">
        <v>668</v>
      </c>
      <c r="W253" s="50">
        <v>45212</v>
      </c>
      <c r="X253" s="34">
        <v>100</v>
      </c>
      <c r="Y253" s="34">
        <v>2000</v>
      </c>
      <c r="Z253" s="34" t="s">
        <v>800</v>
      </c>
      <c r="AA253" s="34">
        <f t="shared" si="10"/>
        <v>0</v>
      </c>
      <c r="AB253" s="34">
        <f t="shared" si="11"/>
        <v>0</v>
      </c>
      <c r="AC253" s="25" t="s">
        <v>669</v>
      </c>
      <c r="AD253" s="25" t="s">
        <v>76</v>
      </c>
      <c r="AE253" s="25"/>
      <c r="AF253" s="25"/>
      <c r="AG253" s="25"/>
      <c r="AH253" s="35"/>
    </row>
    <row r="254" spans="1:34" ht="31.2">
      <c r="A254" s="23" t="s">
        <v>352</v>
      </c>
      <c r="B254" s="81">
        <v>6000024089</v>
      </c>
      <c r="C254" s="25" t="s">
        <v>358</v>
      </c>
      <c r="D254" s="25">
        <v>6000024089</v>
      </c>
      <c r="E254" s="25">
        <v>10</v>
      </c>
      <c r="F254" s="25">
        <v>100</v>
      </c>
      <c r="G254" s="26">
        <f t="shared" si="9"/>
        <v>1000</v>
      </c>
      <c r="H254" s="27" t="s">
        <v>37</v>
      </c>
      <c r="I254" s="28" t="s">
        <v>42</v>
      </c>
      <c r="J254" s="29">
        <v>100</v>
      </c>
      <c r="K254" s="29">
        <v>1</v>
      </c>
      <c r="L254" s="56" t="s">
        <v>69</v>
      </c>
      <c r="M254" s="31">
        <v>1000</v>
      </c>
      <c r="N254" s="31">
        <v>5</v>
      </c>
      <c r="O254" s="31" t="s">
        <v>76</v>
      </c>
      <c r="P254" s="32" t="s">
        <v>28</v>
      </c>
      <c r="Q254" s="33" t="s">
        <v>670</v>
      </c>
      <c r="R254" s="33" t="s">
        <v>671</v>
      </c>
      <c r="S254" s="29">
        <v>100</v>
      </c>
      <c r="T254" s="31" t="s">
        <v>152</v>
      </c>
      <c r="U254" s="31" t="s">
        <v>672</v>
      </c>
      <c r="V254" s="31" t="s">
        <v>673</v>
      </c>
      <c r="W254" s="50">
        <v>45216</v>
      </c>
      <c r="X254" s="34">
        <v>100</v>
      </c>
      <c r="Y254" s="34">
        <v>1000</v>
      </c>
      <c r="Z254" s="34" t="s">
        <v>800</v>
      </c>
      <c r="AA254" s="34">
        <f t="shared" si="10"/>
        <v>0</v>
      </c>
      <c r="AB254" s="34">
        <f t="shared" si="11"/>
        <v>0</v>
      </c>
      <c r="AC254" s="25" t="s">
        <v>669</v>
      </c>
      <c r="AD254" s="25" t="s">
        <v>76</v>
      </c>
      <c r="AE254" s="25"/>
      <c r="AF254" s="25"/>
      <c r="AG254" s="25"/>
      <c r="AH254" s="35"/>
    </row>
    <row r="255" spans="1:34" ht="31.2">
      <c r="A255" s="23"/>
      <c r="B255" s="81"/>
      <c r="C255" s="25"/>
      <c r="D255" s="25"/>
      <c r="E255" s="25">
        <v>10</v>
      </c>
      <c r="F255" s="25">
        <v>100</v>
      </c>
      <c r="G255" s="26">
        <f t="shared" si="9"/>
        <v>1000</v>
      </c>
      <c r="H255" s="27" t="s">
        <v>146</v>
      </c>
      <c r="I255" s="28" t="s">
        <v>42</v>
      </c>
      <c r="J255" s="29">
        <v>100</v>
      </c>
      <c r="K255" s="29">
        <v>5</v>
      </c>
      <c r="L255" s="56" t="s">
        <v>69</v>
      </c>
      <c r="M255" s="31">
        <v>1000</v>
      </c>
      <c r="N255" s="31">
        <v>5</v>
      </c>
      <c r="O255" s="31" t="s">
        <v>76</v>
      </c>
      <c r="P255" s="32" t="s">
        <v>28</v>
      </c>
      <c r="Q255" s="33" t="s">
        <v>670</v>
      </c>
      <c r="R255" s="33" t="s">
        <v>671</v>
      </c>
      <c r="S255" s="29">
        <v>100</v>
      </c>
      <c r="T255" s="31" t="s">
        <v>152</v>
      </c>
      <c r="U255" s="31" t="s">
        <v>672</v>
      </c>
      <c r="V255" s="31" t="s">
        <v>673</v>
      </c>
      <c r="W255" s="50">
        <v>45216</v>
      </c>
      <c r="X255" s="34">
        <v>100</v>
      </c>
      <c r="Y255" s="34">
        <v>1000</v>
      </c>
      <c r="Z255" s="34" t="s">
        <v>800</v>
      </c>
      <c r="AA255" s="34">
        <f t="shared" si="10"/>
        <v>0</v>
      </c>
      <c r="AB255" s="34">
        <f t="shared" si="11"/>
        <v>0</v>
      </c>
      <c r="AC255" s="25" t="s">
        <v>669</v>
      </c>
      <c r="AD255" s="25" t="s">
        <v>76</v>
      </c>
      <c r="AE255" s="25"/>
      <c r="AF255" s="25"/>
      <c r="AG255" s="25"/>
      <c r="AH255" s="35"/>
    </row>
    <row r="256" spans="1:34" ht="31.2">
      <c r="A256" s="23" t="s">
        <v>352</v>
      </c>
      <c r="B256" s="81">
        <v>6000024089</v>
      </c>
      <c r="C256" s="25" t="s">
        <v>363</v>
      </c>
      <c r="D256" s="25">
        <v>6000024089</v>
      </c>
      <c r="E256" s="25">
        <v>10</v>
      </c>
      <c r="F256" s="25">
        <v>100</v>
      </c>
      <c r="G256" s="26">
        <f t="shared" si="9"/>
        <v>1000</v>
      </c>
      <c r="H256" s="27" t="s">
        <v>27</v>
      </c>
      <c r="I256" s="28" t="s">
        <v>912</v>
      </c>
      <c r="J256" s="29">
        <v>100</v>
      </c>
      <c r="K256" s="29">
        <v>7</v>
      </c>
      <c r="L256" s="56" t="s">
        <v>912</v>
      </c>
      <c r="M256" s="31">
        <v>1000</v>
      </c>
      <c r="N256" s="31">
        <v>18</v>
      </c>
      <c r="O256" s="31" t="s">
        <v>916</v>
      </c>
      <c r="P256" s="32" t="s">
        <v>28</v>
      </c>
      <c r="Q256" s="33" t="s">
        <v>1036</v>
      </c>
      <c r="R256" s="33" t="s">
        <v>1037</v>
      </c>
      <c r="S256" s="29">
        <v>100</v>
      </c>
      <c r="T256" s="31" t="s">
        <v>1558</v>
      </c>
      <c r="U256" s="31" t="s">
        <v>1038</v>
      </c>
      <c r="V256" s="31" t="s">
        <v>1039</v>
      </c>
      <c r="W256" s="50">
        <v>45209</v>
      </c>
      <c r="X256" s="34">
        <v>100</v>
      </c>
      <c r="Y256" s="34">
        <v>1000</v>
      </c>
      <c r="Z256" s="34" t="s">
        <v>1747</v>
      </c>
      <c r="AA256" s="34">
        <f t="shared" si="10"/>
        <v>0</v>
      </c>
      <c r="AB256" s="34">
        <f t="shared" si="11"/>
        <v>0</v>
      </c>
      <c r="AC256" s="25" t="s">
        <v>669</v>
      </c>
      <c r="AD256" s="25"/>
      <c r="AE256" s="25"/>
      <c r="AF256" s="25"/>
      <c r="AG256" s="25"/>
      <c r="AH256" s="35"/>
    </row>
    <row r="257" spans="1:34" ht="31.2">
      <c r="A257" s="23"/>
      <c r="B257" s="81"/>
      <c r="C257" s="25"/>
      <c r="D257" s="25"/>
      <c r="E257" s="25">
        <v>10</v>
      </c>
      <c r="F257" s="25">
        <v>150</v>
      </c>
      <c r="G257" s="26">
        <f t="shared" si="9"/>
        <v>1500</v>
      </c>
      <c r="H257" s="27" t="s">
        <v>37</v>
      </c>
      <c r="I257" s="28" t="s">
        <v>912</v>
      </c>
      <c r="J257" s="29">
        <v>150</v>
      </c>
      <c r="K257" s="29">
        <v>10</v>
      </c>
      <c r="L257" s="56" t="s">
        <v>912</v>
      </c>
      <c r="M257" s="31">
        <v>1500</v>
      </c>
      <c r="N257" s="31">
        <v>23</v>
      </c>
      <c r="O257" s="31" t="s">
        <v>893</v>
      </c>
      <c r="P257" s="32" t="s">
        <v>28</v>
      </c>
      <c r="Q257" s="33" t="s">
        <v>1036</v>
      </c>
      <c r="R257" s="33" t="s">
        <v>1037</v>
      </c>
      <c r="S257" s="29">
        <v>150</v>
      </c>
      <c r="T257" s="31" t="s">
        <v>1558</v>
      </c>
      <c r="U257" s="31" t="s">
        <v>1038</v>
      </c>
      <c r="V257" s="31" t="s">
        <v>1039</v>
      </c>
      <c r="W257" s="50">
        <v>45225</v>
      </c>
      <c r="X257" s="34">
        <v>150</v>
      </c>
      <c r="Y257" s="34">
        <v>1500</v>
      </c>
      <c r="Z257" s="34" t="s">
        <v>800</v>
      </c>
      <c r="AA257" s="34">
        <f t="shared" si="10"/>
        <v>0</v>
      </c>
      <c r="AB257" s="34">
        <f t="shared" si="11"/>
        <v>0</v>
      </c>
      <c r="AC257" s="25" t="s">
        <v>669</v>
      </c>
      <c r="AD257" s="25"/>
      <c r="AE257" s="25"/>
      <c r="AF257" s="25"/>
      <c r="AG257" s="25"/>
      <c r="AH257" s="35"/>
    </row>
    <row r="258" spans="1:34" ht="31.2">
      <c r="A258" s="23" t="s">
        <v>352</v>
      </c>
      <c r="B258" s="81">
        <v>6000024089</v>
      </c>
      <c r="C258" s="25" t="s">
        <v>364</v>
      </c>
      <c r="D258" s="25">
        <v>6000024089</v>
      </c>
      <c r="E258" s="25">
        <v>10</v>
      </c>
      <c r="F258" s="25">
        <v>210</v>
      </c>
      <c r="G258" s="26">
        <f t="shared" si="9"/>
        <v>2100</v>
      </c>
      <c r="H258" s="27" t="s">
        <v>365</v>
      </c>
      <c r="I258" s="28" t="s">
        <v>912</v>
      </c>
      <c r="J258" s="29">
        <v>210</v>
      </c>
      <c r="K258" s="29">
        <v>8</v>
      </c>
      <c r="L258" s="56" t="s">
        <v>912</v>
      </c>
      <c r="M258" s="31">
        <v>2100</v>
      </c>
      <c r="N258" s="31">
        <v>29</v>
      </c>
      <c r="O258" s="31" t="s">
        <v>917</v>
      </c>
      <c r="P258" s="32" t="s">
        <v>28</v>
      </c>
      <c r="Q258" s="33" t="s">
        <v>1040</v>
      </c>
      <c r="R258" s="33" t="s">
        <v>1041</v>
      </c>
      <c r="S258" s="29">
        <v>210</v>
      </c>
      <c r="T258" s="31" t="s">
        <v>1558</v>
      </c>
      <c r="U258" s="31" t="s">
        <v>1042</v>
      </c>
      <c r="V258" s="31" t="s">
        <v>1043</v>
      </c>
      <c r="W258" s="50">
        <v>45229</v>
      </c>
      <c r="X258" s="34">
        <v>210</v>
      </c>
      <c r="Y258" s="34">
        <v>2100</v>
      </c>
      <c r="Z258" s="34" t="s">
        <v>800</v>
      </c>
      <c r="AA258" s="34">
        <f t="shared" si="10"/>
        <v>0</v>
      </c>
      <c r="AB258" s="34">
        <f t="shared" si="11"/>
        <v>0</v>
      </c>
      <c r="AC258" s="25" t="s">
        <v>669</v>
      </c>
      <c r="AD258" s="25"/>
      <c r="AE258" s="25"/>
      <c r="AF258" s="25"/>
      <c r="AG258" s="25"/>
      <c r="AH258" s="35"/>
    </row>
    <row r="259" spans="1:34" ht="31.2">
      <c r="A259" s="23" t="s">
        <v>352</v>
      </c>
      <c r="B259" s="81">
        <v>6000024089</v>
      </c>
      <c r="C259" s="25" t="s">
        <v>366</v>
      </c>
      <c r="D259" s="25">
        <v>6000024089</v>
      </c>
      <c r="E259" s="25">
        <v>10</v>
      </c>
      <c r="F259" s="25">
        <v>100</v>
      </c>
      <c r="G259" s="26">
        <f t="shared" si="9"/>
        <v>1000</v>
      </c>
      <c r="H259" s="27" t="s">
        <v>27</v>
      </c>
      <c r="I259" s="28" t="s">
        <v>42</v>
      </c>
      <c r="J259" s="29">
        <v>100</v>
      </c>
      <c r="K259" s="29">
        <v>6</v>
      </c>
      <c r="L259" s="56" t="s">
        <v>799</v>
      </c>
      <c r="M259" s="31">
        <v>1000</v>
      </c>
      <c r="N259" s="31">
        <v>10</v>
      </c>
      <c r="O259" s="31" t="s">
        <v>812</v>
      </c>
      <c r="P259" s="32" t="s">
        <v>28</v>
      </c>
      <c r="Q259" s="33" t="s">
        <v>674</v>
      </c>
      <c r="R259" s="33" t="s">
        <v>675</v>
      </c>
      <c r="S259" s="29">
        <v>100</v>
      </c>
      <c r="T259" s="31" t="s">
        <v>1558</v>
      </c>
      <c r="U259" s="31" t="s">
        <v>1044</v>
      </c>
      <c r="V259" s="31" t="s">
        <v>1045</v>
      </c>
      <c r="W259" s="50">
        <v>45210</v>
      </c>
      <c r="X259" s="34">
        <v>100</v>
      </c>
      <c r="Y259" s="34">
        <v>1000</v>
      </c>
      <c r="Z259" s="34" t="s">
        <v>1748</v>
      </c>
      <c r="AA259" s="34">
        <f t="shared" si="10"/>
        <v>0</v>
      </c>
      <c r="AB259" s="34">
        <f t="shared" si="11"/>
        <v>0</v>
      </c>
      <c r="AC259" s="25" t="s">
        <v>669</v>
      </c>
      <c r="AD259" s="25"/>
      <c r="AE259" s="25"/>
      <c r="AF259" s="25"/>
      <c r="AG259" s="25"/>
      <c r="AH259" s="35"/>
    </row>
    <row r="260" spans="1:34" ht="31.2">
      <c r="A260" s="23"/>
      <c r="B260" s="81"/>
      <c r="C260" s="25"/>
      <c r="D260" s="25"/>
      <c r="E260" s="25">
        <v>10</v>
      </c>
      <c r="F260" s="25">
        <v>100</v>
      </c>
      <c r="G260" s="26">
        <f t="shared" si="9"/>
        <v>1000</v>
      </c>
      <c r="H260" s="27" t="s">
        <v>46</v>
      </c>
      <c r="I260" s="28" t="s">
        <v>42</v>
      </c>
      <c r="J260" s="29">
        <v>100</v>
      </c>
      <c r="K260" s="29">
        <v>7</v>
      </c>
      <c r="L260" s="56" t="s">
        <v>799</v>
      </c>
      <c r="M260" s="31">
        <v>1000</v>
      </c>
      <c r="N260" s="31">
        <v>10</v>
      </c>
      <c r="O260" s="31" t="s">
        <v>735</v>
      </c>
      <c r="P260" s="32" t="s">
        <v>28</v>
      </c>
      <c r="Q260" s="33" t="s">
        <v>674</v>
      </c>
      <c r="R260" s="33" t="s">
        <v>675</v>
      </c>
      <c r="S260" s="29">
        <v>100</v>
      </c>
      <c r="T260" s="31" t="s">
        <v>1558</v>
      </c>
      <c r="U260" s="31" t="s">
        <v>1044</v>
      </c>
      <c r="V260" s="31" t="s">
        <v>1045</v>
      </c>
      <c r="W260" s="50">
        <v>45227</v>
      </c>
      <c r="X260" s="34">
        <v>100</v>
      </c>
      <c r="Y260" s="34">
        <v>1000</v>
      </c>
      <c r="Z260" s="34" t="s">
        <v>800</v>
      </c>
      <c r="AA260" s="34">
        <f t="shared" si="10"/>
        <v>0</v>
      </c>
      <c r="AB260" s="34">
        <f t="shared" si="11"/>
        <v>0</v>
      </c>
      <c r="AC260" s="25" t="s">
        <v>669</v>
      </c>
      <c r="AD260" s="25"/>
      <c r="AE260" s="25"/>
      <c r="AF260" s="25"/>
      <c r="AG260" s="25"/>
      <c r="AH260" s="35"/>
    </row>
    <row r="261" spans="1:34" ht="31.2">
      <c r="A261" s="23" t="s">
        <v>352</v>
      </c>
      <c r="B261" s="81">
        <v>6000024089</v>
      </c>
      <c r="C261" s="25" t="s">
        <v>369</v>
      </c>
      <c r="D261" s="25">
        <v>6000024089</v>
      </c>
      <c r="E261" s="25">
        <v>10</v>
      </c>
      <c r="F261" s="25">
        <v>351</v>
      </c>
      <c r="G261" s="26">
        <f t="shared" si="9"/>
        <v>3510</v>
      </c>
      <c r="H261" s="27" t="s">
        <v>37</v>
      </c>
      <c r="I261" s="28" t="s">
        <v>42</v>
      </c>
      <c r="J261" s="29">
        <v>351</v>
      </c>
      <c r="K261" s="29">
        <v>8</v>
      </c>
      <c r="L261" s="56" t="s">
        <v>732</v>
      </c>
      <c r="M261" s="31">
        <v>3510</v>
      </c>
      <c r="N261" s="31">
        <v>35</v>
      </c>
      <c r="O261" s="31" t="s">
        <v>733</v>
      </c>
      <c r="P261" s="32" t="s">
        <v>28</v>
      </c>
      <c r="Q261" s="33" t="s">
        <v>676</v>
      </c>
      <c r="R261" s="33" t="s">
        <v>677</v>
      </c>
      <c r="S261" s="29">
        <v>351</v>
      </c>
      <c r="T261" s="31" t="s">
        <v>1558</v>
      </c>
      <c r="U261" s="31" t="s">
        <v>1046</v>
      </c>
      <c r="V261" s="31" t="s">
        <v>1047</v>
      </c>
      <c r="W261" s="50">
        <v>45227</v>
      </c>
      <c r="X261" s="34">
        <v>351</v>
      </c>
      <c r="Y261" s="34">
        <v>3510</v>
      </c>
      <c r="Z261" s="34" t="s">
        <v>800</v>
      </c>
      <c r="AA261" s="34">
        <f t="shared" si="10"/>
        <v>0</v>
      </c>
      <c r="AB261" s="34">
        <f t="shared" si="11"/>
        <v>0</v>
      </c>
      <c r="AC261" s="25" t="s">
        <v>669</v>
      </c>
      <c r="AD261" s="25"/>
      <c r="AE261" s="25"/>
      <c r="AF261" s="25"/>
      <c r="AG261" s="25"/>
      <c r="AH261" s="35"/>
    </row>
    <row r="262" spans="1:34" ht="31.2">
      <c r="A262" s="23"/>
      <c r="B262" s="81"/>
      <c r="C262" s="25"/>
      <c r="D262" s="25"/>
      <c r="E262" s="25">
        <v>10</v>
      </c>
      <c r="F262" s="25">
        <v>260</v>
      </c>
      <c r="G262" s="26">
        <f t="shared" si="9"/>
        <v>2600</v>
      </c>
      <c r="H262" s="27" t="s">
        <v>146</v>
      </c>
      <c r="I262" s="28" t="s">
        <v>42</v>
      </c>
      <c r="J262" s="29">
        <v>260</v>
      </c>
      <c r="K262" s="29">
        <v>8</v>
      </c>
      <c r="L262" s="56" t="s">
        <v>732</v>
      </c>
      <c r="M262" s="31">
        <v>2600</v>
      </c>
      <c r="N262" s="31">
        <v>26</v>
      </c>
      <c r="O262" s="31" t="s">
        <v>734</v>
      </c>
      <c r="P262" s="32" t="s">
        <v>28</v>
      </c>
      <c r="Q262" s="33" t="s">
        <v>676</v>
      </c>
      <c r="R262" s="33" t="s">
        <v>677</v>
      </c>
      <c r="S262" s="29">
        <v>260</v>
      </c>
      <c r="T262" s="31" t="s">
        <v>1558</v>
      </c>
      <c r="U262" s="31" t="s">
        <v>1046</v>
      </c>
      <c r="V262" s="31" t="s">
        <v>1047</v>
      </c>
      <c r="W262" s="50">
        <v>45226</v>
      </c>
      <c r="X262" s="34">
        <v>260</v>
      </c>
      <c r="Y262" s="34">
        <v>2600</v>
      </c>
      <c r="Z262" s="34" t="s">
        <v>800</v>
      </c>
      <c r="AA262" s="34">
        <f t="shared" si="10"/>
        <v>0</v>
      </c>
      <c r="AB262" s="34">
        <f t="shared" si="11"/>
        <v>0</v>
      </c>
      <c r="AC262" s="25" t="s">
        <v>669</v>
      </c>
      <c r="AD262" s="25"/>
      <c r="AE262" s="25"/>
      <c r="AF262" s="25"/>
      <c r="AG262" s="25"/>
      <c r="AH262" s="35"/>
    </row>
    <row r="263" spans="1:34" ht="31.2">
      <c r="A263" s="23"/>
      <c r="B263" s="81"/>
      <c r="C263" s="25"/>
      <c r="D263" s="25"/>
      <c r="E263" s="25">
        <v>10</v>
      </c>
      <c r="F263" s="25">
        <v>200</v>
      </c>
      <c r="G263" s="26">
        <f t="shared" si="9"/>
        <v>2000</v>
      </c>
      <c r="H263" s="27" t="s">
        <v>365</v>
      </c>
      <c r="I263" s="28" t="s">
        <v>42</v>
      </c>
      <c r="J263" s="29">
        <v>200</v>
      </c>
      <c r="K263" s="29">
        <v>10</v>
      </c>
      <c r="L263" s="56" t="s">
        <v>732</v>
      </c>
      <c r="M263" s="31">
        <v>2000</v>
      </c>
      <c r="N263" s="31">
        <v>20</v>
      </c>
      <c r="O263" s="31" t="s">
        <v>735</v>
      </c>
      <c r="P263" s="32" t="s">
        <v>28</v>
      </c>
      <c r="Q263" s="33" t="s">
        <v>676</v>
      </c>
      <c r="R263" s="33" t="s">
        <v>677</v>
      </c>
      <c r="S263" s="29">
        <v>200</v>
      </c>
      <c r="T263" s="31" t="s">
        <v>1558</v>
      </c>
      <c r="U263" s="31" t="s">
        <v>1046</v>
      </c>
      <c r="V263" s="31" t="s">
        <v>1047</v>
      </c>
      <c r="W263" s="50">
        <v>45229</v>
      </c>
      <c r="X263" s="34">
        <v>200</v>
      </c>
      <c r="Y263" s="34">
        <v>2000</v>
      </c>
      <c r="Z263" s="34" t="s">
        <v>800</v>
      </c>
      <c r="AA263" s="34">
        <f t="shared" si="10"/>
        <v>0</v>
      </c>
      <c r="AB263" s="34">
        <f t="shared" si="11"/>
        <v>0</v>
      </c>
      <c r="AC263" s="25" t="s">
        <v>669</v>
      </c>
      <c r="AD263" s="25"/>
      <c r="AE263" s="25"/>
      <c r="AF263" s="25"/>
      <c r="AG263" s="25"/>
      <c r="AH263" s="35"/>
    </row>
    <row r="264" spans="1:34" ht="15.6">
      <c r="A264" s="23" t="s">
        <v>635</v>
      </c>
      <c r="B264" s="81">
        <v>6000024137</v>
      </c>
      <c r="C264" s="25" t="s">
        <v>636</v>
      </c>
      <c r="D264" s="25" t="s">
        <v>678</v>
      </c>
      <c r="E264" s="25">
        <v>10</v>
      </c>
      <c r="F264" s="25">
        <v>1248</v>
      </c>
      <c r="G264" s="26">
        <f t="shared" si="9"/>
        <v>12480</v>
      </c>
      <c r="H264" s="27" t="s">
        <v>46</v>
      </c>
      <c r="I264" s="28" t="s">
        <v>679</v>
      </c>
      <c r="J264" s="29">
        <v>1248</v>
      </c>
      <c r="K264" s="29">
        <v>18</v>
      </c>
      <c r="L264" s="56" t="s">
        <v>818</v>
      </c>
      <c r="M264" s="31">
        <v>12480</v>
      </c>
      <c r="N264" s="31">
        <v>125</v>
      </c>
      <c r="O264" s="31" t="s">
        <v>797</v>
      </c>
      <c r="P264" s="32" t="s">
        <v>160</v>
      </c>
      <c r="Q264" s="33" t="s">
        <v>680</v>
      </c>
      <c r="R264" s="33" t="s">
        <v>681</v>
      </c>
      <c r="S264" s="29">
        <v>1248</v>
      </c>
      <c r="T264" s="31" t="s">
        <v>87</v>
      </c>
      <c r="U264" s="31" t="s">
        <v>1048</v>
      </c>
      <c r="V264" s="31" t="s">
        <v>1049</v>
      </c>
      <c r="W264" s="50">
        <v>45177</v>
      </c>
      <c r="X264" s="34">
        <v>1248</v>
      </c>
      <c r="Y264" s="34">
        <v>12480</v>
      </c>
      <c r="Z264" s="34" t="s">
        <v>758</v>
      </c>
      <c r="AA264" s="34">
        <f t="shared" si="10"/>
        <v>0</v>
      </c>
      <c r="AB264" s="34">
        <f t="shared" si="11"/>
        <v>0</v>
      </c>
      <c r="AC264" s="25" t="s">
        <v>689</v>
      </c>
      <c r="AD264" s="25"/>
      <c r="AE264" s="25"/>
      <c r="AF264" s="25"/>
      <c r="AG264" s="25"/>
      <c r="AH264" s="35"/>
    </row>
    <row r="265" spans="1:34" ht="32.25" customHeight="1">
      <c r="A265" s="23"/>
      <c r="B265" s="81"/>
      <c r="C265" s="25"/>
      <c r="D265" s="25"/>
      <c r="E265" s="25">
        <v>10</v>
      </c>
      <c r="F265" s="25">
        <v>1536</v>
      </c>
      <c r="G265" s="26">
        <f t="shared" si="9"/>
        <v>15360</v>
      </c>
      <c r="H265" s="27" t="s">
        <v>37</v>
      </c>
      <c r="I265" s="28" t="s">
        <v>679</v>
      </c>
      <c r="J265" s="29">
        <v>1536</v>
      </c>
      <c r="K265" s="29">
        <v>18</v>
      </c>
      <c r="L265" s="56" t="s">
        <v>1050</v>
      </c>
      <c r="M265" s="31">
        <v>15360</v>
      </c>
      <c r="N265" s="31">
        <v>154</v>
      </c>
      <c r="O265" s="31" t="s">
        <v>1051</v>
      </c>
      <c r="P265" s="32" t="s">
        <v>160</v>
      </c>
      <c r="Q265" s="33" t="s">
        <v>680</v>
      </c>
      <c r="R265" s="33" t="s">
        <v>681</v>
      </c>
      <c r="S265" s="29">
        <v>1536</v>
      </c>
      <c r="T265" s="31" t="s">
        <v>87</v>
      </c>
      <c r="U265" s="31" t="s">
        <v>1048</v>
      </c>
      <c r="V265" s="31" t="s">
        <v>1049</v>
      </c>
      <c r="W265" s="50">
        <v>45178</v>
      </c>
      <c r="X265" s="34">
        <v>1536</v>
      </c>
      <c r="Y265" s="34">
        <v>15360</v>
      </c>
      <c r="Z265" s="34" t="s">
        <v>801</v>
      </c>
      <c r="AA265" s="34">
        <f t="shared" si="10"/>
        <v>0</v>
      </c>
      <c r="AB265" s="34">
        <f t="shared" si="11"/>
        <v>0</v>
      </c>
      <c r="AC265" s="25" t="s">
        <v>689</v>
      </c>
      <c r="AD265" s="25" t="s">
        <v>1667</v>
      </c>
      <c r="AE265" s="25"/>
      <c r="AF265" s="25"/>
      <c r="AG265" s="25"/>
      <c r="AH265" s="35"/>
    </row>
    <row r="266" spans="1:34" ht="26.25" customHeight="1">
      <c r="A266" s="23"/>
      <c r="B266" s="81"/>
      <c r="C266" s="25"/>
      <c r="D266" s="25"/>
      <c r="E266" s="25">
        <v>10</v>
      </c>
      <c r="F266" s="25">
        <v>1176</v>
      </c>
      <c r="G266" s="26">
        <f t="shared" ref="G266:G329" si="12">F266*E266</f>
        <v>11760</v>
      </c>
      <c r="H266" s="27" t="s">
        <v>146</v>
      </c>
      <c r="I266" s="28" t="s">
        <v>679</v>
      </c>
      <c r="J266" s="29">
        <v>1176</v>
      </c>
      <c r="K266" s="29">
        <v>13</v>
      </c>
      <c r="L266" s="56" t="s">
        <v>820</v>
      </c>
      <c r="M266" s="31">
        <v>11760</v>
      </c>
      <c r="N266" s="31">
        <v>118</v>
      </c>
      <c r="O266" s="31" t="s">
        <v>741</v>
      </c>
      <c r="P266" s="32" t="s">
        <v>160</v>
      </c>
      <c r="Q266" s="33" t="s">
        <v>680</v>
      </c>
      <c r="R266" s="33" t="s">
        <v>682</v>
      </c>
      <c r="S266" s="29">
        <v>1176</v>
      </c>
      <c r="T266" s="31" t="s">
        <v>76</v>
      </c>
      <c r="U266" s="31" t="s">
        <v>1048</v>
      </c>
      <c r="V266" s="31" t="s">
        <v>1052</v>
      </c>
      <c r="W266" s="50">
        <v>45177</v>
      </c>
      <c r="X266" s="34">
        <v>1176</v>
      </c>
      <c r="Y266" s="34">
        <v>11760</v>
      </c>
      <c r="Z266" s="34" t="s">
        <v>729</v>
      </c>
      <c r="AA266" s="34">
        <f t="shared" si="10"/>
        <v>0</v>
      </c>
      <c r="AB266" s="34">
        <f t="shared" si="11"/>
        <v>0</v>
      </c>
      <c r="AC266" s="25" t="s">
        <v>689</v>
      </c>
      <c r="AD266" s="25"/>
      <c r="AE266" s="25"/>
      <c r="AF266" s="25"/>
      <c r="AG266" s="25"/>
      <c r="AH266" s="35"/>
    </row>
    <row r="267" spans="1:34" ht="28.5" customHeight="1">
      <c r="A267" s="23" t="s">
        <v>635</v>
      </c>
      <c r="B267" s="81">
        <v>6000024138</v>
      </c>
      <c r="C267" s="25" t="s">
        <v>636</v>
      </c>
      <c r="D267" s="25" t="s">
        <v>683</v>
      </c>
      <c r="E267" s="25">
        <v>10</v>
      </c>
      <c r="F267" s="25">
        <v>864</v>
      </c>
      <c r="G267" s="26">
        <f t="shared" si="12"/>
        <v>8640</v>
      </c>
      <c r="H267" s="27" t="s">
        <v>46</v>
      </c>
      <c r="I267" s="28" t="s">
        <v>679</v>
      </c>
      <c r="J267" s="29">
        <v>864</v>
      </c>
      <c r="K267" s="29">
        <v>16</v>
      </c>
      <c r="L267" s="56" t="s">
        <v>836</v>
      </c>
      <c r="M267" s="31">
        <v>8640</v>
      </c>
      <c r="N267" s="31">
        <v>86</v>
      </c>
      <c r="O267" s="31" t="s">
        <v>76</v>
      </c>
      <c r="P267" s="32" t="s">
        <v>160</v>
      </c>
      <c r="Q267" s="33" t="s">
        <v>684</v>
      </c>
      <c r="R267" s="33" t="s">
        <v>685</v>
      </c>
      <c r="S267" s="29">
        <v>864</v>
      </c>
      <c r="T267" s="31" t="s">
        <v>87</v>
      </c>
      <c r="U267" s="31" t="s">
        <v>1053</v>
      </c>
      <c r="V267" s="31" t="s">
        <v>1054</v>
      </c>
      <c r="W267" s="50">
        <v>45178</v>
      </c>
      <c r="X267" s="34">
        <v>864</v>
      </c>
      <c r="Y267" s="34">
        <v>8640</v>
      </c>
      <c r="Z267" s="34" t="s">
        <v>758</v>
      </c>
      <c r="AA267" s="34">
        <f t="shared" ref="AA267:AA331" si="13">J267-X267</f>
        <v>0</v>
      </c>
      <c r="AB267" s="34">
        <f t="shared" ref="AB267:AB331" si="14">M267-Y267</f>
        <v>0</v>
      </c>
      <c r="AC267" s="25" t="s">
        <v>689</v>
      </c>
      <c r="AD267" s="25"/>
      <c r="AE267" s="25"/>
      <c r="AF267" s="25"/>
      <c r="AG267" s="25"/>
      <c r="AH267" s="35"/>
    </row>
    <row r="268" spans="1:34" ht="28.5" customHeight="1">
      <c r="A268" s="23"/>
      <c r="B268" s="81"/>
      <c r="C268" s="25"/>
      <c r="D268" s="25"/>
      <c r="E268" s="25">
        <v>10</v>
      </c>
      <c r="F268" s="25">
        <v>1632</v>
      </c>
      <c r="G268" s="26">
        <f t="shared" si="12"/>
        <v>16320</v>
      </c>
      <c r="H268" s="27" t="s">
        <v>37</v>
      </c>
      <c r="I268" s="28" t="s">
        <v>679</v>
      </c>
      <c r="J268" s="29">
        <v>1632</v>
      </c>
      <c r="K268" s="29">
        <v>19</v>
      </c>
      <c r="L268" s="56" t="s">
        <v>818</v>
      </c>
      <c r="M268" s="31">
        <v>16320</v>
      </c>
      <c r="N268" s="31">
        <v>163</v>
      </c>
      <c r="O268" s="31" t="s">
        <v>797</v>
      </c>
      <c r="P268" s="32" t="s">
        <v>160</v>
      </c>
      <c r="Q268" s="33" t="s">
        <v>684</v>
      </c>
      <c r="R268" s="33" t="s">
        <v>686</v>
      </c>
      <c r="S268" s="29">
        <v>1632</v>
      </c>
      <c r="T268" s="31" t="s">
        <v>87</v>
      </c>
      <c r="U268" s="31" t="s">
        <v>1053</v>
      </c>
      <c r="V268" s="31" t="s">
        <v>1055</v>
      </c>
      <c r="W268" s="50">
        <v>45184</v>
      </c>
      <c r="X268" s="34">
        <v>1632</v>
      </c>
      <c r="Y268" s="34">
        <v>16320</v>
      </c>
      <c r="Z268" s="34" t="s">
        <v>1586</v>
      </c>
      <c r="AA268" s="34">
        <f t="shared" si="13"/>
        <v>0</v>
      </c>
      <c r="AB268" s="34">
        <f t="shared" si="14"/>
        <v>0</v>
      </c>
      <c r="AC268" s="25" t="s">
        <v>689</v>
      </c>
      <c r="AD268" s="25"/>
      <c r="AE268" s="25"/>
      <c r="AF268" s="25"/>
      <c r="AG268" s="25"/>
      <c r="AH268" s="35"/>
    </row>
    <row r="269" spans="1:34" ht="28.5" customHeight="1">
      <c r="A269" s="23"/>
      <c r="B269" s="81"/>
      <c r="C269" s="25"/>
      <c r="D269" s="25"/>
      <c r="E269" s="25">
        <v>10</v>
      </c>
      <c r="F269" s="25">
        <v>1464</v>
      </c>
      <c r="G269" s="26">
        <f t="shared" si="12"/>
        <v>14640</v>
      </c>
      <c r="H269" s="27" t="s">
        <v>146</v>
      </c>
      <c r="I269" s="28" t="s">
        <v>679</v>
      </c>
      <c r="J269" s="29">
        <v>1464</v>
      </c>
      <c r="K269" s="29">
        <v>20</v>
      </c>
      <c r="L269" s="56" t="s">
        <v>820</v>
      </c>
      <c r="M269" s="31">
        <v>14640</v>
      </c>
      <c r="N269" s="31">
        <v>146</v>
      </c>
      <c r="O269" s="31" t="s">
        <v>797</v>
      </c>
      <c r="P269" s="32" t="s">
        <v>160</v>
      </c>
      <c r="Q269" s="33" t="s">
        <v>684</v>
      </c>
      <c r="R269" s="33" t="s">
        <v>685</v>
      </c>
      <c r="S269" s="29">
        <v>1464</v>
      </c>
      <c r="T269" s="31" t="s">
        <v>87</v>
      </c>
      <c r="U269" s="31" t="s">
        <v>1053</v>
      </c>
      <c r="V269" s="31" t="s">
        <v>1056</v>
      </c>
      <c r="W269" s="50">
        <v>45184</v>
      </c>
      <c r="X269" s="34">
        <v>1464</v>
      </c>
      <c r="Y269" s="34">
        <v>14640</v>
      </c>
      <c r="Z269" s="34" t="s">
        <v>729</v>
      </c>
      <c r="AA269" s="34">
        <f t="shared" si="13"/>
        <v>0</v>
      </c>
      <c r="AB269" s="34">
        <f t="shared" si="14"/>
        <v>0</v>
      </c>
      <c r="AC269" s="25" t="s">
        <v>689</v>
      </c>
      <c r="AD269" s="25"/>
      <c r="AE269" s="25"/>
      <c r="AF269" s="25"/>
      <c r="AG269" s="25"/>
      <c r="AH269" s="35"/>
    </row>
    <row r="270" spans="1:34" ht="15.6">
      <c r="A270" s="23" t="s">
        <v>692</v>
      </c>
      <c r="B270" s="81">
        <v>6000022688</v>
      </c>
      <c r="C270" s="25" t="s">
        <v>693</v>
      </c>
      <c r="D270" s="25"/>
      <c r="E270" s="25">
        <v>10</v>
      </c>
      <c r="F270" s="25">
        <v>700</v>
      </c>
      <c r="G270" s="26">
        <f t="shared" si="12"/>
        <v>7000</v>
      </c>
      <c r="H270" s="27" t="s">
        <v>27</v>
      </c>
      <c r="I270" s="28"/>
      <c r="J270" s="29">
        <v>586</v>
      </c>
      <c r="K270" s="29"/>
      <c r="L270" s="56"/>
      <c r="M270" s="31">
        <v>5860</v>
      </c>
      <c r="N270" s="31"/>
      <c r="O270" s="31"/>
      <c r="P270" s="32"/>
      <c r="Q270" s="33"/>
      <c r="R270" s="33"/>
      <c r="S270" s="29">
        <v>586</v>
      </c>
      <c r="T270" s="31"/>
      <c r="U270" s="31"/>
      <c r="V270" s="31"/>
      <c r="W270" s="50">
        <v>45199</v>
      </c>
      <c r="X270" s="34">
        <v>586</v>
      </c>
      <c r="Y270" s="34">
        <v>5860</v>
      </c>
      <c r="Z270" s="34" t="s">
        <v>800</v>
      </c>
      <c r="AA270" s="34">
        <f t="shared" si="13"/>
        <v>0</v>
      </c>
      <c r="AB270" s="34">
        <f t="shared" si="14"/>
        <v>0</v>
      </c>
      <c r="AC270" s="25" t="s">
        <v>285</v>
      </c>
      <c r="AD270" s="25" t="s">
        <v>1428</v>
      </c>
      <c r="AE270" s="25"/>
      <c r="AF270" s="25"/>
      <c r="AG270" s="25"/>
      <c r="AH270" s="35"/>
    </row>
    <row r="271" spans="1:34" ht="15.6">
      <c r="A271" s="23"/>
      <c r="B271" s="81"/>
      <c r="C271" s="25"/>
      <c r="D271" s="25">
        <v>0</v>
      </c>
      <c r="E271" s="25">
        <v>10</v>
      </c>
      <c r="F271" s="25">
        <v>800</v>
      </c>
      <c r="G271" s="26">
        <f t="shared" si="12"/>
        <v>8000</v>
      </c>
      <c r="H271" s="27" t="s">
        <v>37</v>
      </c>
      <c r="I271" s="28" t="s">
        <v>723</v>
      </c>
      <c r="J271" s="29">
        <v>800</v>
      </c>
      <c r="K271" s="29">
        <v>0</v>
      </c>
      <c r="L271" s="56" t="s">
        <v>723</v>
      </c>
      <c r="M271" s="31">
        <v>8000</v>
      </c>
      <c r="N271" s="31">
        <v>0</v>
      </c>
      <c r="O271" s="31" t="s">
        <v>76</v>
      </c>
      <c r="P271" s="32" t="s">
        <v>76</v>
      </c>
      <c r="Q271" s="33" t="s">
        <v>76</v>
      </c>
      <c r="R271" s="33" t="s">
        <v>76</v>
      </c>
      <c r="S271" s="29">
        <v>800</v>
      </c>
      <c r="T271" s="31" t="s">
        <v>76</v>
      </c>
      <c r="U271" s="31" t="s">
        <v>76</v>
      </c>
      <c r="V271" s="31" t="s">
        <v>76</v>
      </c>
      <c r="W271" s="50">
        <v>45199</v>
      </c>
      <c r="X271" s="34">
        <v>800</v>
      </c>
      <c r="Y271" s="34">
        <v>8000</v>
      </c>
      <c r="Z271" s="34" t="s">
        <v>800</v>
      </c>
      <c r="AA271" s="34">
        <f t="shared" si="13"/>
        <v>0</v>
      </c>
      <c r="AB271" s="34">
        <f t="shared" si="14"/>
        <v>0</v>
      </c>
      <c r="AC271" s="25" t="s">
        <v>285</v>
      </c>
      <c r="AD271" s="25" t="s">
        <v>76</v>
      </c>
      <c r="AE271" s="25"/>
      <c r="AF271" s="25"/>
      <c r="AG271" s="25"/>
      <c r="AH271" s="35"/>
    </row>
    <row r="272" spans="1:34" ht="15.6">
      <c r="A272" s="23"/>
      <c r="B272" s="81"/>
      <c r="C272" s="25"/>
      <c r="D272" s="25">
        <v>0</v>
      </c>
      <c r="E272" s="25">
        <v>10</v>
      </c>
      <c r="F272" s="25">
        <v>170</v>
      </c>
      <c r="G272" s="26">
        <f t="shared" si="12"/>
        <v>1700</v>
      </c>
      <c r="H272" s="27" t="s">
        <v>146</v>
      </c>
      <c r="I272" s="28" t="s">
        <v>723</v>
      </c>
      <c r="J272" s="29">
        <v>170</v>
      </c>
      <c r="K272" s="29">
        <v>0</v>
      </c>
      <c r="L272" s="56" t="s">
        <v>723</v>
      </c>
      <c r="M272" s="31">
        <v>1700</v>
      </c>
      <c r="N272" s="31">
        <v>0</v>
      </c>
      <c r="O272" s="31" t="s">
        <v>76</v>
      </c>
      <c r="P272" s="32" t="s">
        <v>76</v>
      </c>
      <c r="Q272" s="33" t="s">
        <v>76</v>
      </c>
      <c r="R272" s="33" t="s">
        <v>76</v>
      </c>
      <c r="S272" s="29">
        <v>170</v>
      </c>
      <c r="T272" s="31" t="s">
        <v>76</v>
      </c>
      <c r="U272" s="31" t="s">
        <v>76</v>
      </c>
      <c r="V272" s="31" t="s">
        <v>76</v>
      </c>
      <c r="W272" s="50">
        <v>45199</v>
      </c>
      <c r="X272" s="34">
        <v>170</v>
      </c>
      <c r="Y272" s="34">
        <v>1700</v>
      </c>
      <c r="Z272" s="34" t="s">
        <v>800</v>
      </c>
      <c r="AA272" s="34">
        <f t="shared" si="13"/>
        <v>0</v>
      </c>
      <c r="AB272" s="34">
        <f t="shared" si="14"/>
        <v>0</v>
      </c>
      <c r="AC272" s="25" t="s">
        <v>285</v>
      </c>
      <c r="AD272" s="25" t="s">
        <v>76</v>
      </c>
      <c r="AE272" s="25"/>
      <c r="AF272" s="25"/>
      <c r="AG272" s="25"/>
      <c r="AH272" s="35"/>
    </row>
    <row r="273" spans="1:34" ht="15.6">
      <c r="A273" s="23" t="s">
        <v>694</v>
      </c>
      <c r="B273" s="81">
        <v>6000022627</v>
      </c>
      <c r="C273" s="25" t="s">
        <v>695</v>
      </c>
      <c r="D273" s="25">
        <v>0</v>
      </c>
      <c r="E273" s="25">
        <v>8</v>
      </c>
      <c r="F273" s="25">
        <v>434</v>
      </c>
      <c r="G273" s="26">
        <f t="shared" si="12"/>
        <v>3472</v>
      </c>
      <c r="I273" s="28" t="s">
        <v>723</v>
      </c>
      <c r="J273" s="29">
        <v>434</v>
      </c>
      <c r="K273" s="29">
        <v>0</v>
      </c>
      <c r="L273" s="56" t="s">
        <v>723</v>
      </c>
      <c r="M273" s="31">
        <v>3472</v>
      </c>
      <c r="N273" s="31">
        <v>0</v>
      </c>
      <c r="O273" s="31" t="s">
        <v>76</v>
      </c>
      <c r="P273" s="32" t="s">
        <v>76</v>
      </c>
      <c r="Q273" s="33" t="s">
        <v>76</v>
      </c>
      <c r="R273" s="33" t="s">
        <v>76</v>
      </c>
      <c r="S273" s="29">
        <v>434</v>
      </c>
      <c r="T273" s="31" t="s">
        <v>76</v>
      </c>
      <c r="U273" s="31" t="s">
        <v>76</v>
      </c>
      <c r="V273" s="31" t="s">
        <v>76</v>
      </c>
      <c r="W273" s="50" t="s">
        <v>799</v>
      </c>
      <c r="X273" s="34">
        <v>434</v>
      </c>
      <c r="Y273" s="34">
        <v>3472</v>
      </c>
      <c r="Z273" s="34" t="s">
        <v>800</v>
      </c>
      <c r="AA273" s="34">
        <f t="shared" si="13"/>
        <v>0</v>
      </c>
      <c r="AB273" s="34">
        <f t="shared" si="14"/>
        <v>0</v>
      </c>
      <c r="AC273" s="25" t="s">
        <v>285</v>
      </c>
      <c r="AD273" s="25" t="s">
        <v>76</v>
      </c>
      <c r="AE273" s="27" t="s">
        <v>27</v>
      </c>
      <c r="AF273" s="25"/>
      <c r="AG273" s="25"/>
      <c r="AH273" s="35"/>
    </row>
    <row r="274" spans="1:34" ht="15.6">
      <c r="A274" s="23"/>
      <c r="B274" s="81"/>
      <c r="C274" s="25"/>
      <c r="D274" s="25">
        <v>0</v>
      </c>
      <c r="E274" s="25">
        <v>8</v>
      </c>
      <c r="F274" s="25">
        <v>532</v>
      </c>
      <c r="G274" s="26">
        <f t="shared" si="12"/>
        <v>4256</v>
      </c>
      <c r="H274" s="27" t="s">
        <v>46</v>
      </c>
      <c r="I274" s="28" t="s">
        <v>723</v>
      </c>
      <c r="J274" s="29">
        <v>532</v>
      </c>
      <c r="K274" s="29">
        <v>0</v>
      </c>
      <c r="L274" s="56" t="s">
        <v>723</v>
      </c>
      <c r="M274" s="31">
        <v>4256</v>
      </c>
      <c r="N274" s="31">
        <v>0</v>
      </c>
      <c r="O274" s="31" t="s">
        <v>76</v>
      </c>
      <c r="P274" s="32" t="s">
        <v>76</v>
      </c>
      <c r="Q274" s="33" t="s">
        <v>76</v>
      </c>
      <c r="R274" s="33" t="s">
        <v>76</v>
      </c>
      <c r="S274" s="29">
        <v>532</v>
      </c>
      <c r="T274" s="31" t="s">
        <v>76</v>
      </c>
      <c r="U274" s="31" t="s">
        <v>76</v>
      </c>
      <c r="V274" s="31" t="s">
        <v>76</v>
      </c>
      <c r="W274" s="50" t="s">
        <v>813</v>
      </c>
      <c r="X274" s="34">
        <v>532</v>
      </c>
      <c r="Y274" s="34">
        <v>4256</v>
      </c>
      <c r="Z274" s="34" t="s">
        <v>800</v>
      </c>
      <c r="AA274" s="34">
        <f t="shared" si="13"/>
        <v>0</v>
      </c>
      <c r="AB274" s="34">
        <f t="shared" si="14"/>
        <v>0</v>
      </c>
      <c r="AC274" s="25" t="s">
        <v>285</v>
      </c>
      <c r="AD274" s="25" t="s">
        <v>76</v>
      </c>
      <c r="AE274" s="25"/>
      <c r="AF274" s="25"/>
      <c r="AG274" s="25"/>
      <c r="AH274" s="35"/>
    </row>
    <row r="275" spans="1:34" ht="15.6">
      <c r="A275" s="23"/>
      <c r="B275" s="81"/>
      <c r="C275" s="25"/>
      <c r="D275" s="25">
        <v>0</v>
      </c>
      <c r="E275" s="25">
        <v>8</v>
      </c>
      <c r="F275" s="25">
        <v>350</v>
      </c>
      <c r="G275" s="26">
        <f t="shared" si="12"/>
        <v>2800</v>
      </c>
      <c r="H275" s="27" t="s">
        <v>37</v>
      </c>
      <c r="I275" s="28" t="s">
        <v>723</v>
      </c>
      <c r="J275" s="29">
        <v>350</v>
      </c>
      <c r="K275" s="29">
        <v>0</v>
      </c>
      <c r="L275" s="56" t="s">
        <v>723</v>
      </c>
      <c r="M275" s="31">
        <v>2800</v>
      </c>
      <c r="N275" s="31">
        <v>0</v>
      </c>
      <c r="O275" s="31" t="s">
        <v>76</v>
      </c>
      <c r="P275" s="32" t="s">
        <v>76</v>
      </c>
      <c r="Q275" s="33" t="s">
        <v>76</v>
      </c>
      <c r="R275" s="33" t="s">
        <v>76</v>
      </c>
      <c r="S275" s="29">
        <v>350</v>
      </c>
      <c r="T275" s="31" t="s">
        <v>76</v>
      </c>
      <c r="U275" s="31" t="s">
        <v>76</v>
      </c>
      <c r="V275" s="31" t="s">
        <v>76</v>
      </c>
      <c r="W275" s="50">
        <v>45150</v>
      </c>
      <c r="X275" s="34">
        <v>350</v>
      </c>
      <c r="Y275" s="34">
        <v>2800</v>
      </c>
      <c r="Z275" s="34" t="s">
        <v>338</v>
      </c>
      <c r="AA275" s="34">
        <f t="shared" si="13"/>
        <v>0</v>
      </c>
      <c r="AB275" s="34">
        <f t="shared" si="14"/>
        <v>0</v>
      </c>
      <c r="AC275" s="25" t="s">
        <v>285</v>
      </c>
      <c r="AD275" s="25" t="s">
        <v>76</v>
      </c>
      <c r="AE275" s="25"/>
      <c r="AF275" s="25"/>
      <c r="AG275" s="25"/>
      <c r="AH275" s="35"/>
    </row>
    <row r="276" spans="1:34" ht="15.6">
      <c r="A276" s="23"/>
      <c r="B276" s="81"/>
      <c r="C276" s="25"/>
      <c r="D276" s="25">
        <v>0</v>
      </c>
      <c r="E276" s="25">
        <v>8</v>
      </c>
      <c r="F276" s="25">
        <v>84</v>
      </c>
      <c r="G276" s="26">
        <f t="shared" si="12"/>
        <v>672</v>
      </c>
      <c r="H276" s="27" t="s">
        <v>146</v>
      </c>
      <c r="I276" s="28" t="s">
        <v>723</v>
      </c>
      <c r="J276" s="29">
        <v>84</v>
      </c>
      <c r="K276" s="29">
        <v>0</v>
      </c>
      <c r="L276" s="56" t="s">
        <v>723</v>
      </c>
      <c r="M276" s="31">
        <v>672</v>
      </c>
      <c r="N276" s="31">
        <v>0</v>
      </c>
      <c r="O276" s="31" t="s">
        <v>76</v>
      </c>
      <c r="P276" s="32" t="s">
        <v>76</v>
      </c>
      <c r="Q276" s="33" t="s">
        <v>76</v>
      </c>
      <c r="R276" s="33" t="s">
        <v>76</v>
      </c>
      <c r="S276" s="29">
        <v>84</v>
      </c>
      <c r="T276" s="31" t="s">
        <v>76</v>
      </c>
      <c r="U276" s="31" t="s">
        <v>76</v>
      </c>
      <c r="V276" s="31" t="s">
        <v>76</v>
      </c>
      <c r="W276" s="50">
        <v>45150</v>
      </c>
      <c r="X276" s="34">
        <v>84</v>
      </c>
      <c r="Y276" s="34">
        <v>672</v>
      </c>
      <c r="Z276" s="34" t="s">
        <v>338</v>
      </c>
      <c r="AA276" s="34">
        <f t="shared" si="13"/>
        <v>0</v>
      </c>
      <c r="AB276" s="34">
        <f t="shared" si="14"/>
        <v>0</v>
      </c>
      <c r="AC276" s="25" t="s">
        <v>285</v>
      </c>
      <c r="AD276" s="25" t="s">
        <v>76</v>
      </c>
      <c r="AE276" s="25"/>
      <c r="AF276" s="25"/>
      <c r="AG276" s="25"/>
      <c r="AH276" s="35"/>
    </row>
    <row r="277" spans="1:34" ht="15.6">
      <c r="A277" s="23" t="s">
        <v>692</v>
      </c>
      <c r="B277" s="81">
        <v>6000022679</v>
      </c>
      <c r="C277" s="25" t="s">
        <v>696</v>
      </c>
      <c r="D277" s="25">
        <v>0</v>
      </c>
      <c r="E277" s="25">
        <v>12</v>
      </c>
      <c r="F277" s="25">
        <v>550</v>
      </c>
      <c r="G277" s="26">
        <f t="shared" si="12"/>
        <v>6600</v>
      </c>
      <c r="H277" s="27" t="s">
        <v>27</v>
      </c>
      <c r="I277" s="28" t="s">
        <v>723</v>
      </c>
      <c r="J277" s="29">
        <v>550</v>
      </c>
      <c r="K277" s="29">
        <v>0</v>
      </c>
      <c r="L277" s="56" t="s">
        <v>723</v>
      </c>
      <c r="M277" s="31">
        <v>6600</v>
      </c>
      <c r="N277" s="31">
        <v>0</v>
      </c>
      <c r="O277" s="31" t="s">
        <v>76</v>
      </c>
      <c r="P277" s="32" t="s">
        <v>76</v>
      </c>
      <c r="Q277" s="33" t="s">
        <v>76</v>
      </c>
      <c r="R277" s="33" t="s">
        <v>76</v>
      </c>
      <c r="S277" s="29">
        <v>550</v>
      </c>
      <c r="T277" s="31" t="s">
        <v>76</v>
      </c>
      <c r="U277" s="31" t="s">
        <v>76</v>
      </c>
      <c r="V277" s="31" t="s">
        <v>76</v>
      </c>
      <c r="W277" s="50">
        <v>45196</v>
      </c>
      <c r="X277" s="34">
        <v>550</v>
      </c>
      <c r="Y277" s="34">
        <v>6600</v>
      </c>
      <c r="Z277" s="34" t="s">
        <v>800</v>
      </c>
      <c r="AA277" s="34">
        <f t="shared" si="13"/>
        <v>0</v>
      </c>
      <c r="AB277" s="34">
        <f t="shared" si="14"/>
        <v>0</v>
      </c>
      <c r="AC277" s="25" t="s">
        <v>285</v>
      </c>
      <c r="AD277" s="25" t="s">
        <v>76</v>
      </c>
      <c r="AE277" s="25"/>
      <c r="AF277" s="25"/>
      <c r="AG277" s="25"/>
      <c r="AH277" s="35"/>
    </row>
    <row r="278" spans="1:34" ht="15.6">
      <c r="A278" s="23"/>
      <c r="B278" s="81"/>
      <c r="C278" s="25"/>
      <c r="D278" s="25">
        <v>0</v>
      </c>
      <c r="E278" s="25">
        <v>12</v>
      </c>
      <c r="F278" s="25">
        <v>1210</v>
      </c>
      <c r="G278" s="26">
        <f t="shared" si="12"/>
        <v>14520</v>
      </c>
      <c r="H278" s="27" t="s">
        <v>46</v>
      </c>
      <c r="I278" s="28" t="s">
        <v>723</v>
      </c>
      <c r="J278" s="29">
        <v>1210</v>
      </c>
      <c r="K278" s="29">
        <v>0</v>
      </c>
      <c r="L278" s="56" t="s">
        <v>723</v>
      </c>
      <c r="M278" s="31">
        <v>14520</v>
      </c>
      <c r="N278" s="31">
        <v>0</v>
      </c>
      <c r="O278" s="31" t="s">
        <v>76</v>
      </c>
      <c r="P278" s="32" t="s">
        <v>76</v>
      </c>
      <c r="Q278" s="33" t="s">
        <v>76</v>
      </c>
      <c r="R278" s="33" t="s">
        <v>76</v>
      </c>
      <c r="S278" s="29">
        <v>1210</v>
      </c>
      <c r="T278" s="31" t="s">
        <v>76</v>
      </c>
      <c r="U278" s="31" t="s">
        <v>76</v>
      </c>
      <c r="V278" s="31" t="s">
        <v>76</v>
      </c>
      <c r="W278" s="50">
        <v>45197</v>
      </c>
      <c r="X278" s="34">
        <v>1210</v>
      </c>
      <c r="Y278" s="34">
        <v>14520</v>
      </c>
      <c r="Z278" s="34" t="s">
        <v>800</v>
      </c>
      <c r="AA278" s="34">
        <f t="shared" si="13"/>
        <v>0</v>
      </c>
      <c r="AB278" s="34">
        <f t="shared" si="14"/>
        <v>0</v>
      </c>
      <c r="AC278" s="25" t="s">
        <v>285</v>
      </c>
      <c r="AD278" s="25" t="s">
        <v>76</v>
      </c>
      <c r="AE278" s="25"/>
      <c r="AF278" s="25"/>
      <c r="AG278" s="25"/>
      <c r="AH278" s="35"/>
    </row>
    <row r="279" spans="1:34" ht="15.6">
      <c r="A279" s="23"/>
      <c r="B279" s="81"/>
      <c r="C279" s="25"/>
      <c r="D279" s="25">
        <v>0</v>
      </c>
      <c r="E279" s="25">
        <v>12</v>
      </c>
      <c r="F279" s="25">
        <v>650</v>
      </c>
      <c r="G279" s="26">
        <f t="shared" si="12"/>
        <v>7800</v>
      </c>
      <c r="H279" s="27" t="s">
        <v>37</v>
      </c>
      <c r="I279" s="28" t="s">
        <v>723</v>
      </c>
      <c r="J279" s="29">
        <v>650</v>
      </c>
      <c r="K279" s="29">
        <v>0</v>
      </c>
      <c r="L279" s="56" t="s">
        <v>723</v>
      </c>
      <c r="M279" s="31">
        <v>7800</v>
      </c>
      <c r="N279" s="31">
        <v>0</v>
      </c>
      <c r="O279" s="31" t="s">
        <v>76</v>
      </c>
      <c r="P279" s="32" t="s">
        <v>76</v>
      </c>
      <c r="Q279" s="33" t="s">
        <v>76</v>
      </c>
      <c r="R279" s="33" t="s">
        <v>76</v>
      </c>
      <c r="S279" s="29">
        <v>650</v>
      </c>
      <c r="T279" s="31" t="s">
        <v>76</v>
      </c>
      <c r="U279" s="31" t="s">
        <v>76</v>
      </c>
      <c r="V279" s="31" t="s">
        <v>76</v>
      </c>
      <c r="W279" s="50">
        <v>45199</v>
      </c>
      <c r="X279" s="34">
        <v>650</v>
      </c>
      <c r="Y279" s="34">
        <v>7800</v>
      </c>
      <c r="Z279" s="34" t="s">
        <v>800</v>
      </c>
      <c r="AA279" s="34">
        <f t="shared" si="13"/>
        <v>0</v>
      </c>
      <c r="AB279" s="34">
        <f t="shared" si="14"/>
        <v>0</v>
      </c>
      <c r="AC279" s="25" t="s">
        <v>285</v>
      </c>
      <c r="AD279" s="25" t="s">
        <v>76</v>
      </c>
      <c r="AE279" s="25"/>
      <c r="AF279" s="25"/>
      <c r="AG279" s="25"/>
      <c r="AH279" s="35"/>
    </row>
    <row r="280" spans="1:34" ht="15.6">
      <c r="A280" s="23"/>
      <c r="B280" s="81"/>
      <c r="C280" s="25"/>
      <c r="D280" s="25">
        <v>0</v>
      </c>
      <c r="E280" s="25">
        <v>12</v>
      </c>
      <c r="F280" s="25">
        <v>200</v>
      </c>
      <c r="G280" s="26">
        <f t="shared" si="12"/>
        <v>2400</v>
      </c>
      <c r="H280" s="27" t="s">
        <v>146</v>
      </c>
      <c r="I280" s="28" t="s">
        <v>723</v>
      </c>
      <c r="J280" s="29">
        <v>200</v>
      </c>
      <c r="K280" s="29">
        <v>0</v>
      </c>
      <c r="L280" s="56" t="s">
        <v>723</v>
      </c>
      <c r="M280" s="31">
        <v>2400</v>
      </c>
      <c r="N280" s="31">
        <v>0</v>
      </c>
      <c r="O280" s="31" t="s">
        <v>76</v>
      </c>
      <c r="P280" s="32" t="s">
        <v>76</v>
      </c>
      <c r="Q280" s="33" t="s">
        <v>76</v>
      </c>
      <c r="R280" s="33" t="s">
        <v>76</v>
      </c>
      <c r="S280" s="29">
        <v>200</v>
      </c>
      <c r="T280" s="31" t="s">
        <v>76</v>
      </c>
      <c r="U280" s="31" t="s">
        <v>76</v>
      </c>
      <c r="V280" s="31" t="s">
        <v>76</v>
      </c>
      <c r="W280" s="50">
        <v>45202</v>
      </c>
      <c r="X280" s="34">
        <v>200</v>
      </c>
      <c r="Y280" s="34">
        <v>2400</v>
      </c>
      <c r="Z280" s="34" t="s">
        <v>800</v>
      </c>
      <c r="AA280" s="34">
        <f t="shared" si="13"/>
        <v>0</v>
      </c>
      <c r="AB280" s="34">
        <f t="shared" si="14"/>
        <v>0</v>
      </c>
      <c r="AC280" s="25" t="s">
        <v>285</v>
      </c>
      <c r="AD280" s="25" t="s">
        <v>76</v>
      </c>
      <c r="AE280" s="25"/>
      <c r="AF280" s="25"/>
      <c r="AG280" s="25"/>
      <c r="AH280" s="35"/>
    </row>
    <row r="281" spans="1:34" ht="15.6">
      <c r="A281" s="23" t="s">
        <v>697</v>
      </c>
      <c r="B281" s="81">
        <v>6000023324</v>
      </c>
      <c r="C281" s="25" t="s">
        <v>414</v>
      </c>
      <c r="D281" s="25">
        <v>0</v>
      </c>
      <c r="E281" s="25">
        <v>10</v>
      </c>
      <c r="F281" s="25">
        <v>100</v>
      </c>
      <c r="G281" s="26">
        <f t="shared" si="12"/>
        <v>1000</v>
      </c>
      <c r="H281" s="27" t="s">
        <v>243</v>
      </c>
      <c r="I281" s="28" t="s">
        <v>723</v>
      </c>
      <c r="J281" s="29">
        <v>100</v>
      </c>
      <c r="K281" s="29">
        <v>0</v>
      </c>
      <c r="L281" s="56" t="s">
        <v>723</v>
      </c>
      <c r="M281" s="31">
        <v>1000</v>
      </c>
      <c r="N281" s="31">
        <v>0</v>
      </c>
      <c r="O281" s="31" t="s">
        <v>76</v>
      </c>
      <c r="P281" s="32" t="s">
        <v>76</v>
      </c>
      <c r="Q281" s="33" t="s">
        <v>76</v>
      </c>
      <c r="R281" s="33" t="s">
        <v>76</v>
      </c>
      <c r="S281" s="29">
        <v>100</v>
      </c>
      <c r="T281" s="31" t="s">
        <v>76</v>
      </c>
      <c r="U281" s="31" t="s">
        <v>76</v>
      </c>
      <c r="V281" s="31" t="s">
        <v>76</v>
      </c>
      <c r="W281" s="50">
        <v>45122</v>
      </c>
      <c r="X281" s="34">
        <v>100</v>
      </c>
      <c r="Y281" s="34">
        <v>1000</v>
      </c>
      <c r="Z281" s="34" t="s">
        <v>800</v>
      </c>
      <c r="AA281" s="34">
        <f t="shared" si="13"/>
        <v>0</v>
      </c>
      <c r="AB281" s="34">
        <f t="shared" si="14"/>
        <v>0</v>
      </c>
      <c r="AC281" s="25" t="s">
        <v>285</v>
      </c>
      <c r="AD281" s="25" t="s">
        <v>76</v>
      </c>
      <c r="AE281" s="25"/>
      <c r="AF281" s="25"/>
      <c r="AG281" s="25"/>
      <c r="AH281" s="35"/>
    </row>
    <row r="282" spans="1:34" ht="15.6">
      <c r="A282" s="23" t="s">
        <v>697</v>
      </c>
      <c r="B282" s="81">
        <v>6000023324</v>
      </c>
      <c r="C282" s="25" t="s">
        <v>414</v>
      </c>
      <c r="D282" s="25">
        <v>0</v>
      </c>
      <c r="E282" s="25">
        <v>10</v>
      </c>
      <c r="F282" s="25">
        <v>670</v>
      </c>
      <c r="G282" s="26">
        <f t="shared" si="12"/>
        <v>6700</v>
      </c>
      <c r="H282" s="27" t="s">
        <v>27</v>
      </c>
      <c r="I282" s="28" t="s">
        <v>723</v>
      </c>
      <c r="J282" s="29">
        <v>670</v>
      </c>
      <c r="K282" s="29">
        <v>0</v>
      </c>
      <c r="L282" s="56" t="s">
        <v>723</v>
      </c>
      <c r="M282" s="31">
        <v>6700</v>
      </c>
      <c r="N282" s="31">
        <v>0</v>
      </c>
      <c r="O282" s="31" t="s">
        <v>76</v>
      </c>
      <c r="P282" s="32" t="s">
        <v>76</v>
      </c>
      <c r="Q282" s="33" t="s">
        <v>76</v>
      </c>
      <c r="R282" s="33" t="s">
        <v>76</v>
      </c>
      <c r="S282" s="29">
        <v>670</v>
      </c>
      <c r="T282" s="31" t="s">
        <v>76</v>
      </c>
      <c r="U282" s="31" t="s">
        <v>76</v>
      </c>
      <c r="V282" s="31" t="s">
        <v>76</v>
      </c>
      <c r="W282" s="50">
        <v>45114</v>
      </c>
      <c r="X282" s="34">
        <v>670</v>
      </c>
      <c r="Y282" s="34">
        <v>6700</v>
      </c>
      <c r="Z282" s="34" t="s">
        <v>759</v>
      </c>
      <c r="AA282" s="34">
        <f t="shared" si="13"/>
        <v>0</v>
      </c>
      <c r="AB282" s="34">
        <f t="shared" si="14"/>
        <v>0</v>
      </c>
      <c r="AC282" s="25" t="s">
        <v>285</v>
      </c>
      <c r="AD282" s="25" t="s">
        <v>76</v>
      </c>
      <c r="AE282" s="25"/>
      <c r="AF282" s="25"/>
      <c r="AG282" s="25"/>
      <c r="AH282" s="35"/>
    </row>
    <row r="283" spans="1:34" ht="15.6">
      <c r="A283" s="23" t="s">
        <v>697</v>
      </c>
      <c r="B283" s="81">
        <v>6000023324</v>
      </c>
      <c r="C283" s="25" t="s">
        <v>414</v>
      </c>
      <c r="D283" s="25">
        <v>0</v>
      </c>
      <c r="E283" s="25">
        <v>10</v>
      </c>
      <c r="F283" s="25">
        <v>1050</v>
      </c>
      <c r="G283" s="26">
        <f t="shared" si="12"/>
        <v>10500</v>
      </c>
      <c r="H283" s="27" t="s">
        <v>46</v>
      </c>
      <c r="I283" s="28" t="s">
        <v>723</v>
      </c>
      <c r="J283" s="29">
        <v>1050</v>
      </c>
      <c r="K283" s="29">
        <v>0</v>
      </c>
      <c r="L283" s="56" t="s">
        <v>723</v>
      </c>
      <c r="M283" s="31">
        <v>10500</v>
      </c>
      <c r="N283" s="31">
        <v>0</v>
      </c>
      <c r="O283" s="31" t="s">
        <v>76</v>
      </c>
      <c r="P283" s="32" t="s">
        <v>76</v>
      </c>
      <c r="Q283" s="33" t="s">
        <v>76</v>
      </c>
      <c r="R283" s="33" t="s">
        <v>76</v>
      </c>
      <c r="S283" s="29">
        <v>1050</v>
      </c>
      <c r="T283" s="31" t="s">
        <v>76</v>
      </c>
      <c r="U283" s="31" t="s">
        <v>76</v>
      </c>
      <c r="V283" s="31" t="s">
        <v>76</v>
      </c>
      <c r="W283" s="50">
        <v>45108</v>
      </c>
      <c r="X283" s="34">
        <v>1050</v>
      </c>
      <c r="Y283" s="34">
        <v>10500</v>
      </c>
      <c r="Z283" s="34" t="s">
        <v>755</v>
      </c>
      <c r="AA283" s="34">
        <f t="shared" si="13"/>
        <v>0</v>
      </c>
      <c r="AB283" s="34">
        <f t="shared" si="14"/>
        <v>0</v>
      </c>
      <c r="AC283" s="25" t="s">
        <v>285</v>
      </c>
      <c r="AD283" s="25" t="s">
        <v>76</v>
      </c>
      <c r="AE283" s="25"/>
      <c r="AF283" s="25"/>
      <c r="AG283" s="25"/>
      <c r="AH283" s="35"/>
    </row>
    <row r="284" spans="1:34" ht="15.6">
      <c r="A284" s="23" t="s">
        <v>697</v>
      </c>
      <c r="B284" s="81">
        <v>6000023324</v>
      </c>
      <c r="C284" s="25" t="s">
        <v>414</v>
      </c>
      <c r="D284" s="25">
        <v>0</v>
      </c>
      <c r="E284" s="25">
        <v>10</v>
      </c>
      <c r="F284" s="25">
        <v>490</v>
      </c>
      <c r="G284" s="26">
        <f t="shared" si="12"/>
        <v>4900</v>
      </c>
      <c r="H284" s="27" t="s">
        <v>37</v>
      </c>
      <c r="I284" s="28" t="s">
        <v>723</v>
      </c>
      <c r="J284" s="29">
        <v>490</v>
      </c>
      <c r="K284" s="29">
        <v>0</v>
      </c>
      <c r="L284" s="56" t="s">
        <v>723</v>
      </c>
      <c r="M284" s="31">
        <v>4900</v>
      </c>
      <c r="N284" s="31">
        <v>0</v>
      </c>
      <c r="O284" s="31" t="s">
        <v>76</v>
      </c>
      <c r="P284" s="32" t="s">
        <v>76</v>
      </c>
      <c r="Q284" s="33" t="s">
        <v>76</v>
      </c>
      <c r="R284" s="33" t="s">
        <v>76</v>
      </c>
      <c r="S284" s="29">
        <v>490</v>
      </c>
      <c r="T284" s="31" t="s">
        <v>76</v>
      </c>
      <c r="U284" s="31" t="s">
        <v>76</v>
      </c>
      <c r="V284" s="31" t="s">
        <v>76</v>
      </c>
      <c r="W284" s="50">
        <v>45118</v>
      </c>
      <c r="X284" s="34">
        <v>490</v>
      </c>
      <c r="Y284" s="34">
        <v>4900</v>
      </c>
      <c r="Z284" s="34" t="s">
        <v>759</v>
      </c>
      <c r="AA284" s="34">
        <f t="shared" si="13"/>
        <v>0</v>
      </c>
      <c r="AB284" s="34">
        <f t="shared" si="14"/>
        <v>0</v>
      </c>
      <c r="AC284" s="25" t="s">
        <v>285</v>
      </c>
      <c r="AD284" s="25" t="s">
        <v>76</v>
      </c>
      <c r="AE284" s="25"/>
      <c r="AF284" s="25"/>
      <c r="AG284" s="25"/>
      <c r="AH284" s="35"/>
    </row>
    <row r="285" spans="1:34" ht="15.6">
      <c r="A285" s="23" t="s">
        <v>697</v>
      </c>
      <c r="B285" s="81">
        <v>6000023324</v>
      </c>
      <c r="C285" s="25" t="s">
        <v>414</v>
      </c>
      <c r="D285" s="25">
        <v>0</v>
      </c>
      <c r="E285" s="25">
        <v>10</v>
      </c>
      <c r="F285" s="25">
        <v>130</v>
      </c>
      <c r="G285" s="26">
        <f t="shared" si="12"/>
        <v>1300</v>
      </c>
      <c r="H285" s="27" t="s">
        <v>146</v>
      </c>
      <c r="I285" s="28" t="s">
        <v>723</v>
      </c>
      <c r="J285" s="29">
        <v>130</v>
      </c>
      <c r="K285" s="29">
        <v>0</v>
      </c>
      <c r="L285" s="56" t="s">
        <v>723</v>
      </c>
      <c r="M285" s="31">
        <v>1300</v>
      </c>
      <c r="N285" s="31">
        <v>0</v>
      </c>
      <c r="O285" s="31" t="s">
        <v>76</v>
      </c>
      <c r="P285" s="32" t="s">
        <v>76</v>
      </c>
      <c r="Q285" s="33" t="s">
        <v>76</v>
      </c>
      <c r="R285" s="33" t="s">
        <v>76</v>
      </c>
      <c r="S285" s="29">
        <v>130</v>
      </c>
      <c r="T285" s="31" t="s">
        <v>76</v>
      </c>
      <c r="U285" s="31" t="s">
        <v>76</v>
      </c>
      <c r="V285" s="31" t="s">
        <v>76</v>
      </c>
      <c r="W285" s="50">
        <v>45122</v>
      </c>
      <c r="X285" s="34">
        <v>130</v>
      </c>
      <c r="Y285" s="34">
        <v>1300</v>
      </c>
      <c r="Z285" s="34" t="s">
        <v>800</v>
      </c>
      <c r="AA285" s="34">
        <f t="shared" si="13"/>
        <v>0</v>
      </c>
      <c r="AB285" s="34">
        <f t="shared" si="14"/>
        <v>0</v>
      </c>
      <c r="AC285" s="25" t="s">
        <v>285</v>
      </c>
      <c r="AD285" s="25" t="s">
        <v>76</v>
      </c>
      <c r="AE285" s="25"/>
      <c r="AF285" s="25"/>
      <c r="AG285" s="25"/>
      <c r="AH285" s="35"/>
    </row>
    <row r="286" spans="1:34" ht="15.6">
      <c r="A286" s="23" t="s">
        <v>697</v>
      </c>
      <c r="B286" s="81">
        <v>6000023325</v>
      </c>
      <c r="C286" s="25" t="s">
        <v>414</v>
      </c>
      <c r="D286" s="25">
        <v>0</v>
      </c>
      <c r="E286" s="25">
        <v>10</v>
      </c>
      <c r="F286" s="25">
        <v>670</v>
      </c>
      <c r="G286" s="26">
        <f t="shared" si="12"/>
        <v>6700</v>
      </c>
      <c r="H286" s="27" t="s">
        <v>27</v>
      </c>
      <c r="I286" s="28" t="s">
        <v>723</v>
      </c>
      <c r="J286" s="29">
        <v>670</v>
      </c>
      <c r="K286" s="29">
        <v>0</v>
      </c>
      <c r="L286" s="56" t="s">
        <v>723</v>
      </c>
      <c r="M286" s="31">
        <v>6700</v>
      </c>
      <c r="N286" s="31">
        <v>0</v>
      </c>
      <c r="O286" s="31" t="s">
        <v>76</v>
      </c>
      <c r="P286" s="32" t="s">
        <v>76</v>
      </c>
      <c r="Q286" s="33" t="s">
        <v>76</v>
      </c>
      <c r="R286" s="33" t="s">
        <v>76</v>
      </c>
      <c r="S286" s="29">
        <v>670</v>
      </c>
      <c r="T286" s="31" t="s">
        <v>76</v>
      </c>
      <c r="U286" s="31" t="s">
        <v>76</v>
      </c>
      <c r="V286" s="31" t="s">
        <v>76</v>
      </c>
      <c r="W286" s="50">
        <v>45120</v>
      </c>
      <c r="X286" s="34">
        <v>670</v>
      </c>
      <c r="Y286" s="34">
        <v>6700</v>
      </c>
      <c r="Z286" s="34" t="s">
        <v>759</v>
      </c>
      <c r="AA286" s="34">
        <f t="shared" si="13"/>
        <v>0</v>
      </c>
      <c r="AB286" s="34">
        <f t="shared" si="14"/>
        <v>0</v>
      </c>
      <c r="AC286" s="25" t="s">
        <v>285</v>
      </c>
      <c r="AD286" s="25" t="s">
        <v>76</v>
      </c>
      <c r="AE286" s="25"/>
      <c r="AF286" s="25"/>
      <c r="AG286" s="25"/>
      <c r="AH286" s="35"/>
    </row>
    <row r="287" spans="1:34" ht="15.6">
      <c r="A287" s="23" t="s">
        <v>697</v>
      </c>
      <c r="B287" s="81">
        <v>6000023325</v>
      </c>
      <c r="C287" s="25" t="s">
        <v>414</v>
      </c>
      <c r="D287" s="25">
        <v>0</v>
      </c>
      <c r="E287" s="25">
        <v>10</v>
      </c>
      <c r="F287" s="25">
        <v>1150</v>
      </c>
      <c r="G287" s="26">
        <f t="shared" si="12"/>
        <v>11500</v>
      </c>
      <c r="H287" s="27" t="s">
        <v>46</v>
      </c>
      <c r="I287" s="28" t="s">
        <v>723</v>
      </c>
      <c r="J287" s="29">
        <v>1150</v>
      </c>
      <c r="K287" s="29">
        <v>0</v>
      </c>
      <c r="L287" s="56" t="s">
        <v>723</v>
      </c>
      <c r="M287" s="31">
        <v>11500</v>
      </c>
      <c r="N287" s="31">
        <v>0</v>
      </c>
      <c r="O287" s="31" t="s">
        <v>76</v>
      </c>
      <c r="P287" s="32" t="s">
        <v>76</v>
      </c>
      <c r="Q287" s="33" t="s">
        <v>76</v>
      </c>
      <c r="R287" s="33" t="s">
        <v>76</v>
      </c>
      <c r="S287" s="29">
        <v>1150</v>
      </c>
      <c r="T287" s="31" t="s">
        <v>76</v>
      </c>
      <c r="U287" s="31" t="s">
        <v>76</v>
      </c>
      <c r="V287" s="31" t="s">
        <v>76</v>
      </c>
      <c r="W287" s="50">
        <v>45115</v>
      </c>
      <c r="X287" s="34">
        <v>1150</v>
      </c>
      <c r="Y287" s="34">
        <v>11500</v>
      </c>
      <c r="Z287" s="34" t="s">
        <v>755</v>
      </c>
      <c r="AA287" s="34">
        <f t="shared" si="13"/>
        <v>0</v>
      </c>
      <c r="AB287" s="34">
        <f t="shared" si="14"/>
        <v>0</v>
      </c>
      <c r="AC287" s="25" t="s">
        <v>285</v>
      </c>
      <c r="AD287" s="25" t="s">
        <v>76</v>
      </c>
      <c r="AE287" s="25"/>
      <c r="AF287" s="25"/>
      <c r="AG287" s="25"/>
      <c r="AH287" s="35"/>
    </row>
    <row r="288" spans="1:34" ht="15.6">
      <c r="A288" s="23" t="s">
        <v>697</v>
      </c>
      <c r="B288" s="81">
        <v>6000023325</v>
      </c>
      <c r="C288" s="25" t="s">
        <v>414</v>
      </c>
      <c r="D288" s="25">
        <v>0</v>
      </c>
      <c r="E288" s="25">
        <v>10</v>
      </c>
      <c r="F288" s="25">
        <v>490</v>
      </c>
      <c r="G288" s="26">
        <f t="shared" si="12"/>
        <v>4900</v>
      </c>
      <c r="H288" s="27" t="s">
        <v>37</v>
      </c>
      <c r="I288" s="28" t="s">
        <v>723</v>
      </c>
      <c r="J288" s="29">
        <v>490</v>
      </c>
      <c r="K288" s="29">
        <v>0</v>
      </c>
      <c r="L288" s="56" t="s">
        <v>723</v>
      </c>
      <c r="M288" s="31">
        <v>4900</v>
      </c>
      <c r="N288" s="31">
        <v>0</v>
      </c>
      <c r="O288" s="31" t="s">
        <v>76</v>
      </c>
      <c r="P288" s="32" t="s">
        <v>76</v>
      </c>
      <c r="Q288" s="33" t="s">
        <v>76</v>
      </c>
      <c r="R288" s="33" t="s">
        <v>76</v>
      </c>
      <c r="S288" s="29">
        <v>490</v>
      </c>
      <c r="T288" s="31" t="s">
        <v>76</v>
      </c>
      <c r="U288" s="31" t="s">
        <v>76</v>
      </c>
      <c r="V288" s="31" t="s">
        <v>76</v>
      </c>
      <c r="W288" s="50">
        <v>45126</v>
      </c>
      <c r="X288" s="34">
        <v>490</v>
      </c>
      <c r="Y288" s="34">
        <v>4900</v>
      </c>
      <c r="Z288" s="34" t="s">
        <v>759</v>
      </c>
      <c r="AA288" s="34">
        <f t="shared" si="13"/>
        <v>0</v>
      </c>
      <c r="AB288" s="34">
        <f t="shared" si="14"/>
        <v>0</v>
      </c>
      <c r="AC288" s="25" t="s">
        <v>285</v>
      </c>
      <c r="AD288" s="25" t="s">
        <v>76</v>
      </c>
      <c r="AE288" s="25"/>
      <c r="AF288" s="25"/>
      <c r="AG288" s="25"/>
      <c r="AH288" s="35"/>
    </row>
    <row r="289" spans="1:34" ht="15.6">
      <c r="A289" s="23" t="s">
        <v>697</v>
      </c>
      <c r="B289" s="81">
        <v>6000023325</v>
      </c>
      <c r="C289" s="25" t="s">
        <v>414</v>
      </c>
      <c r="D289" s="25">
        <v>0</v>
      </c>
      <c r="E289" s="25">
        <v>10</v>
      </c>
      <c r="F289" s="25">
        <v>130</v>
      </c>
      <c r="G289" s="26">
        <f t="shared" si="12"/>
        <v>1300</v>
      </c>
      <c r="H289" s="27" t="s">
        <v>146</v>
      </c>
      <c r="I289" s="28" t="s">
        <v>723</v>
      </c>
      <c r="J289" s="29">
        <v>130</v>
      </c>
      <c r="K289" s="29">
        <v>0</v>
      </c>
      <c r="L289" s="56" t="s">
        <v>723</v>
      </c>
      <c r="M289" s="31">
        <v>1300</v>
      </c>
      <c r="N289" s="31">
        <v>0</v>
      </c>
      <c r="O289" s="31" t="s">
        <v>76</v>
      </c>
      <c r="P289" s="32" t="s">
        <v>76</v>
      </c>
      <c r="Q289" s="33" t="s">
        <v>76</v>
      </c>
      <c r="R289" s="33" t="s">
        <v>76</v>
      </c>
      <c r="S289" s="29">
        <v>130</v>
      </c>
      <c r="T289" s="31" t="s">
        <v>76</v>
      </c>
      <c r="U289" s="31" t="s">
        <v>76</v>
      </c>
      <c r="V289" s="31" t="s">
        <v>76</v>
      </c>
      <c r="W289" s="50">
        <v>45129</v>
      </c>
      <c r="X289" s="34">
        <v>130</v>
      </c>
      <c r="Y289" s="34">
        <v>1300</v>
      </c>
      <c r="Z289" s="34" t="s">
        <v>800</v>
      </c>
      <c r="AA289" s="34">
        <f t="shared" si="13"/>
        <v>0</v>
      </c>
      <c r="AB289" s="34">
        <f t="shared" si="14"/>
        <v>0</v>
      </c>
      <c r="AC289" s="25" t="s">
        <v>285</v>
      </c>
      <c r="AD289" s="25" t="s">
        <v>76</v>
      </c>
      <c r="AE289" s="25"/>
      <c r="AF289" s="25"/>
      <c r="AG289" s="25"/>
      <c r="AH289" s="35"/>
    </row>
    <row r="290" spans="1:34" ht="15.6">
      <c r="A290" s="23" t="s">
        <v>697</v>
      </c>
      <c r="B290" s="81">
        <v>6000023326</v>
      </c>
      <c r="C290" s="25" t="s">
        <v>414</v>
      </c>
      <c r="D290" s="25">
        <v>0</v>
      </c>
      <c r="E290" s="25">
        <v>10</v>
      </c>
      <c r="F290" s="25">
        <v>670</v>
      </c>
      <c r="G290" s="26">
        <f t="shared" si="12"/>
        <v>6700</v>
      </c>
      <c r="H290" s="27" t="s">
        <v>27</v>
      </c>
      <c r="I290" s="28" t="s">
        <v>723</v>
      </c>
      <c r="J290" s="29">
        <v>670</v>
      </c>
      <c r="K290" s="29">
        <v>0</v>
      </c>
      <c r="L290" s="56" t="s">
        <v>723</v>
      </c>
      <c r="M290" s="31">
        <v>6700</v>
      </c>
      <c r="N290" s="31">
        <v>0</v>
      </c>
      <c r="O290" s="31" t="s">
        <v>76</v>
      </c>
      <c r="P290" s="32" t="s">
        <v>76</v>
      </c>
      <c r="Q290" s="33" t="s">
        <v>76</v>
      </c>
      <c r="R290" s="33" t="s">
        <v>76</v>
      </c>
      <c r="S290" s="29">
        <v>670</v>
      </c>
      <c r="T290" s="31" t="s">
        <v>76</v>
      </c>
      <c r="U290" s="31" t="s">
        <v>76</v>
      </c>
      <c r="V290" s="31" t="s">
        <v>76</v>
      </c>
      <c r="W290" s="50">
        <v>45122</v>
      </c>
      <c r="X290" s="34">
        <v>670</v>
      </c>
      <c r="Y290" s="34">
        <v>6700</v>
      </c>
      <c r="Z290" s="34" t="s">
        <v>759</v>
      </c>
      <c r="AA290" s="34">
        <f t="shared" si="13"/>
        <v>0</v>
      </c>
      <c r="AB290" s="34">
        <f t="shared" si="14"/>
        <v>0</v>
      </c>
      <c r="AC290" s="25" t="s">
        <v>285</v>
      </c>
      <c r="AD290" s="25" t="s">
        <v>76</v>
      </c>
      <c r="AE290" s="25"/>
      <c r="AF290" s="25"/>
      <c r="AG290" s="25"/>
      <c r="AH290" s="35"/>
    </row>
    <row r="291" spans="1:34" ht="15.6">
      <c r="A291" s="23" t="s">
        <v>698</v>
      </c>
      <c r="B291" s="81">
        <v>2000001095</v>
      </c>
      <c r="C291" s="25" t="s">
        <v>699</v>
      </c>
      <c r="D291" s="25">
        <v>0</v>
      </c>
      <c r="E291" s="25">
        <v>10</v>
      </c>
      <c r="F291" s="25">
        <v>730</v>
      </c>
      <c r="G291" s="26">
        <f t="shared" si="12"/>
        <v>7300</v>
      </c>
      <c r="H291" s="27" t="s">
        <v>27</v>
      </c>
      <c r="I291" s="28" t="s">
        <v>723</v>
      </c>
      <c r="J291" s="29">
        <v>730</v>
      </c>
      <c r="K291" s="29">
        <v>0</v>
      </c>
      <c r="L291" s="56" t="s">
        <v>723</v>
      </c>
      <c r="M291" s="31">
        <v>7300</v>
      </c>
      <c r="N291" s="31">
        <v>0</v>
      </c>
      <c r="O291" s="31" t="s">
        <v>76</v>
      </c>
      <c r="P291" s="32" t="s">
        <v>76</v>
      </c>
      <c r="Q291" s="33" t="s">
        <v>76</v>
      </c>
      <c r="R291" s="33" t="s">
        <v>76</v>
      </c>
      <c r="S291" s="29">
        <v>730</v>
      </c>
      <c r="T291" s="31" t="s">
        <v>76</v>
      </c>
      <c r="U291" s="31" t="s">
        <v>76</v>
      </c>
      <c r="V291" s="31" t="s">
        <v>76</v>
      </c>
      <c r="W291" s="50" t="s">
        <v>813</v>
      </c>
      <c r="X291" s="34">
        <v>730</v>
      </c>
      <c r="Y291" s="34">
        <v>7300</v>
      </c>
      <c r="Z291" s="34" t="s">
        <v>800</v>
      </c>
      <c r="AA291" s="34">
        <f t="shared" si="13"/>
        <v>0</v>
      </c>
      <c r="AB291" s="34">
        <f t="shared" si="14"/>
        <v>0</v>
      </c>
      <c r="AC291" s="25" t="s">
        <v>285</v>
      </c>
      <c r="AD291" s="25" t="s">
        <v>76</v>
      </c>
      <c r="AE291" s="25"/>
      <c r="AF291" s="25"/>
      <c r="AG291" s="25"/>
      <c r="AH291" s="35"/>
    </row>
    <row r="292" spans="1:34" ht="15.6">
      <c r="A292" s="23" t="s">
        <v>698</v>
      </c>
      <c r="B292" s="81">
        <v>2000001095</v>
      </c>
      <c r="C292" s="25" t="s">
        <v>699</v>
      </c>
      <c r="D292" s="25">
        <v>0</v>
      </c>
      <c r="E292" s="25">
        <v>10</v>
      </c>
      <c r="F292" s="25">
        <v>1465</v>
      </c>
      <c r="G292" s="26">
        <f t="shared" si="12"/>
        <v>14650</v>
      </c>
      <c r="H292" s="27" t="s">
        <v>46</v>
      </c>
      <c r="I292" s="28" t="s">
        <v>723</v>
      </c>
      <c r="J292" s="29">
        <v>1465</v>
      </c>
      <c r="K292" s="29">
        <v>0</v>
      </c>
      <c r="L292" s="56" t="s">
        <v>723</v>
      </c>
      <c r="M292" s="31">
        <v>14650</v>
      </c>
      <c r="N292" s="31">
        <v>0</v>
      </c>
      <c r="O292" s="31" t="s">
        <v>76</v>
      </c>
      <c r="P292" s="32" t="s">
        <v>76</v>
      </c>
      <c r="Q292" s="33" t="s">
        <v>76</v>
      </c>
      <c r="R292" s="33" t="s">
        <v>76</v>
      </c>
      <c r="S292" s="29">
        <v>1465</v>
      </c>
      <c r="T292" s="31" t="s">
        <v>76</v>
      </c>
      <c r="U292" s="31" t="s">
        <v>76</v>
      </c>
      <c r="V292" s="31" t="s">
        <v>76</v>
      </c>
      <c r="W292" s="50">
        <v>45142</v>
      </c>
      <c r="X292" s="34">
        <v>1465</v>
      </c>
      <c r="Y292" s="34">
        <v>14650</v>
      </c>
      <c r="Z292" s="34" t="s">
        <v>798</v>
      </c>
      <c r="AA292" s="34">
        <f t="shared" si="13"/>
        <v>0</v>
      </c>
      <c r="AB292" s="34">
        <f t="shared" si="14"/>
        <v>0</v>
      </c>
      <c r="AC292" s="25" t="s">
        <v>285</v>
      </c>
      <c r="AD292" s="25" t="s">
        <v>76</v>
      </c>
      <c r="AE292" s="25"/>
      <c r="AF292" s="25"/>
      <c r="AG292" s="25"/>
      <c r="AH292" s="35"/>
    </row>
    <row r="293" spans="1:34" ht="15.6">
      <c r="A293" s="23" t="s">
        <v>698</v>
      </c>
      <c r="B293" s="81">
        <v>2000001095</v>
      </c>
      <c r="C293" s="25" t="s">
        <v>699</v>
      </c>
      <c r="D293" s="25">
        <v>0</v>
      </c>
      <c r="E293" s="25">
        <v>10</v>
      </c>
      <c r="F293" s="25">
        <v>1135</v>
      </c>
      <c r="G293" s="26">
        <f t="shared" si="12"/>
        <v>11350</v>
      </c>
      <c r="H293" s="27" t="s">
        <v>37</v>
      </c>
      <c r="I293" s="28" t="s">
        <v>723</v>
      </c>
      <c r="J293" s="29">
        <v>1135</v>
      </c>
      <c r="K293" s="29">
        <v>0</v>
      </c>
      <c r="L293" s="56" t="s">
        <v>723</v>
      </c>
      <c r="M293" s="31">
        <v>11350</v>
      </c>
      <c r="N293" s="31">
        <v>0</v>
      </c>
      <c r="O293" s="31" t="s">
        <v>76</v>
      </c>
      <c r="P293" s="32" t="s">
        <v>76</v>
      </c>
      <c r="Q293" s="33" t="s">
        <v>76</v>
      </c>
      <c r="R293" s="33" t="s">
        <v>76</v>
      </c>
      <c r="S293" s="29">
        <v>1135</v>
      </c>
      <c r="T293" s="31" t="s">
        <v>76</v>
      </c>
      <c r="U293" s="31" t="s">
        <v>76</v>
      </c>
      <c r="V293" s="31" t="s">
        <v>76</v>
      </c>
      <c r="W293" s="50" t="s">
        <v>723</v>
      </c>
      <c r="X293" s="34">
        <v>1135</v>
      </c>
      <c r="Y293" s="34">
        <v>11350</v>
      </c>
      <c r="Z293" s="34" t="s">
        <v>728</v>
      </c>
      <c r="AA293" s="34">
        <f t="shared" si="13"/>
        <v>0</v>
      </c>
      <c r="AB293" s="34">
        <f t="shared" si="14"/>
        <v>0</v>
      </c>
      <c r="AC293" s="25" t="s">
        <v>285</v>
      </c>
      <c r="AD293" s="25" t="s">
        <v>76</v>
      </c>
      <c r="AE293" s="25"/>
      <c r="AF293" s="25"/>
      <c r="AG293" s="25"/>
      <c r="AH293" s="35"/>
    </row>
    <row r="294" spans="1:34" ht="15.6">
      <c r="A294" s="23" t="s">
        <v>698</v>
      </c>
      <c r="B294" s="81">
        <v>2000001096</v>
      </c>
      <c r="C294" s="25" t="s">
        <v>699</v>
      </c>
      <c r="D294" s="25">
        <v>0</v>
      </c>
      <c r="E294" s="25">
        <v>10</v>
      </c>
      <c r="F294" s="25">
        <v>735</v>
      </c>
      <c r="G294" s="26">
        <f t="shared" si="12"/>
        <v>7350</v>
      </c>
      <c r="H294" s="27" t="s">
        <v>27</v>
      </c>
      <c r="I294" s="28" t="s">
        <v>723</v>
      </c>
      <c r="J294" s="29">
        <v>735</v>
      </c>
      <c r="K294" s="29">
        <v>0</v>
      </c>
      <c r="L294" s="56" t="s">
        <v>723</v>
      </c>
      <c r="M294" s="31">
        <v>7350</v>
      </c>
      <c r="N294" s="31">
        <v>0</v>
      </c>
      <c r="O294" s="31" t="s">
        <v>76</v>
      </c>
      <c r="P294" s="32" t="s">
        <v>76</v>
      </c>
      <c r="Q294" s="33" t="s">
        <v>76</v>
      </c>
      <c r="R294" s="33" t="s">
        <v>76</v>
      </c>
      <c r="S294" s="29">
        <v>735</v>
      </c>
      <c r="T294" s="31" t="s">
        <v>76</v>
      </c>
      <c r="U294" s="31" t="s">
        <v>76</v>
      </c>
      <c r="V294" s="31" t="s">
        <v>76</v>
      </c>
      <c r="W294" s="50" t="s">
        <v>813</v>
      </c>
      <c r="X294" s="34">
        <v>735</v>
      </c>
      <c r="Y294" s="34">
        <v>7350</v>
      </c>
      <c r="Z294" s="34" t="s">
        <v>800</v>
      </c>
      <c r="AA294" s="34">
        <f t="shared" si="13"/>
        <v>0</v>
      </c>
      <c r="AB294" s="34">
        <f t="shared" si="14"/>
        <v>0</v>
      </c>
      <c r="AC294" s="25" t="s">
        <v>285</v>
      </c>
      <c r="AD294" s="25" t="s">
        <v>76</v>
      </c>
      <c r="AE294" s="25"/>
      <c r="AF294" s="25"/>
      <c r="AG294" s="25"/>
      <c r="AH294" s="35"/>
    </row>
    <row r="295" spans="1:34" ht="15.6">
      <c r="A295" s="23" t="s">
        <v>698</v>
      </c>
      <c r="B295" s="81">
        <v>2000001096</v>
      </c>
      <c r="C295" s="25" t="s">
        <v>699</v>
      </c>
      <c r="D295" s="25">
        <v>0</v>
      </c>
      <c r="E295" s="25">
        <v>10</v>
      </c>
      <c r="F295" s="25">
        <v>1465</v>
      </c>
      <c r="G295" s="26">
        <f t="shared" si="12"/>
        <v>14650</v>
      </c>
      <c r="H295" s="27" t="s">
        <v>46</v>
      </c>
      <c r="I295" s="28" t="s">
        <v>723</v>
      </c>
      <c r="J295" s="29">
        <v>1465</v>
      </c>
      <c r="K295" s="29">
        <v>0</v>
      </c>
      <c r="L295" s="56" t="s">
        <v>723</v>
      </c>
      <c r="M295" s="31">
        <v>14650</v>
      </c>
      <c r="N295" s="31">
        <v>0</v>
      </c>
      <c r="O295" s="31" t="s">
        <v>76</v>
      </c>
      <c r="P295" s="32" t="s">
        <v>76</v>
      </c>
      <c r="Q295" s="33" t="s">
        <v>76</v>
      </c>
      <c r="R295" s="33" t="s">
        <v>76</v>
      </c>
      <c r="S295" s="29">
        <v>1465</v>
      </c>
      <c r="T295" s="31" t="s">
        <v>76</v>
      </c>
      <c r="U295" s="31" t="s">
        <v>76</v>
      </c>
      <c r="V295" s="31" t="s">
        <v>76</v>
      </c>
      <c r="W295" s="50" t="s">
        <v>818</v>
      </c>
      <c r="X295" s="34">
        <v>1465</v>
      </c>
      <c r="Y295" s="34">
        <v>14650</v>
      </c>
      <c r="Z295" s="34" t="s">
        <v>798</v>
      </c>
      <c r="AA295" s="34">
        <f t="shared" si="13"/>
        <v>0</v>
      </c>
      <c r="AB295" s="34">
        <f t="shared" si="14"/>
        <v>0</v>
      </c>
      <c r="AC295" s="25" t="s">
        <v>285</v>
      </c>
      <c r="AD295" s="25" t="s">
        <v>76</v>
      </c>
      <c r="AE295" s="25"/>
      <c r="AF295" s="25"/>
      <c r="AG295" s="25"/>
      <c r="AH295" s="35"/>
    </row>
    <row r="296" spans="1:34" ht="15.6">
      <c r="A296" s="23" t="s">
        <v>698</v>
      </c>
      <c r="B296" s="81">
        <v>2000001097</v>
      </c>
      <c r="C296" s="25" t="s">
        <v>699</v>
      </c>
      <c r="D296" s="25">
        <v>0</v>
      </c>
      <c r="E296" s="25">
        <v>10</v>
      </c>
      <c r="F296" s="25">
        <v>735</v>
      </c>
      <c r="G296" s="26">
        <f t="shared" si="12"/>
        <v>7350</v>
      </c>
      <c r="H296" s="27" t="s">
        <v>27</v>
      </c>
      <c r="I296" s="28" t="s">
        <v>723</v>
      </c>
      <c r="J296" s="29">
        <v>735</v>
      </c>
      <c r="K296" s="29">
        <v>0</v>
      </c>
      <c r="L296" s="56" t="s">
        <v>723</v>
      </c>
      <c r="M296" s="31">
        <v>7350</v>
      </c>
      <c r="N296" s="31">
        <v>0</v>
      </c>
      <c r="O296" s="31" t="s">
        <v>76</v>
      </c>
      <c r="P296" s="32" t="s">
        <v>76</v>
      </c>
      <c r="Q296" s="33" t="s">
        <v>76</v>
      </c>
      <c r="R296" s="33" t="s">
        <v>76</v>
      </c>
      <c r="S296" s="29">
        <v>735</v>
      </c>
      <c r="T296" s="31" t="s">
        <v>76</v>
      </c>
      <c r="U296" s="31" t="s">
        <v>76</v>
      </c>
      <c r="V296" s="31" t="s">
        <v>76</v>
      </c>
      <c r="W296" s="50" t="s">
        <v>813</v>
      </c>
      <c r="X296" s="34">
        <v>735</v>
      </c>
      <c r="Y296" s="34">
        <v>7350</v>
      </c>
      <c r="Z296" s="34" t="s">
        <v>800</v>
      </c>
      <c r="AA296" s="34">
        <f t="shared" si="13"/>
        <v>0</v>
      </c>
      <c r="AB296" s="34">
        <f t="shared" si="14"/>
        <v>0</v>
      </c>
      <c r="AC296" s="25" t="s">
        <v>285</v>
      </c>
      <c r="AD296" s="25" t="s">
        <v>76</v>
      </c>
      <c r="AE296" s="25"/>
      <c r="AF296" s="25"/>
      <c r="AG296" s="25"/>
      <c r="AH296" s="35"/>
    </row>
    <row r="297" spans="1:34" ht="15.6">
      <c r="A297" s="23" t="s">
        <v>698</v>
      </c>
      <c r="B297" s="81">
        <v>2000001097</v>
      </c>
      <c r="C297" s="25" t="s">
        <v>699</v>
      </c>
      <c r="D297" s="25">
        <v>0</v>
      </c>
      <c r="E297" s="25">
        <v>10</v>
      </c>
      <c r="F297" s="25">
        <v>1470</v>
      </c>
      <c r="G297" s="26">
        <f t="shared" si="12"/>
        <v>14700</v>
      </c>
      <c r="H297" s="27" t="s">
        <v>46</v>
      </c>
      <c r="I297" s="28" t="s">
        <v>723</v>
      </c>
      <c r="J297" s="29">
        <v>1470</v>
      </c>
      <c r="K297" s="29">
        <v>0</v>
      </c>
      <c r="L297" s="56" t="s">
        <v>723</v>
      </c>
      <c r="M297" s="31">
        <v>14700</v>
      </c>
      <c r="N297" s="31">
        <v>0</v>
      </c>
      <c r="O297" s="31" t="s">
        <v>76</v>
      </c>
      <c r="P297" s="32" t="s">
        <v>76</v>
      </c>
      <c r="Q297" s="33" t="s">
        <v>76</v>
      </c>
      <c r="R297" s="33" t="s">
        <v>76</v>
      </c>
      <c r="S297" s="29">
        <v>1470</v>
      </c>
      <c r="T297" s="31" t="s">
        <v>76</v>
      </c>
      <c r="U297" s="31" t="s">
        <v>76</v>
      </c>
      <c r="V297" s="31" t="s">
        <v>76</v>
      </c>
      <c r="W297" s="50">
        <v>45149</v>
      </c>
      <c r="X297" s="34">
        <v>1470</v>
      </c>
      <c r="Y297" s="34">
        <v>14700</v>
      </c>
      <c r="Z297" s="34" t="s">
        <v>798</v>
      </c>
      <c r="AA297" s="34">
        <f t="shared" si="13"/>
        <v>0</v>
      </c>
      <c r="AB297" s="34">
        <f t="shared" si="14"/>
        <v>0</v>
      </c>
      <c r="AC297" s="25" t="s">
        <v>285</v>
      </c>
      <c r="AD297" s="25" t="s">
        <v>76</v>
      </c>
      <c r="AE297" s="25"/>
      <c r="AF297" s="25"/>
      <c r="AG297" s="25"/>
      <c r="AH297" s="35"/>
    </row>
    <row r="298" spans="1:34" ht="15.6">
      <c r="A298" s="23" t="s">
        <v>700</v>
      </c>
      <c r="B298" s="81">
        <v>6000023355</v>
      </c>
      <c r="C298" s="25" t="s">
        <v>701</v>
      </c>
      <c r="D298" s="25">
        <v>0</v>
      </c>
      <c r="E298" s="25">
        <v>20</v>
      </c>
      <c r="F298" s="25">
        <v>56</v>
      </c>
      <c r="G298" s="26">
        <f t="shared" si="12"/>
        <v>1120</v>
      </c>
      <c r="H298" s="27" t="s">
        <v>722</v>
      </c>
      <c r="I298" s="28" t="s">
        <v>723</v>
      </c>
      <c r="J298" s="29">
        <v>56</v>
      </c>
      <c r="K298" s="29">
        <v>0</v>
      </c>
      <c r="L298" s="56" t="s">
        <v>723</v>
      </c>
      <c r="M298" s="31">
        <v>1120</v>
      </c>
      <c r="N298" s="31">
        <v>0</v>
      </c>
      <c r="O298" s="31" t="s">
        <v>76</v>
      </c>
      <c r="P298" s="32" t="s">
        <v>76</v>
      </c>
      <c r="Q298" s="33" t="s">
        <v>76</v>
      </c>
      <c r="R298" s="33" t="s">
        <v>76</v>
      </c>
      <c r="S298" s="29">
        <v>56</v>
      </c>
      <c r="T298" s="31" t="s">
        <v>76</v>
      </c>
      <c r="U298" s="31" t="s">
        <v>76</v>
      </c>
      <c r="V298" s="31" t="s">
        <v>76</v>
      </c>
      <c r="W298" s="50">
        <v>45142</v>
      </c>
      <c r="X298" s="34">
        <v>56</v>
      </c>
      <c r="Y298" s="34">
        <v>1120</v>
      </c>
      <c r="Z298" s="34" t="s">
        <v>338</v>
      </c>
      <c r="AA298" s="34">
        <f t="shared" si="13"/>
        <v>0</v>
      </c>
      <c r="AB298" s="34">
        <f t="shared" si="14"/>
        <v>0</v>
      </c>
      <c r="AC298" s="25" t="s">
        <v>285</v>
      </c>
      <c r="AD298" s="25" t="s">
        <v>76</v>
      </c>
      <c r="AE298" s="25"/>
      <c r="AF298" s="25"/>
      <c r="AG298" s="25"/>
      <c r="AH298" s="35"/>
    </row>
    <row r="299" spans="1:34" ht="15.6">
      <c r="A299" s="23" t="s">
        <v>700</v>
      </c>
      <c r="B299" s="81">
        <v>6000023355</v>
      </c>
      <c r="C299" s="25" t="s">
        <v>701</v>
      </c>
      <c r="D299" s="25">
        <v>0</v>
      </c>
      <c r="E299" s="25">
        <v>20</v>
      </c>
      <c r="F299" s="25">
        <v>72</v>
      </c>
      <c r="G299" s="26">
        <f t="shared" si="12"/>
        <v>1440</v>
      </c>
      <c r="H299" s="27" t="s">
        <v>146</v>
      </c>
      <c r="I299" s="28" t="s">
        <v>723</v>
      </c>
      <c r="J299" s="29">
        <v>72</v>
      </c>
      <c r="K299" s="29">
        <v>0</v>
      </c>
      <c r="L299" s="56" t="s">
        <v>723</v>
      </c>
      <c r="M299" s="31">
        <v>1440</v>
      </c>
      <c r="N299" s="31">
        <v>0</v>
      </c>
      <c r="O299" s="31" t="s">
        <v>76</v>
      </c>
      <c r="P299" s="32" t="s">
        <v>76</v>
      </c>
      <c r="Q299" s="33" t="s">
        <v>76</v>
      </c>
      <c r="R299" s="33" t="s">
        <v>76</v>
      </c>
      <c r="S299" s="29">
        <v>72</v>
      </c>
      <c r="T299" s="31" t="s">
        <v>76</v>
      </c>
      <c r="U299" s="31" t="s">
        <v>76</v>
      </c>
      <c r="V299" s="31" t="s">
        <v>76</v>
      </c>
      <c r="W299" s="50">
        <v>45142</v>
      </c>
      <c r="X299" s="34">
        <v>72</v>
      </c>
      <c r="Y299" s="34">
        <v>1440</v>
      </c>
      <c r="Z299" s="34" t="s">
        <v>338</v>
      </c>
      <c r="AA299" s="34">
        <f t="shared" si="13"/>
        <v>0</v>
      </c>
      <c r="AB299" s="34">
        <f t="shared" si="14"/>
        <v>0</v>
      </c>
      <c r="AC299" s="25" t="s">
        <v>285</v>
      </c>
      <c r="AD299" s="25" t="s">
        <v>76</v>
      </c>
      <c r="AE299" s="25"/>
      <c r="AF299" s="25"/>
      <c r="AG299" s="25"/>
      <c r="AH299" s="35"/>
    </row>
    <row r="300" spans="1:34" ht="15.6">
      <c r="A300" s="23" t="s">
        <v>635</v>
      </c>
      <c r="B300" s="81">
        <v>6000023459</v>
      </c>
      <c r="C300" s="25" t="s">
        <v>702</v>
      </c>
      <c r="D300" s="25">
        <v>0</v>
      </c>
      <c r="E300" s="25">
        <v>10</v>
      </c>
      <c r="F300" s="25">
        <v>1464</v>
      </c>
      <c r="G300" s="26">
        <f t="shared" si="12"/>
        <v>14640</v>
      </c>
      <c r="H300" s="27" t="s">
        <v>46</v>
      </c>
      <c r="I300" s="28" t="s">
        <v>723</v>
      </c>
      <c r="J300" s="29">
        <v>1464</v>
      </c>
      <c r="K300" s="29">
        <v>0</v>
      </c>
      <c r="L300" s="56" t="s">
        <v>723</v>
      </c>
      <c r="M300" s="31">
        <v>14640</v>
      </c>
      <c r="N300" s="31">
        <v>0</v>
      </c>
      <c r="O300" s="31" t="s">
        <v>76</v>
      </c>
      <c r="P300" s="32" t="s">
        <v>76</v>
      </c>
      <c r="Q300" s="33" t="s">
        <v>76</v>
      </c>
      <c r="R300" s="33" t="s">
        <v>76</v>
      </c>
      <c r="S300" s="29">
        <v>1464</v>
      </c>
      <c r="T300" s="31" t="s">
        <v>76</v>
      </c>
      <c r="U300" s="31" t="s">
        <v>76</v>
      </c>
      <c r="V300" s="31" t="s">
        <v>76</v>
      </c>
      <c r="W300" s="50" t="s">
        <v>732</v>
      </c>
      <c r="X300" s="34">
        <v>1464</v>
      </c>
      <c r="Y300" s="34">
        <v>14640</v>
      </c>
      <c r="Z300" s="34" t="s">
        <v>751</v>
      </c>
      <c r="AA300" s="34">
        <f t="shared" si="13"/>
        <v>0</v>
      </c>
      <c r="AB300" s="34">
        <f t="shared" si="14"/>
        <v>0</v>
      </c>
      <c r="AC300" s="25" t="s">
        <v>285</v>
      </c>
      <c r="AD300" s="25" t="s">
        <v>76</v>
      </c>
      <c r="AE300" s="25"/>
      <c r="AF300" s="25"/>
      <c r="AG300" s="25"/>
      <c r="AH300" s="35"/>
    </row>
    <row r="301" spans="1:34" ht="15.6">
      <c r="A301" s="23" t="s">
        <v>635</v>
      </c>
      <c r="B301" s="81">
        <v>6000023459</v>
      </c>
      <c r="C301" s="25" t="s">
        <v>702</v>
      </c>
      <c r="D301" s="25">
        <v>0</v>
      </c>
      <c r="E301" s="25">
        <v>10</v>
      </c>
      <c r="F301" s="25">
        <v>288</v>
      </c>
      <c r="G301" s="26">
        <f t="shared" si="12"/>
        <v>2880</v>
      </c>
      <c r="H301" s="27" t="s">
        <v>37</v>
      </c>
      <c r="I301" s="28" t="s">
        <v>723</v>
      </c>
      <c r="J301" s="29">
        <v>288</v>
      </c>
      <c r="K301" s="29">
        <v>0</v>
      </c>
      <c r="L301" s="56" t="s">
        <v>723</v>
      </c>
      <c r="M301" s="31">
        <v>2880</v>
      </c>
      <c r="N301" s="31">
        <v>0</v>
      </c>
      <c r="O301" s="31" t="s">
        <v>76</v>
      </c>
      <c r="P301" s="32" t="s">
        <v>76</v>
      </c>
      <c r="Q301" s="33" t="s">
        <v>76</v>
      </c>
      <c r="R301" s="33" t="s">
        <v>76</v>
      </c>
      <c r="S301" s="29">
        <v>288</v>
      </c>
      <c r="T301" s="31" t="s">
        <v>76</v>
      </c>
      <c r="U301" s="31" t="s">
        <v>76</v>
      </c>
      <c r="V301" s="31" t="s">
        <v>76</v>
      </c>
      <c r="W301" s="50" t="s">
        <v>753</v>
      </c>
      <c r="X301" s="34">
        <v>288</v>
      </c>
      <c r="Y301" s="34">
        <v>2880</v>
      </c>
      <c r="Z301" s="34" t="s">
        <v>754</v>
      </c>
      <c r="AA301" s="34">
        <f t="shared" si="13"/>
        <v>0</v>
      </c>
      <c r="AB301" s="34">
        <f t="shared" si="14"/>
        <v>0</v>
      </c>
      <c r="AC301" s="25" t="s">
        <v>285</v>
      </c>
      <c r="AD301" s="25" t="s">
        <v>76</v>
      </c>
      <c r="AE301" s="25"/>
      <c r="AF301" s="25"/>
      <c r="AG301" s="25"/>
      <c r="AH301" s="35"/>
    </row>
    <row r="302" spans="1:34" ht="31.2">
      <c r="A302" s="23" t="s">
        <v>635</v>
      </c>
      <c r="B302" s="81">
        <v>6000023459</v>
      </c>
      <c r="C302" s="25" t="s">
        <v>702</v>
      </c>
      <c r="D302" s="25">
        <v>0</v>
      </c>
      <c r="E302" s="25">
        <v>10</v>
      </c>
      <c r="F302" s="25">
        <v>2208</v>
      </c>
      <c r="G302" s="26">
        <f t="shared" si="12"/>
        <v>22080</v>
      </c>
      <c r="H302" s="27" t="s">
        <v>146</v>
      </c>
      <c r="I302" s="28" t="s">
        <v>723</v>
      </c>
      <c r="J302" s="29">
        <v>2208</v>
      </c>
      <c r="K302" s="29">
        <v>0</v>
      </c>
      <c r="L302" s="56" t="s">
        <v>723</v>
      </c>
      <c r="M302" s="31">
        <v>22080</v>
      </c>
      <c r="N302" s="31">
        <v>0</v>
      </c>
      <c r="O302" s="31" t="s">
        <v>76</v>
      </c>
      <c r="P302" s="32" t="s">
        <v>76</v>
      </c>
      <c r="Q302" s="33" t="s">
        <v>76</v>
      </c>
      <c r="R302" s="33" t="s">
        <v>76</v>
      </c>
      <c r="S302" s="29">
        <v>2208</v>
      </c>
      <c r="T302" s="31" t="s">
        <v>76</v>
      </c>
      <c r="U302" s="31" t="s">
        <v>76</v>
      </c>
      <c r="V302" s="31" t="s">
        <v>76</v>
      </c>
      <c r="W302" s="50" t="s">
        <v>1457</v>
      </c>
      <c r="X302" s="34">
        <v>2208</v>
      </c>
      <c r="Y302" s="34">
        <v>22080</v>
      </c>
      <c r="Z302" s="34" t="s">
        <v>1057</v>
      </c>
      <c r="AA302" s="34">
        <f t="shared" si="13"/>
        <v>0</v>
      </c>
      <c r="AB302" s="34">
        <f t="shared" si="14"/>
        <v>0</v>
      </c>
      <c r="AC302" s="25" t="s">
        <v>285</v>
      </c>
      <c r="AD302" s="25" t="s">
        <v>76</v>
      </c>
      <c r="AE302" s="25"/>
      <c r="AF302" s="25"/>
      <c r="AG302" s="25"/>
      <c r="AH302" s="35"/>
    </row>
    <row r="303" spans="1:34" ht="15.6">
      <c r="A303" s="23" t="s">
        <v>703</v>
      </c>
      <c r="B303" s="81">
        <v>2000001090</v>
      </c>
      <c r="C303" s="25" t="s">
        <v>704</v>
      </c>
      <c r="D303" s="25">
        <v>0</v>
      </c>
      <c r="E303" s="25">
        <v>10</v>
      </c>
      <c r="F303" s="25">
        <v>100</v>
      </c>
      <c r="G303" s="26">
        <f t="shared" si="12"/>
        <v>1000</v>
      </c>
      <c r="H303" s="27" t="s">
        <v>27</v>
      </c>
      <c r="I303" s="28" t="s">
        <v>723</v>
      </c>
      <c r="J303" s="29">
        <v>100</v>
      </c>
      <c r="K303" s="29">
        <v>0</v>
      </c>
      <c r="L303" s="56" t="s">
        <v>723</v>
      </c>
      <c r="M303" s="31">
        <v>1000</v>
      </c>
      <c r="N303" s="31">
        <v>0</v>
      </c>
      <c r="O303" s="31" t="s">
        <v>76</v>
      </c>
      <c r="P303" s="32" t="s">
        <v>76</v>
      </c>
      <c r="Q303" s="33" t="s">
        <v>76</v>
      </c>
      <c r="R303" s="33" t="s">
        <v>76</v>
      </c>
      <c r="S303" s="29">
        <v>100</v>
      </c>
      <c r="T303" s="31" t="s">
        <v>76</v>
      </c>
      <c r="U303" s="31" t="s">
        <v>76</v>
      </c>
      <c r="V303" s="31" t="s">
        <v>76</v>
      </c>
      <c r="W303" s="50" t="s">
        <v>799</v>
      </c>
      <c r="X303" s="34">
        <v>100</v>
      </c>
      <c r="Y303" s="34">
        <v>1000</v>
      </c>
      <c r="Z303" s="34" t="s">
        <v>800</v>
      </c>
      <c r="AA303" s="34">
        <f t="shared" si="13"/>
        <v>0</v>
      </c>
      <c r="AB303" s="34">
        <f t="shared" si="14"/>
        <v>0</v>
      </c>
      <c r="AC303" s="25" t="s">
        <v>285</v>
      </c>
      <c r="AD303" s="25" t="s">
        <v>76</v>
      </c>
      <c r="AE303" s="25"/>
      <c r="AF303" s="25"/>
      <c r="AG303" s="25"/>
      <c r="AH303" s="35"/>
    </row>
    <row r="304" spans="1:34" ht="15.6">
      <c r="A304" s="23" t="s">
        <v>703</v>
      </c>
      <c r="B304" s="81">
        <v>2000001090</v>
      </c>
      <c r="C304" s="25" t="s">
        <v>704</v>
      </c>
      <c r="D304" s="25">
        <v>0</v>
      </c>
      <c r="E304" s="25">
        <v>10</v>
      </c>
      <c r="F304" s="25">
        <v>200</v>
      </c>
      <c r="G304" s="26">
        <f t="shared" si="12"/>
        <v>2000</v>
      </c>
      <c r="H304" s="27" t="s">
        <v>46</v>
      </c>
      <c r="I304" s="28" t="s">
        <v>723</v>
      </c>
      <c r="J304" s="29">
        <v>200</v>
      </c>
      <c r="K304" s="29">
        <v>0</v>
      </c>
      <c r="L304" s="56" t="s">
        <v>723</v>
      </c>
      <c r="M304" s="31">
        <v>2000</v>
      </c>
      <c r="N304" s="31">
        <v>0</v>
      </c>
      <c r="O304" s="31" t="s">
        <v>76</v>
      </c>
      <c r="P304" s="32" t="s">
        <v>76</v>
      </c>
      <c r="Q304" s="33" t="s">
        <v>76</v>
      </c>
      <c r="R304" s="33" t="s">
        <v>76</v>
      </c>
      <c r="S304" s="29">
        <v>200</v>
      </c>
      <c r="T304" s="31" t="s">
        <v>76</v>
      </c>
      <c r="U304" s="31" t="s">
        <v>76</v>
      </c>
      <c r="V304" s="31" t="s">
        <v>76</v>
      </c>
      <c r="W304" s="50" t="s">
        <v>799</v>
      </c>
      <c r="X304" s="34">
        <v>200</v>
      </c>
      <c r="Y304" s="34">
        <v>2000</v>
      </c>
      <c r="Z304" s="34" t="s">
        <v>800</v>
      </c>
      <c r="AA304" s="34">
        <f t="shared" si="13"/>
        <v>0</v>
      </c>
      <c r="AB304" s="34">
        <f t="shared" si="14"/>
        <v>0</v>
      </c>
      <c r="AC304" s="25" t="s">
        <v>285</v>
      </c>
      <c r="AD304" s="25" t="s">
        <v>76</v>
      </c>
      <c r="AE304" s="25"/>
      <c r="AF304" s="25"/>
      <c r="AG304" s="25"/>
      <c r="AH304" s="35"/>
    </row>
    <row r="305" spans="1:34" ht="15.6">
      <c r="A305" s="23" t="s">
        <v>703</v>
      </c>
      <c r="B305" s="81">
        <v>2000001090</v>
      </c>
      <c r="C305" s="25" t="s">
        <v>704</v>
      </c>
      <c r="D305" s="25">
        <v>0</v>
      </c>
      <c r="E305" s="25">
        <v>10</v>
      </c>
      <c r="F305" s="25">
        <v>200</v>
      </c>
      <c r="G305" s="26">
        <f t="shared" si="12"/>
        <v>2000</v>
      </c>
      <c r="H305" s="27" t="s">
        <v>37</v>
      </c>
      <c r="I305" s="28" t="s">
        <v>723</v>
      </c>
      <c r="J305" s="29">
        <v>200</v>
      </c>
      <c r="K305" s="29">
        <v>0</v>
      </c>
      <c r="L305" s="56" t="s">
        <v>723</v>
      </c>
      <c r="M305" s="31">
        <v>2000</v>
      </c>
      <c r="N305" s="31">
        <v>0</v>
      </c>
      <c r="O305" s="31" t="s">
        <v>76</v>
      </c>
      <c r="P305" s="32" t="s">
        <v>76</v>
      </c>
      <c r="Q305" s="33" t="s">
        <v>76</v>
      </c>
      <c r="R305" s="33" t="s">
        <v>76</v>
      </c>
      <c r="S305" s="29">
        <v>200</v>
      </c>
      <c r="T305" s="31" t="s">
        <v>76</v>
      </c>
      <c r="U305" s="31" t="s">
        <v>76</v>
      </c>
      <c r="V305" s="31" t="s">
        <v>76</v>
      </c>
      <c r="W305" s="50" t="s">
        <v>799</v>
      </c>
      <c r="X305" s="34">
        <v>200</v>
      </c>
      <c r="Y305" s="34">
        <v>2000</v>
      </c>
      <c r="Z305" s="34" t="s">
        <v>800</v>
      </c>
      <c r="AA305" s="34">
        <f t="shared" si="13"/>
        <v>0</v>
      </c>
      <c r="AB305" s="34">
        <f t="shared" si="14"/>
        <v>0</v>
      </c>
      <c r="AC305" s="25" t="s">
        <v>285</v>
      </c>
      <c r="AD305" s="25" t="s">
        <v>76</v>
      </c>
      <c r="AE305" s="25"/>
      <c r="AF305" s="25"/>
      <c r="AG305" s="25"/>
      <c r="AH305" s="35"/>
    </row>
    <row r="306" spans="1:34" ht="15.6">
      <c r="A306" s="23" t="s">
        <v>705</v>
      </c>
      <c r="B306" s="81">
        <v>2000001100</v>
      </c>
      <c r="C306" s="25" t="s">
        <v>706</v>
      </c>
      <c r="D306" s="25">
        <v>0</v>
      </c>
      <c r="E306" s="25">
        <v>10</v>
      </c>
      <c r="F306" s="25">
        <v>200</v>
      </c>
      <c r="G306" s="26">
        <f t="shared" si="12"/>
        <v>2000</v>
      </c>
      <c r="H306" s="27" t="s">
        <v>27</v>
      </c>
      <c r="I306" s="28" t="s">
        <v>723</v>
      </c>
      <c r="J306" s="29">
        <v>200</v>
      </c>
      <c r="K306" s="29">
        <v>0</v>
      </c>
      <c r="L306" s="56" t="s">
        <v>723</v>
      </c>
      <c r="M306" s="31">
        <v>2000</v>
      </c>
      <c r="N306" s="31">
        <v>0</v>
      </c>
      <c r="O306" s="31" t="s">
        <v>76</v>
      </c>
      <c r="P306" s="32" t="s">
        <v>76</v>
      </c>
      <c r="Q306" s="33" t="s">
        <v>76</v>
      </c>
      <c r="R306" s="33" t="s">
        <v>76</v>
      </c>
      <c r="S306" s="29">
        <v>200</v>
      </c>
      <c r="T306" s="31" t="s">
        <v>76</v>
      </c>
      <c r="U306" s="31" t="s">
        <v>76</v>
      </c>
      <c r="V306" s="31" t="s">
        <v>76</v>
      </c>
      <c r="W306" s="50" t="s">
        <v>799</v>
      </c>
      <c r="X306" s="34">
        <v>200</v>
      </c>
      <c r="Y306" s="34">
        <v>2000</v>
      </c>
      <c r="Z306" s="34" t="s">
        <v>800</v>
      </c>
      <c r="AA306" s="34">
        <f t="shared" si="13"/>
        <v>0</v>
      </c>
      <c r="AB306" s="34">
        <f t="shared" si="14"/>
        <v>0</v>
      </c>
      <c r="AC306" s="25" t="s">
        <v>285</v>
      </c>
      <c r="AD306" s="25" t="s">
        <v>76</v>
      </c>
      <c r="AE306" s="25"/>
      <c r="AF306" s="25"/>
      <c r="AG306" s="25"/>
      <c r="AH306" s="35"/>
    </row>
    <row r="307" spans="1:34" ht="46.8">
      <c r="A307" s="23" t="s">
        <v>707</v>
      </c>
      <c r="B307" s="81">
        <v>2000001099</v>
      </c>
      <c r="C307" s="25" t="s">
        <v>708</v>
      </c>
      <c r="D307" s="25">
        <v>0</v>
      </c>
      <c r="E307" s="25">
        <v>10</v>
      </c>
      <c r="F307" s="25">
        <v>500</v>
      </c>
      <c r="G307" s="26">
        <f t="shared" si="12"/>
        <v>5000</v>
      </c>
      <c r="H307" s="27" t="s">
        <v>27</v>
      </c>
      <c r="I307" s="28" t="s">
        <v>723</v>
      </c>
      <c r="J307" s="29">
        <v>500</v>
      </c>
      <c r="K307" s="29">
        <v>0</v>
      </c>
      <c r="L307" s="56" t="s">
        <v>723</v>
      </c>
      <c r="M307" s="31">
        <v>5000</v>
      </c>
      <c r="N307" s="31">
        <v>0</v>
      </c>
      <c r="O307" s="31" t="s">
        <v>76</v>
      </c>
      <c r="P307" s="32" t="s">
        <v>76</v>
      </c>
      <c r="Q307" s="33" t="s">
        <v>76</v>
      </c>
      <c r="R307" s="33" t="s">
        <v>76</v>
      </c>
      <c r="S307" s="29">
        <v>500</v>
      </c>
      <c r="T307" s="31" t="s">
        <v>76</v>
      </c>
      <c r="U307" s="31" t="s">
        <v>76</v>
      </c>
      <c r="V307" s="31" t="s">
        <v>76</v>
      </c>
      <c r="W307" s="50" t="s">
        <v>1886</v>
      </c>
      <c r="X307" s="34">
        <f>300+200</f>
        <v>500</v>
      </c>
      <c r="Y307" s="34">
        <f>3000+2000</f>
        <v>5000</v>
      </c>
      <c r="Z307" s="34" t="s">
        <v>1058</v>
      </c>
      <c r="AA307" s="34">
        <f t="shared" si="13"/>
        <v>0</v>
      </c>
      <c r="AB307" s="34">
        <f t="shared" si="14"/>
        <v>0</v>
      </c>
      <c r="AC307" s="25" t="s">
        <v>285</v>
      </c>
      <c r="AD307" s="25" t="s">
        <v>76</v>
      </c>
      <c r="AE307" s="25"/>
      <c r="AF307" s="25"/>
      <c r="AG307" s="25"/>
      <c r="AH307" s="35"/>
    </row>
    <row r="308" spans="1:34" ht="31.2">
      <c r="A308" s="23" t="s">
        <v>707</v>
      </c>
      <c r="B308" s="81">
        <v>2000001099</v>
      </c>
      <c r="C308" s="25" t="s">
        <v>708</v>
      </c>
      <c r="D308" s="25">
        <v>0</v>
      </c>
      <c r="E308" s="25">
        <v>10</v>
      </c>
      <c r="F308" s="25">
        <v>300</v>
      </c>
      <c r="G308" s="26">
        <f t="shared" si="12"/>
        <v>3000</v>
      </c>
      <c r="H308" s="27" t="s">
        <v>46</v>
      </c>
      <c r="I308" s="28" t="s">
        <v>723</v>
      </c>
      <c r="J308" s="29">
        <v>300</v>
      </c>
      <c r="K308" s="29">
        <v>0</v>
      </c>
      <c r="L308" s="56" t="s">
        <v>723</v>
      </c>
      <c r="M308" s="31">
        <v>3000</v>
      </c>
      <c r="N308" s="31">
        <v>0</v>
      </c>
      <c r="O308" s="31" t="s">
        <v>76</v>
      </c>
      <c r="P308" s="32" t="s">
        <v>76</v>
      </c>
      <c r="Q308" s="33" t="s">
        <v>76</v>
      </c>
      <c r="R308" s="33" t="s">
        <v>76</v>
      </c>
      <c r="S308" s="29">
        <v>300</v>
      </c>
      <c r="T308" s="31" t="s">
        <v>76</v>
      </c>
      <c r="U308" s="31" t="s">
        <v>76</v>
      </c>
      <c r="V308" s="31" t="s">
        <v>76</v>
      </c>
      <c r="W308" s="50" t="s">
        <v>1690</v>
      </c>
      <c r="X308" s="34">
        <f>100+200</f>
        <v>300</v>
      </c>
      <c r="Y308" s="34">
        <f>1000+2000</f>
        <v>3000</v>
      </c>
      <c r="Z308" s="34" t="s">
        <v>754</v>
      </c>
      <c r="AA308" s="34">
        <f t="shared" si="13"/>
        <v>0</v>
      </c>
      <c r="AB308" s="34">
        <f t="shared" si="14"/>
        <v>0</v>
      </c>
      <c r="AC308" s="25" t="s">
        <v>285</v>
      </c>
      <c r="AD308" s="25" t="s">
        <v>76</v>
      </c>
      <c r="AE308" s="25"/>
      <c r="AF308" s="25"/>
      <c r="AG308" s="25"/>
      <c r="AH308" s="35"/>
    </row>
    <row r="309" spans="1:34" ht="31.2">
      <c r="A309" s="23" t="s">
        <v>707</v>
      </c>
      <c r="B309" s="81">
        <v>2000001099</v>
      </c>
      <c r="C309" s="25" t="s">
        <v>708</v>
      </c>
      <c r="D309" s="25">
        <v>0</v>
      </c>
      <c r="E309" s="25">
        <v>10</v>
      </c>
      <c r="F309" s="25">
        <v>300</v>
      </c>
      <c r="G309" s="26">
        <f t="shared" si="12"/>
        <v>3000</v>
      </c>
      <c r="H309" s="27" t="s">
        <v>37</v>
      </c>
      <c r="I309" s="28" t="s">
        <v>723</v>
      </c>
      <c r="J309" s="29">
        <v>300</v>
      </c>
      <c r="K309" s="29">
        <v>0</v>
      </c>
      <c r="L309" s="56" t="s">
        <v>723</v>
      </c>
      <c r="M309" s="31">
        <v>3000</v>
      </c>
      <c r="N309" s="31">
        <v>0</v>
      </c>
      <c r="O309" s="31" t="s">
        <v>76</v>
      </c>
      <c r="P309" s="32" t="s">
        <v>76</v>
      </c>
      <c r="Q309" s="33" t="s">
        <v>76</v>
      </c>
      <c r="R309" s="33" t="s">
        <v>76</v>
      </c>
      <c r="S309" s="29">
        <v>300</v>
      </c>
      <c r="T309" s="31" t="s">
        <v>76</v>
      </c>
      <c r="U309" s="31" t="s">
        <v>76</v>
      </c>
      <c r="V309" s="31" t="s">
        <v>76</v>
      </c>
      <c r="W309" s="50" t="s">
        <v>1690</v>
      </c>
      <c r="X309" s="34">
        <f>100+200</f>
        <v>300</v>
      </c>
      <c r="Y309" s="34">
        <f>1000+2000</f>
        <v>3000</v>
      </c>
      <c r="Z309" s="34" t="s">
        <v>754</v>
      </c>
      <c r="AA309" s="34">
        <f t="shared" si="13"/>
        <v>0</v>
      </c>
      <c r="AB309" s="34">
        <f t="shared" si="14"/>
        <v>0</v>
      </c>
      <c r="AC309" s="25" t="s">
        <v>285</v>
      </c>
      <c r="AD309" s="25" t="s">
        <v>76</v>
      </c>
      <c r="AE309" s="25"/>
      <c r="AF309" s="25"/>
      <c r="AG309" s="25"/>
      <c r="AH309" s="35"/>
    </row>
    <row r="310" spans="1:34" ht="31.2">
      <c r="A310" s="23" t="s">
        <v>136</v>
      </c>
      <c r="B310" s="81">
        <v>6000023471</v>
      </c>
      <c r="C310" s="25" t="s">
        <v>709</v>
      </c>
      <c r="D310" s="25">
        <v>0</v>
      </c>
      <c r="E310" s="25">
        <v>10</v>
      </c>
      <c r="F310" s="25">
        <v>3000</v>
      </c>
      <c r="G310" s="26">
        <f t="shared" si="12"/>
        <v>30000</v>
      </c>
      <c r="H310" s="27" t="s">
        <v>46</v>
      </c>
      <c r="I310" s="28" t="s">
        <v>723</v>
      </c>
      <c r="J310" s="29">
        <v>3000</v>
      </c>
      <c r="K310" s="29">
        <v>0</v>
      </c>
      <c r="L310" s="56" t="s">
        <v>723</v>
      </c>
      <c r="M310" s="31">
        <v>30000</v>
      </c>
      <c r="N310" s="31">
        <v>0</v>
      </c>
      <c r="O310" s="31" t="s">
        <v>76</v>
      </c>
      <c r="P310" s="32" t="s">
        <v>76</v>
      </c>
      <c r="Q310" s="33" t="s">
        <v>76</v>
      </c>
      <c r="R310" s="33" t="s">
        <v>76</v>
      </c>
      <c r="S310" s="29">
        <v>3000</v>
      </c>
      <c r="T310" s="31" t="s">
        <v>76</v>
      </c>
      <c r="U310" s="31" t="s">
        <v>76</v>
      </c>
      <c r="V310" s="31" t="s">
        <v>76</v>
      </c>
      <c r="W310" s="50" t="s">
        <v>1735</v>
      </c>
      <c r="X310" s="34">
        <v>3000</v>
      </c>
      <c r="Y310" s="34">
        <v>30000</v>
      </c>
      <c r="Z310" s="34" t="s">
        <v>1059</v>
      </c>
      <c r="AA310" s="34">
        <f t="shared" si="13"/>
        <v>0</v>
      </c>
      <c r="AB310" s="34">
        <f t="shared" si="14"/>
        <v>0</v>
      </c>
      <c r="AC310" s="25" t="s">
        <v>285</v>
      </c>
      <c r="AD310" s="25" t="s">
        <v>76</v>
      </c>
      <c r="AE310" s="25"/>
      <c r="AF310" s="25"/>
      <c r="AG310" s="25"/>
      <c r="AH310" s="35"/>
    </row>
    <row r="311" spans="1:34" ht="15.6">
      <c r="A311" s="23" t="s">
        <v>136</v>
      </c>
      <c r="B311" s="81">
        <v>6000023472</v>
      </c>
      <c r="C311" s="25" t="s">
        <v>709</v>
      </c>
      <c r="D311" s="25">
        <v>0</v>
      </c>
      <c r="E311" s="25">
        <v>10</v>
      </c>
      <c r="F311" s="25">
        <v>3000</v>
      </c>
      <c r="G311" s="26">
        <f t="shared" si="12"/>
        <v>30000</v>
      </c>
      <c r="H311" s="27" t="s">
        <v>46</v>
      </c>
      <c r="I311" s="28" t="s">
        <v>723</v>
      </c>
      <c r="J311" s="29">
        <v>3000</v>
      </c>
      <c r="K311" s="29">
        <v>0</v>
      </c>
      <c r="L311" s="56" t="s">
        <v>723</v>
      </c>
      <c r="M311" s="31">
        <v>30000</v>
      </c>
      <c r="N311" s="31">
        <v>0</v>
      </c>
      <c r="O311" s="31" t="s">
        <v>76</v>
      </c>
      <c r="P311" s="32" t="s">
        <v>76</v>
      </c>
      <c r="Q311" s="33" t="s">
        <v>76</v>
      </c>
      <c r="R311" s="33" t="s">
        <v>76</v>
      </c>
      <c r="S311" s="29">
        <v>3000</v>
      </c>
      <c r="T311" s="31" t="s">
        <v>76</v>
      </c>
      <c r="U311" s="31" t="s">
        <v>76</v>
      </c>
      <c r="V311" s="31" t="s">
        <v>76</v>
      </c>
      <c r="W311" s="50">
        <v>45151</v>
      </c>
      <c r="X311" s="34">
        <v>3000</v>
      </c>
      <c r="Y311" s="34">
        <v>30000</v>
      </c>
      <c r="Z311" s="34" t="s">
        <v>727</v>
      </c>
      <c r="AA311" s="34">
        <f t="shared" si="13"/>
        <v>0</v>
      </c>
      <c r="AB311" s="34">
        <f t="shared" si="14"/>
        <v>0</v>
      </c>
      <c r="AC311" s="25" t="s">
        <v>285</v>
      </c>
      <c r="AD311" s="25" t="s">
        <v>76</v>
      </c>
      <c r="AE311" s="25"/>
      <c r="AF311" s="25"/>
      <c r="AG311" s="25"/>
      <c r="AH311" s="35"/>
    </row>
    <row r="312" spans="1:34" ht="31.2">
      <c r="A312" s="23" t="s">
        <v>710</v>
      </c>
      <c r="B312" s="81">
        <v>6000023509</v>
      </c>
      <c r="C312" s="25" t="s">
        <v>711</v>
      </c>
      <c r="D312" s="25">
        <v>0</v>
      </c>
      <c r="E312" s="25">
        <v>10</v>
      </c>
      <c r="F312" s="25">
        <v>200</v>
      </c>
      <c r="G312" s="26">
        <f t="shared" si="12"/>
        <v>2000</v>
      </c>
      <c r="H312" s="27" t="s">
        <v>146</v>
      </c>
      <c r="I312" s="28" t="s">
        <v>723</v>
      </c>
      <c r="J312" s="29">
        <v>200</v>
      </c>
      <c r="K312" s="29">
        <v>0</v>
      </c>
      <c r="L312" s="56" t="s">
        <v>723</v>
      </c>
      <c r="M312" s="31">
        <v>2000</v>
      </c>
      <c r="N312" s="31">
        <v>0</v>
      </c>
      <c r="O312" s="31" t="s">
        <v>76</v>
      </c>
      <c r="P312" s="32" t="s">
        <v>76</v>
      </c>
      <c r="Q312" s="33" t="s">
        <v>76</v>
      </c>
      <c r="R312" s="33" t="s">
        <v>76</v>
      </c>
      <c r="S312" s="29">
        <v>200</v>
      </c>
      <c r="T312" s="31" t="s">
        <v>76</v>
      </c>
      <c r="U312" s="31" t="s">
        <v>76</v>
      </c>
      <c r="V312" s="31" t="s">
        <v>76</v>
      </c>
      <c r="W312" s="50" t="s">
        <v>1736</v>
      </c>
      <c r="X312" s="34">
        <v>200</v>
      </c>
      <c r="Y312" s="34">
        <v>2000</v>
      </c>
      <c r="Z312" s="34" t="s">
        <v>800</v>
      </c>
      <c r="AA312" s="34">
        <f t="shared" si="13"/>
        <v>0</v>
      </c>
      <c r="AB312" s="34">
        <f t="shared" si="14"/>
        <v>0</v>
      </c>
      <c r="AC312" s="25" t="s">
        <v>285</v>
      </c>
      <c r="AD312" s="25" t="s">
        <v>76</v>
      </c>
      <c r="AE312" s="25"/>
      <c r="AF312" s="25"/>
      <c r="AG312" s="25"/>
      <c r="AH312" s="35"/>
    </row>
    <row r="313" spans="1:34" ht="15.6">
      <c r="A313" s="23" t="s">
        <v>286</v>
      </c>
      <c r="B313" s="81">
        <v>6000022960</v>
      </c>
      <c r="C313" s="25" t="s">
        <v>712</v>
      </c>
      <c r="D313" s="25">
        <v>0</v>
      </c>
      <c r="E313" s="25">
        <v>8</v>
      </c>
      <c r="F313" s="25">
        <v>350</v>
      </c>
      <c r="G313" s="26">
        <f t="shared" si="12"/>
        <v>2800</v>
      </c>
      <c r="H313" s="27" t="s">
        <v>27</v>
      </c>
      <c r="I313" s="28" t="s">
        <v>723</v>
      </c>
      <c r="J313" s="29">
        <v>350</v>
      </c>
      <c r="K313" s="29">
        <v>0</v>
      </c>
      <c r="L313" s="56" t="s">
        <v>723</v>
      </c>
      <c r="M313" s="31">
        <v>2800</v>
      </c>
      <c r="N313" s="31">
        <v>0</v>
      </c>
      <c r="O313" s="31" t="s">
        <v>76</v>
      </c>
      <c r="P313" s="32" t="s">
        <v>76</v>
      </c>
      <c r="Q313" s="33" t="s">
        <v>76</v>
      </c>
      <c r="R313" s="33" t="s">
        <v>76</v>
      </c>
      <c r="S313" s="29">
        <v>350</v>
      </c>
      <c r="T313" s="31" t="s">
        <v>76</v>
      </c>
      <c r="U313" s="31" t="s">
        <v>76</v>
      </c>
      <c r="V313" s="31" t="s">
        <v>76</v>
      </c>
      <c r="W313" s="50">
        <v>45173</v>
      </c>
      <c r="X313" s="34">
        <v>350</v>
      </c>
      <c r="Y313" s="34">
        <v>2800</v>
      </c>
      <c r="Z313" s="34" t="s">
        <v>800</v>
      </c>
      <c r="AA313" s="34">
        <f t="shared" si="13"/>
        <v>0</v>
      </c>
      <c r="AB313" s="34">
        <f t="shared" si="14"/>
        <v>0</v>
      </c>
      <c r="AC313" s="25" t="s">
        <v>285</v>
      </c>
      <c r="AD313" s="25" t="s">
        <v>76</v>
      </c>
      <c r="AE313" s="25"/>
      <c r="AF313" s="25"/>
      <c r="AG313" s="25"/>
      <c r="AH313" s="35"/>
    </row>
    <row r="314" spans="1:34" ht="15.6">
      <c r="A314" s="23"/>
      <c r="B314" s="81"/>
      <c r="C314" s="25"/>
      <c r="D314" s="25">
        <v>0</v>
      </c>
      <c r="E314" s="25">
        <v>8</v>
      </c>
      <c r="F314" s="25">
        <v>600</v>
      </c>
      <c r="G314" s="26">
        <f t="shared" si="12"/>
        <v>4800</v>
      </c>
      <c r="H314" s="27" t="s">
        <v>46</v>
      </c>
      <c r="I314" s="28" t="s">
        <v>723</v>
      </c>
      <c r="J314" s="29">
        <v>600</v>
      </c>
      <c r="K314" s="29">
        <v>0</v>
      </c>
      <c r="L314" s="56" t="s">
        <v>723</v>
      </c>
      <c r="M314" s="31">
        <v>4800</v>
      </c>
      <c r="N314" s="31">
        <v>0</v>
      </c>
      <c r="O314" s="31" t="s">
        <v>76</v>
      </c>
      <c r="P314" s="32" t="s">
        <v>76</v>
      </c>
      <c r="Q314" s="33" t="s">
        <v>76</v>
      </c>
      <c r="R314" s="33" t="s">
        <v>76</v>
      </c>
      <c r="S314" s="29">
        <v>600</v>
      </c>
      <c r="T314" s="31" t="s">
        <v>76</v>
      </c>
      <c r="U314" s="31" t="s">
        <v>76</v>
      </c>
      <c r="V314" s="31" t="s">
        <v>76</v>
      </c>
      <c r="W314" s="50">
        <v>45181</v>
      </c>
      <c r="X314" s="34">
        <v>600</v>
      </c>
      <c r="Y314" s="34">
        <v>4800</v>
      </c>
      <c r="Z314" s="34" t="s">
        <v>800</v>
      </c>
      <c r="AA314" s="34">
        <f t="shared" si="13"/>
        <v>0</v>
      </c>
      <c r="AB314" s="34">
        <f t="shared" si="14"/>
        <v>0</v>
      </c>
      <c r="AC314" s="25" t="s">
        <v>285</v>
      </c>
      <c r="AD314" s="25" t="s">
        <v>76</v>
      </c>
      <c r="AE314" s="25"/>
      <c r="AF314" s="25"/>
      <c r="AG314" s="25"/>
      <c r="AH314" s="35"/>
    </row>
    <row r="315" spans="1:34" ht="15.6">
      <c r="A315" s="23"/>
      <c r="B315" s="81"/>
      <c r="C315" s="25"/>
      <c r="D315" s="25">
        <v>0</v>
      </c>
      <c r="E315" s="25">
        <v>8</v>
      </c>
      <c r="F315" s="25">
        <v>350</v>
      </c>
      <c r="G315" s="26">
        <f t="shared" si="12"/>
        <v>2800</v>
      </c>
      <c r="H315" s="27" t="s">
        <v>37</v>
      </c>
      <c r="I315" s="28" t="s">
        <v>723</v>
      </c>
      <c r="J315" s="29">
        <v>350</v>
      </c>
      <c r="K315" s="29">
        <v>0</v>
      </c>
      <c r="L315" s="56" t="s">
        <v>723</v>
      </c>
      <c r="M315" s="31">
        <v>2800</v>
      </c>
      <c r="N315" s="31">
        <v>0</v>
      </c>
      <c r="O315" s="31" t="s">
        <v>76</v>
      </c>
      <c r="P315" s="32" t="s">
        <v>76</v>
      </c>
      <c r="Q315" s="33" t="s">
        <v>76</v>
      </c>
      <c r="R315" s="33" t="s">
        <v>76</v>
      </c>
      <c r="S315" s="29">
        <v>350</v>
      </c>
      <c r="T315" s="31" t="s">
        <v>76</v>
      </c>
      <c r="U315" s="31" t="s">
        <v>76</v>
      </c>
      <c r="V315" s="31" t="s">
        <v>76</v>
      </c>
      <c r="W315" s="50">
        <v>45183</v>
      </c>
      <c r="X315" s="34">
        <v>350</v>
      </c>
      <c r="Y315" s="34">
        <v>2800</v>
      </c>
      <c r="Z315" s="34" t="s">
        <v>800</v>
      </c>
      <c r="AA315" s="34">
        <f t="shared" si="13"/>
        <v>0</v>
      </c>
      <c r="AB315" s="34">
        <f t="shared" si="14"/>
        <v>0</v>
      </c>
      <c r="AC315" s="25" t="s">
        <v>285</v>
      </c>
      <c r="AD315" s="25" t="s">
        <v>76</v>
      </c>
      <c r="AE315" s="25"/>
      <c r="AF315" s="25"/>
      <c r="AG315" s="25"/>
      <c r="AH315" s="35"/>
    </row>
    <row r="316" spans="1:34" ht="15.6">
      <c r="A316" s="23"/>
      <c r="B316" s="81"/>
      <c r="C316" s="25"/>
      <c r="D316" s="25">
        <v>0</v>
      </c>
      <c r="E316" s="25">
        <v>8</v>
      </c>
      <c r="F316" s="25">
        <v>100</v>
      </c>
      <c r="G316" s="26">
        <f t="shared" si="12"/>
        <v>800</v>
      </c>
      <c r="H316" s="27" t="s">
        <v>146</v>
      </c>
      <c r="I316" s="28" t="s">
        <v>723</v>
      </c>
      <c r="J316" s="29">
        <v>100</v>
      </c>
      <c r="K316" s="29">
        <v>0</v>
      </c>
      <c r="L316" s="56" t="s">
        <v>723</v>
      </c>
      <c r="M316" s="31">
        <v>800</v>
      </c>
      <c r="N316" s="31">
        <v>0</v>
      </c>
      <c r="O316" s="31" t="s">
        <v>76</v>
      </c>
      <c r="P316" s="32" t="s">
        <v>76</v>
      </c>
      <c r="Q316" s="33" t="s">
        <v>76</v>
      </c>
      <c r="R316" s="33" t="s">
        <v>76</v>
      </c>
      <c r="S316" s="29">
        <v>100</v>
      </c>
      <c r="T316" s="31" t="s">
        <v>76</v>
      </c>
      <c r="U316" s="31" t="s">
        <v>76</v>
      </c>
      <c r="V316" s="31" t="s">
        <v>76</v>
      </c>
      <c r="W316" s="50">
        <v>45183</v>
      </c>
      <c r="X316" s="34">
        <v>100</v>
      </c>
      <c r="Y316" s="34">
        <v>800</v>
      </c>
      <c r="Z316" s="34" t="s">
        <v>800</v>
      </c>
      <c r="AA316" s="34">
        <f t="shared" si="13"/>
        <v>0</v>
      </c>
      <c r="AB316" s="34">
        <f t="shared" si="14"/>
        <v>0</v>
      </c>
      <c r="AC316" s="25" t="s">
        <v>285</v>
      </c>
      <c r="AD316" s="25" t="s">
        <v>76</v>
      </c>
      <c r="AE316" s="25"/>
      <c r="AF316" s="25"/>
      <c r="AG316" s="25"/>
      <c r="AH316" s="35"/>
    </row>
    <row r="317" spans="1:34" ht="15.6">
      <c r="A317" s="23" t="s">
        <v>713</v>
      </c>
      <c r="B317" s="81">
        <v>6000023238</v>
      </c>
      <c r="C317" s="25" t="s">
        <v>714</v>
      </c>
      <c r="D317" s="25">
        <v>0</v>
      </c>
      <c r="E317" s="25">
        <v>20</v>
      </c>
      <c r="F317" s="25">
        <v>267</v>
      </c>
      <c r="G317" s="26">
        <f t="shared" si="12"/>
        <v>5340</v>
      </c>
      <c r="H317" s="27" t="s">
        <v>243</v>
      </c>
      <c r="I317" s="28" t="s">
        <v>723</v>
      </c>
      <c r="J317" s="29">
        <v>267</v>
      </c>
      <c r="K317" s="29">
        <v>0</v>
      </c>
      <c r="L317" s="56" t="s">
        <v>723</v>
      </c>
      <c r="M317" s="31">
        <v>5340</v>
      </c>
      <c r="N317" s="31">
        <v>0</v>
      </c>
      <c r="O317" s="31" t="s">
        <v>76</v>
      </c>
      <c r="P317" s="32" t="s">
        <v>76</v>
      </c>
      <c r="Q317" s="33" t="s">
        <v>76</v>
      </c>
      <c r="R317" s="33" t="s">
        <v>76</v>
      </c>
      <c r="S317" s="29">
        <v>267</v>
      </c>
      <c r="T317" s="31" t="s">
        <v>76</v>
      </c>
      <c r="U317" s="31" t="s">
        <v>76</v>
      </c>
      <c r="V317" s="31" t="s">
        <v>76</v>
      </c>
      <c r="W317" s="50" t="s">
        <v>787</v>
      </c>
      <c r="X317" s="34">
        <v>267</v>
      </c>
      <c r="Y317" s="34">
        <v>5340</v>
      </c>
      <c r="Z317" s="34" t="s">
        <v>338</v>
      </c>
      <c r="AA317" s="34">
        <f t="shared" si="13"/>
        <v>0</v>
      </c>
      <c r="AB317" s="34">
        <f t="shared" si="14"/>
        <v>0</v>
      </c>
      <c r="AC317" s="25" t="s">
        <v>285</v>
      </c>
      <c r="AD317" s="25" t="s">
        <v>76</v>
      </c>
      <c r="AE317" s="25"/>
      <c r="AF317" s="25"/>
      <c r="AG317" s="25"/>
      <c r="AH317" s="35"/>
    </row>
    <row r="318" spans="1:34" ht="15.6">
      <c r="A318" s="23"/>
      <c r="B318" s="81"/>
      <c r="C318" s="25"/>
      <c r="D318" s="25">
        <v>0</v>
      </c>
      <c r="E318" s="25">
        <v>20</v>
      </c>
      <c r="F318" s="25">
        <v>801</v>
      </c>
      <c r="G318" s="26">
        <f t="shared" si="12"/>
        <v>16020</v>
      </c>
      <c r="H318" s="27" t="s">
        <v>46</v>
      </c>
      <c r="I318" s="28" t="s">
        <v>723</v>
      </c>
      <c r="J318" s="29">
        <v>801</v>
      </c>
      <c r="K318" s="29">
        <v>0</v>
      </c>
      <c r="L318" s="56" t="s">
        <v>723</v>
      </c>
      <c r="M318" s="31">
        <v>16020</v>
      </c>
      <c r="N318" s="31">
        <v>0</v>
      </c>
      <c r="O318" s="31" t="s">
        <v>76</v>
      </c>
      <c r="P318" s="32" t="s">
        <v>76</v>
      </c>
      <c r="Q318" s="33" t="s">
        <v>76</v>
      </c>
      <c r="R318" s="33" t="s">
        <v>76</v>
      </c>
      <c r="S318" s="29">
        <v>801</v>
      </c>
      <c r="T318" s="31" t="s">
        <v>76</v>
      </c>
      <c r="U318" s="31" t="s">
        <v>76</v>
      </c>
      <c r="V318" s="31" t="s">
        <v>76</v>
      </c>
      <c r="W318" s="50" t="s">
        <v>787</v>
      </c>
      <c r="X318" s="34">
        <v>801</v>
      </c>
      <c r="Y318" s="34">
        <v>16020</v>
      </c>
      <c r="Z318" s="34" t="s">
        <v>338</v>
      </c>
      <c r="AA318" s="34">
        <f t="shared" si="13"/>
        <v>0</v>
      </c>
      <c r="AB318" s="34">
        <f t="shared" si="14"/>
        <v>0</v>
      </c>
      <c r="AC318" s="25" t="s">
        <v>285</v>
      </c>
      <c r="AD318" s="25" t="s">
        <v>76</v>
      </c>
      <c r="AE318" s="25"/>
      <c r="AF318" s="25"/>
      <c r="AG318" s="25"/>
      <c r="AH318" s="35"/>
    </row>
    <row r="319" spans="1:34" ht="15.6">
      <c r="A319" s="23"/>
      <c r="B319" s="81"/>
      <c r="C319" s="25"/>
      <c r="D319" s="25">
        <v>0</v>
      </c>
      <c r="E319" s="25">
        <v>20</v>
      </c>
      <c r="F319" s="25">
        <v>267</v>
      </c>
      <c r="G319" s="26">
        <f t="shared" si="12"/>
        <v>5340</v>
      </c>
      <c r="H319" s="27" t="s">
        <v>37</v>
      </c>
      <c r="I319" s="28" t="s">
        <v>723</v>
      </c>
      <c r="J319" s="29">
        <v>267</v>
      </c>
      <c r="K319" s="29">
        <v>0</v>
      </c>
      <c r="L319" s="56" t="s">
        <v>723</v>
      </c>
      <c r="M319" s="31">
        <v>5340</v>
      </c>
      <c r="N319" s="31">
        <v>0</v>
      </c>
      <c r="O319" s="31" t="s">
        <v>76</v>
      </c>
      <c r="P319" s="32" t="s">
        <v>76</v>
      </c>
      <c r="Q319" s="33" t="s">
        <v>76</v>
      </c>
      <c r="R319" s="33" t="s">
        <v>76</v>
      </c>
      <c r="S319" s="29">
        <v>267</v>
      </c>
      <c r="T319" s="31" t="s">
        <v>76</v>
      </c>
      <c r="U319" s="31" t="s">
        <v>76</v>
      </c>
      <c r="V319" s="31" t="s">
        <v>76</v>
      </c>
      <c r="W319" s="50" t="s">
        <v>787</v>
      </c>
      <c r="X319" s="34">
        <v>267</v>
      </c>
      <c r="Y319" s="34">
        <v>5340</v>
      </c>
      <c r="Z319" s="34" t="s">
        <v>338</v>
      </c>
      <c r="AA319" s="34">
        <f t="shared" si="13"/>
        <v>0</v>
      </c>
      <c r="AB319" s="34">
        <f t="shared" si="14"/>
        <v>0</v>
      </c>
      <c r="AC319" s="25" t="s">
        <v>285</v>
      </c>
      <c r="AD319" s="25" t="s">
        <v>76</v>
      </c>
      <c r="AE319" s="25"/>
      <c r="AF319" s="25"/>
      <c r="AG319" s="25"/>
      <c r="AH319" s="35"/>
    </row>
    <row r="320" spans="1:34" ht="15.6">
      <c r="A320" s="23" t="s">
        <v>715</v>
      </c>
      <c r="B320" s="81">
        <v>6000023644</v>
      </c>
      <c r="C320" s="25" t="s">
        <v>716</v>
      </c>
      <c r="D320" s="25">
        <v>0</v>
      </c>
      <c r="E320" s="25">
        <v>10</v>
      </c>
      <c r="F320" s="25">
        <v>200</v>
      </c>
      <c r="G320" s="26">
        <f t="shared" si="12"/>
        <v>2000</v>
      </c>
      <c r="H320" s="27" t="s">
        <v>27</v>
      </c>
      <c r="I320" s="28" t="s">
        <v>723</v>
      </c>
      <c r="J320" s="29">
        <v>200</v>
      </c>
      <c r="K320" s="29">
        <v>0</v>
      </c>
      <c r="L320" s="56" t="s">
        <v>723</v>
      </c>
      <c r="M320" s="31">
        <v>2000</v>
      </c>
      <c r="N320" s="31">
        <v>0</v>
      </c>
      <c r="O320" s="31" t="s">
        <v>76</v>
      </c>
      <c r="P320" s="32" t="s">
        <v>76</v>
      </c>
      <c r="Q320" s="33" t="s">
        <v>76</v>
      </c>
      <c r="R320" s="33" t="s">
        <v>76</v>
      </c>
      <c r="S320" s="29">
        <v>200</v>
      </c>
      <c r="T320" s="31" t="s">
        <v>76</v>
      </c>
      <c r="U320" s="31" t="s">
        <v>76</v>
      </c>
      <c r="V320" s="31" t="s">
        <v>76</v>
      </c>
      <c r="W320" s="50" t="s">
        <v>920</v>
      </c>
      <c r="X320" s="34">
        <v>200</v>
      </c>
      <c r="Y320" s="34">
        <v>2000</v>
      </c>
      <c r="Z320" s="34" t="s">
        <v>826</v>
      </c>
      <c r="AA320" s="34">
        <f t="shared" si="13"/>
        <v>0</v>
      </c>
      <c r="AB320" s="34">
        <f t="shared" si="14"/>
        <v>0</v>
      </c>
      <c r="AC320" s="25" t="s">
        <v>285</v>
      </c>
      <c r="AD320" s="25" t="s">
        <v>76</v>
      </c>
      <c r="AE320" s="25"/>
      <c r="AF320" s="25"/>
      <c r="AG320" s="25"/>
      <c r="AH320" s="35"/>
    </row>
    <row r="321" spans="1:34" ht="15.6">
      <c r="A321" s="23"/>
      <c r="B321" s="81"/>
      <c r="C321" s="25"/>
      <c r="D321" s="25">
        <v>0</v>
      </c>
      <c r="E321" s="25">
        <v>10</v>
      </c>
      <c r="F321" s="25">
        <v>400</v>
      </c>
      <c r="G321" s="26">
        <f t="shared" si="12"/>
        <v>4000</v>
      </c>
      <c r="H321" s="27" t="s">
        <v>46</v>
      </c>
      <c r="I321" s="28" t="s">
        <v>723</v>
      </c>
      <c r="J321" s="29">
        <v>400</v>
      </c>
      <c r="K321" s="29">
        <v>0</v>
      </c>
      <c r="L321" s="56" t="s">
        <v>723</v>
      </c>
      <c r="M321" s="31">
        <v>4000</v>
      </c>
      <c r="N321" s="31">
        <v>0</v>
      </c>
      <c r="O321" s="31" t="s">
        <v>76</v>
      </c>
      <c r="P321" s="32" t="s">
        <v>76</v>
      </c>
      <c r="Q321" s="33" t="s">
        <v>76</v>
      </c>
      <c r="R321" s="33" t="s">
        <v>76</v>
      </c>
      <c r="S321" s="29">
        <v>400</v>
      </c>
      <c r="T321" s="31" t="s">
        <v>76</v>
      </c>
      <c r="U321" s="31" t="s">
        <v>76</v>
      </c>
      <c r="V321" s="31" t="s">
        <v>76</v>
      </c>
      <c r="W321" s="50" t="s">
        <v>920</v>
      </c>
      <c r="X321" s="34">
        <v>400</v>
      </c>
      <c r="Y321" s="34">
        <v>4000</v>
      </c>
      <c r="Z321" s="34" t="s">
        <v>826</v>
      </c>
      <c r="AA321" s="34">
        <f t="shared" si="13"/>
        <v>0</v>
      </c>
      <c r="AB321" s="34">
        <f t="shared" si="14"/>
        <v>0</v>
      </c>
      <c r="AC321" s="25" t="s">
        <v>285</v>
      </c>
      <c r="AD321" s="25" t="s">
        <v>76</v>
      </c>
      <c r="AE321" s="25"/>
      <c r="AF321" s="25"/>
      <c r="AG321" s="25"/>
      <c r="AH321" s="35"/>
    </row>
    <row r="322" spans="1:34" ht="15.6">
      <c r="A322" s="23"/>
      <c r="B322" s="81"/>
      <c r="C322" s="25"/>
      <c r="D322" s="25">
        <v>0</v>
      </c>
      <c r="E322" s="25">
        <v>10</v>
      </c>
      <c r="F322" s="25">
        <v>200</v>
      </c>
      <c r="G322" s="26">
        <f t="shared" si="12"/>
        <v>2000</v>
      </c>
      <c r="H322" s="27" t="s">
        <v>146</v>
      </c>
      <c r="I322" s="28" t="s">
        <v>723</v>
      </c>
      <c r="J322" s="29">
        <v>200</v>
      </c>
      <c r="K322" s="29">
        <v>0</v>
      </c>
      <c r="L322" s="56" t="s">
        <v>723</v>
      </c>
      <c r="M322" s="31">
        <v>2000</v>
      </c>
      <c r="N322" s="31">
        <v>0</v>
      </c>
      <c r="O322" s="31" t="s">
        <v>76</v>
      </c>
      <c r="P322" s="32" t="s">
        <v>76</v>
      </c>
      <c r="Q322" s="33" t="s">
        <v>76</v>
      </c>
      <c r="R322" s="33" t="s">
        <v>76</v>
      </c>
      <c r="S322" s="29">
        <v>200</v>
      </c>
      <c r="T322" s="31" t="s">
        <v>76</v>
      </c>
      <c r="U322" s="31" t="s">
        <v>76</v>
      </c>
      <c r="V322" s="31" t="s">
        <v>76</v>
      </c>
      <c r="W322" s="50">
        <v>45160</v>
      </c>
      <c r="X322" s="34">
        <v>200</v>
      </c>
      <c r="Y322" s="34">
        <v>2000</v>
      </c>
      <c r="Z322" s="34" t="s">
        <v>826</v>
      </c>
      <c r="AA322" s="34">
        <f t="shared" si="13"/>
        <v>0</v>
      </c>
      <c r="AB322" s="34">
        <f t="shared" si="14"/>
        <v>0</v>
      </c>
      <c r="AC322" s="25" t="s">
        <v>285</v>
      </c>
      <c r="AD322" s="25" t="s">
        <v>76</v>
      </c>
      <c r="AE322" s="25"/>
      <c r="AF322" s="25"/>
      <c r="AG322" s="25"/>
      <c r="AH322" s="35"/>
    </row>
    <row r="323" spans="1:34" ht="15.6">
      <c r="A323" s="23" t="s">
        <v>715</v>
      </c>
      <c r="B323" s="81">
        <v>6000023644</v>
      </c>
      <c r="C323" s="25" t="s">
        <v>717</v>
      </c>
      <c r="D323" s="25">
        <v>0</v>
      </c>
      <c r="E323" s="25">
        <v>10</v>
      </c>
      <c r="F323" s="25">
        <v>140</v>
      </c>
      <c r="G323" s="26">
        <f t="shared" si="12"/>
        <v>1400</v>
      </c>
      <c r="H323" s="27" t="s">
        <v>27</v>
      </c>
      <c r="I323" s="28" t="s">
        <v>723</v>
      </c>
      <c r="J323" s="29">
        <v>140</v>
      </c>
      <c r="K323" s="29">
        <v>0</v>
      </c>
      <c r="L323" s="56" t="s">
        <v>723</v>
      </c>
      <c r="M323" s="31">
        <v>1400</v>
      </c>
      <c r="N323" s="31">
        <v>0</v>
      </c>
      <c r="O323" s="31" t="s">
        <v>76</v>
      </c>
      <c r="P323" s="32" t="s">
        <v>76</v>
      </c>
      <c r="Q323" s="33" t="s">
        <v>76</v>
      </c>
      <c r="R323" s="33" t="s">
        <v>76</v>
      </c>
      <c r="S323" s="29">
        <v>140</v>
      </c>
      <c r="T323" s="31" t="s">
        <v>76</v>
      </c>
      <c r="U323" s="31" t="s">
        <v>76</v>
      </c>
      <c r="V323" s="31" t="s">
        <v>76</v>
      </c>
      <c r="W323" s="50" t="s">
        <v>900</v>
      </c>
      <c r="X323" s="34">
        <v>140</v>
      </c>
      <c r="Y323" s="34">
        <v>1400</v>
      </c>
      <c r="Z323" s="34" t="s">
        <v>338</v>
      </c>
      <c r="AA323" s="34">
        <f t="shared" si="13"/>
        <v>0</v>
      </c>
      <c r="AB323" s="34">
        <f t="shared" si="14"/>
        <v>0</v>
      </c>
      <c r="AC323" s="25" t="s">
        <v>285</v>
      </c>
      <c r="AD323" s="25" t="s">
        <v>76</v>
      </c>
      <c r="AE323" s="25"/>
      <c r="AF323" s="25"/>
      <c r="AG323" s="25"/>
      <c r="AH323" s="35"/>
    </row>
    <row r="324" spans="1:34" ht="15.6">
      <c r="A324" s="23"/>
      <c r="B324" s="81"/>
      <c r="C324" s="25"/>
      <c r="D324" s="25">
        <v>0</v>
      </c>
      <c r="E324" s="25">
        <v>10</v>
      </c>
      <c r="F324" s="25">
        <v>190</v>
      </c>
      <c r="G324" s="26">
        <f t="shared" si="12"/>
        <v>1900</v>
      </c>
      <c r="H324" s="27" t="s">
        <v>46</v>
      </c>
      <c r="I324" s="28" t="s">
        <v>723</v>
      </c>
      <c r="J324" s="29">
        <v>190</v>
      </c>
      <c r="K324" s="29">
        <v>0</v>
      </c>
      <c r="L324" s="56" t="s">
        <v>723</v>
      </c>
      <c r="M324" s="31">
        <v>1900</v>
      </c>
      <c r="N324" s="31">
        <v>0</v>
      </c>
      <c r="O324" s="31" t="s">
        <v>76</v>
      </c>
      <c r="P324" s="32" t="s">
        <v>76</v>
      </c>
      <c r="Q324" s="33" t="s">
        <v>76</v>
      </c>
      <c r="R324" s="33" t="s">
        <v>76</v>
      </c>
      <c r="S324" s="29">
        <v>190</v>
      </c>
      <c r="T324" s="31" t="s">
        <v>76</v>
      </c>
      <c r="U324" s="31" t="s">
        <v>76</v>
      </c>
      <c r="V324" s="31" t="s">
        <v>76</v>
      </c>
      <c r="W324" s="50">
        <v>45160</v>
      </c>
      <c r="X324" s="34">
        <v>190</v>
      </c>
      <c r="Y324" s="34">
        <v>1900</v>
      </c>
      <c r="Z324" s="34" t="s">
        <v>826</v>
      </c>
      <c r="AA324" s="34">
        <f t="shared" si="13"/>
        <v>0</v>
      </c>
      <c r="AB324" s="34">
        <f t="shared" si="14"/>
        <v>0</v>
      </c>
      <c r="AC324" s="25" t="s">
        <v>285</v>
      </c>
      <c r="AD324" s="25" t="s">
        <v>76</v>
      </c>
      <c r="AE324" s="25"/>
      <c r="AF324" s="25"/>
      <c r="AG324" s="25"/>
      <c r="AH324" s="35"/>
    </row>
    <row r="325" spans="1:34" ht="15.6">
      <c r="A325" s="23"/>
      <c r="B325" s="81"/>
      <c r="C325" s="25"/>
      <c r="D325" s="25">
        <v>0</v>
      </c>
      <c r="E325" s="25">
        <v>10</v>
      </c>
      <c r="F325" s="25">
        <v>700</v>
      </c>
      <c r="G325" s="26">
        <f t="shared" si="12"/>
        <v>7000</v>
      </c>
      <c r="H325" s="27" t="s">
        <v>37</v>
      </c>
      <c r="I325" s="28" t="s">
        <v>723</v>
      </c>
      <c r="J325" s="29">
        <v>700</v>
      </c>
      <c r="K325" s="29">
        <v>0</v>
      </c>
      <c r="L325" s="56" t="s">
        <v>723</v>
      </c>
      <c r="M325" s="31">
        <v>7000</v>
      </c>
      <c r="N325" s="31">
        <v>0</v>
      </c>
      <c r="O325" s="31" t="s">
        <v>76</v>
      </c>
      <c r="P325" s="32" t="s">
        <v>76</v>
      </c>
      <c r="Q325" s="33" t="s">
        <v>76</v>
      </c>
      <c r="R325" s="33" t="s">
        <v>76</v>
      </c>
      <c r="S325" s="29">
        <v>700</v>
      </c>
      <c r="T325" s="31" t="s">
        <v>76</v>
      </c>
      <c r="U325" s="31" t="s">
        <v>76</v>
      </c>
      <c r="V325" s="31" t="s">
        <v>76</v>
      </c>
      <c r="W325" s="50" t="s">
        <v>851</v>
      </c>
      <c r="X325" s="34">
        <v>700</v>
      </c>
      <c r="Y325" s="34">
        <v>7000</v>
      </c>
      <c r="Z325" s="34" t="s">
        <v>338</v>
      </c>
      <c r="AA325" s="34">
        <f t="shared" si="13"/>
        <v>0</v>
      </c>
      <c r="AB325" s="34">
        <f t="shared" si="14"/>
        <v>0</v>
      </c>
      <c r="AC325" s="25" t="s">
        <v>285</v>
      </c>
      <c r="AD325" s="25" t="s">
        <v>76</v>
      </c>
      <c r="AE325" s="25"/>
      <c r="AF325" s="25"/>
      <c r="AG325" s="25"/>
      <c r="AH325" s="35"/>
    </row>
    <row r="326" spans="1:34" ht="15.6">
      <c r="A326" s="23"/>
      <c r="B326" s="81"/>
      <c r="C326" s="25"/>
      <c r="D326" s="25">
        <v>0</v>
      </c>
      <c r="E326" s="25">
        <v>10</v>
      </c>
      <c r="F326" s="25">
        <v>150</v>
      </c>
      <c r="G326" s="26">
        <f t="shared" si="12"/>
        <v>1500</v>
      </c>
      <c r="H326" s="27" t="s">
        <v>146</v>
      </c>
      <c r="I326" s="28" t="s">
        <v>723</v>
      </c>
      <c r="J326" s="29">
        <v>150</v>
      </c>
      <c r="K326" s="29">
        <v>0</v>
      </c>
      <c r="L326" s="56" t="s">
        <v>723</v>
      </c>
      <c r="M326" s="31">
        <v>1500</v>
      </c>
      <c r="N326" s="31">
        <v>0</v>
      </c>
      <c r="O326" s="31" t="s">
        <v>76</v>
      </c>
      <c r="P326" s="32" t="s">
        <v>76</v>
      </c>
      <c r="Q326" s="33" t="s">
        <v>76</v>
      </c>
      <c r="R326" s="33" t="s">
        <v>76</v>
      </c>
      <c r="S326" s="29">
        <v>150</v>
      </c>
      <c r="T326" s="31" t="s">
        <v>76</v>
      </c>
      <c r="U326" s="31" t="s">
        <v>76</v>
      </c>
      <c r="V326" s="31" t="s">
        <v>76</v>
      </c>
      <c r="W326" s="50" t="s">
        <v>851</v>
      </c>
      <c r="X326" s="34">
        <v>150</v>
      </c>
      <c r="Y326" s="34">
        <v>1500</v>
      </c>
      <c r="Z326" s="34" t="s">
        <v>338</v>
      </c>
      <c r="AA326" s="34">
        <f t="shared" si="13"/>
        <v>0</v>
      </c>
      <c r="AB326" s="34">
        <f t="shared" si="14"/>
        <v>0</v>
      </c>
      <c r="AC326" s="25" t="s">
        <v>285</v>
      </c>
      <c r="AD326" s="25" t="s">
        <v>76</v>
      </c>
      <c r="AE326" s="25"/>
      <c r="AF326" s="25"/>
      <c r="AG326" s="25"/>
      <c r="AH326" s="35"/>
    </row>
    <row r="327" spans="1:34" ht="15.6">
      <c r="A327" s="23" t="s">
        <v>286</v>
      </c>
      <c r="B327" s="81">
        <v>6000022958</v>
      </c>
      <c r="C327" s="25" t="s">
        <v>287</v>
      </c>
      <c r="D327" s="25">
        <v>0</v>
      </c>
      <c r="E327" s="25">
        <v>8</v>
      </c>
      <c r="F327" s="25">
        <v>400</v>
      </c>
      <c r="G327" s="26">
        <f t="shared" si="12"/>
        <v>3200</v>
      </c>
      <c r="H327" s="27" t="s">
        <v>27</v>
      </c>
      <c r="I327" s="28" t="s">
        <v>723</v>
      </c>
      <c r="J327" s="29">
        <v>400</v>
      </c>
      <c r="K327" s="29">
        <v>0</v>
      </c>
      <c r="L327" s="56" t="s">
        <v>723</v>
      </c>
      <c r="M327" s="31">
        <v>3200</v>
      </c>
      <c r="N327" s="31">
        <v>0</v>
      </c>
      <c r="O327" s="31" t="s">
        <v>76</v>
      </c>
      <c r="P327" s="32" t="s">
        <v>76</v>
      </c>
      <c r="Q327" s="33" t="s">
        <v>76</v>
      </c>
      <c r="R327" s="33" t="s">
        <v>76</v>
      </c>
      <c r="S327" s="29">
        <v>400</v>
      </c>
      <c r="T327" s="31" t="s">
        <v>76</v>
      </c>
      <c r="U327" s="31" t="s">
        <v>76</v>
      </c>
      <c r="V327" s="31" t="s">
        <v>76</v>
      </c>
      <c r="W327" s="50" t="s">
        <v>903</v>
      </c>
      <c r="X327" s="34">
        <v>400</v>
      </c>
      <c r="Y327" s="34">
        <v>3200</v>
      </c>
      <c r="Z327" s="34" t="s">
        <v>800</v>
      </c>
      <c r="AA327" s="34">
        <f t="shared" si="13"/>
        <v>0</v>
      </c>
      <c r="AB327" s="34">
        <f t="shared" si="14"/>
        <v>0</v>
      </c>
      <c r="AC327" s="25" t="s">
        <v>285</v>
      </c>
      <c r="AD327" s="25" t="s">
        <v>76</v>
      </c>
      <c r="AE327" s="25"/>
      <c r="AF327" s="25"/>
      <c r="AG327" s="25"/>
      <c r="AH327" s="35"/>
    </row>
    <row r="328" spans="1:34" ht="15.6">
      <c r="A328" s="23"/>
      <c r="B328" s="81"/>
      <c r="C328" s="25"/>
      <c r="D328" s="25">
        <v>0</v>
      </c>
      <c r="E328" s="25">
        <v>8</v>
      </c>
      <c r="F328" s="25">
        <v>500</v>
      </c>
      <c r="G328" s="26">
        <f t="shared" si="12"/>
        <v>4000</v>
      </c>
      <c r="H328" s="27" t="s">
        <v>46</v>
      </c>
      <c r="I328" s="28" t="s">
        <v>723</v>
      </c>
      <c r="J328" s="29">
        <v>500</v>
      </c>
      <c r="K328" s="29">
        <v>0</v>
      </c>
      <c r="L328" s="56" t="s">
        <v>723</v>
      </c>
      <c r="M328" s="31">
        <v>4000</v>
      </c>
      <c r="N328" s="31">
        <v>0</v>
      </c>
      <c r="O328" s="31" t="s">
        <v>76</v>
      </c>
      <c r="P328" s="32" t="s">
        <v>76</v>
      </c>
      <c r="Q328" s="33" t="s">
        <v>76</v>
      </c>
      <c r="R328" s="33" t="s">
        <v>76</v>
      </c>
      <c r="S328" s="29">
        <v>500</v>
      </c>
      <c r="T328" s="31" t="s">
        <v>76</v>
      </c>
      <c r="U328" s="31" t="s">
        <v>76</v>
      </c>
      <c r="V328" s="31" t="s">
        <v>76</v>
      </c>
      <c r="W328" s="50">
        <v>45159</v>
      </c>
      <c r="X328" s="34">
        <v>500</v>
      </c>
      <c r="Y328" s="34">
        <v>4000</v>
      </c>
      <c r="Z328" s="34" t="s">
        <v>800</v>
      </c>
      <c r="AA328" s="34">
        <f t="shared" si="13"/>
        <v>0</v>
      </c>
      <c r="AB328" s="34">
        <f t="shared" si="14"/>
        <v>0</v>
      </c>
      <c r="AC328" s="25" t="s">
        <v>285</v>
      </c>
      <c r="AD328" s="25" t="s">
        <v>76</v>
      </c>
      <c r="AE328" s="25"/>
      <c r="AF328" s="25"/>
      <c r="AG328" s="25"/>
      <c r="AH328" s="35"/>
    </row>
    <row r="329" spans="1:34" ht="15.6">
      <c r="A329" s="23"/>
      <c r="B329" s="81"/>
      <c r="C329" s="25"/>
      <c r="D329" s="25">
        <v>0</v>
      </c>
      <c r="E329" s="25">
        <v>8</v>
      </c>
      <c r="F329" s="25">
        <v>400</v>
      </c>
      <c r="G329" s="26">
        <f t="shared" si="12"/>
        <v>3200</v>
      </c>
      <c r="H329" s="27" t="s">
        <v>37</v>
      </c>
      <c r="I329" s="28" t="s">
        <v>723</v>
      </c>
      <c r="J329" s="29">
        <v>400</v>
      </c>
      <c r="K329" s="29">
        <v>0</v>
      </c>
      <c r="L329" s="56" t="s">
        <v>723</v>
      </c>
      <c r="M329" s="31">
        <v>3200</v>
      </c>
      <c r="N329" s="31">
        <v>0</v>
      </c>
      <c r="O329" s="31" t="s">
        <v>76</v>
      </c>
      <c r="P329" s="32" t="s">
        <v>76</v>
      </c>
      <c r="Q329" s="33" t="s">
        <v>76</v>
      </c>
      <c r="R329" s="33" t="s">
        <v>76</v>
      </c>
      <c r="S329" s="29">
        <v>400</v>
      </c>
      <c r="T329" s="31" t="s">
        <v>76</v>
      </c>
      <c r="U329" s="31" t="s">
        <v>76</v>
      </c>
      <c r="V329" s="31" t="s">
        <v>76</v>
      </c>
      <c r="W329" s="50">
        <v>45161</v>
      </c>
      <c r="X329" s="34">
        <v>400</v>
      </c>
      <c r="Y329" s="34">
        <v>3200</v>
      </c>
      <c r="Z329" s="34" t="s">
        <v>800</v>
      </c>
      <c r="AA329" s="34">
        <f t="shared" si="13"/>
        <v>0</v>
      </c>
      <c r="AB329" s="34">
        <f t="shared" si="14"/>
        <v>0</v>
      </c>
      <c r="AC329" s="25" t="s">
        <v>285</v>
      </c>
      <c r="AD329" s="25" t="s">
        <v>76</v>
      </c>
      <c r="AE329" s="25"/>
      <c r="AF329" s="25"/>
      <c r="AG329" s="25"/>
      <c r="AH329" s="35"/>
    </row>
    <row r="330" spans="1:34" ht="15.6">
      <c r="A330" s="23"/>
      <c r="B330" s="81"/>
      <c r="C330" s="25"/>
      <c r="D330" s="25">
        <v>0</v>
      </c>
      <c r="E330" s="25">
        <v>8</v>
      </c>
      <c r="F330" s="25">
        <v>100</v>
      </c>
      <c r="G330" s="26">
        <f t="shared" ref="G330:G393" si="15">F330*E330</f>
        <v>800</v>
      </c>
      <c r="H330" s="27" t="s">
        <v>146</v>
      </c>
      <c r="I330" s="28" t="s">
        <v>723</v>
      </c>
      <c r="J330" s="29">
        <v>100</v>
      </c>
      <c r="K330" s="29">
        <v>0</v>
      </c>
      <c r="L330" s="56" t="s">
        <v>723</v>
      </c>
      <c r="M330" s="31">
        <v>800</v>
      </c>
      <c r="N330" s="31">
        <v>0</v>
      </c>
      <c r="O330" s="31" t="s">
        <v>76</v>
      </c>
      <c r="P330" s="32" t="s">
        <v>76</v>
      </c>
      <c r="Q330" s="33" t="s">
        <v>76</v>
      </c>
      <c r="R330" s="33" t="s">
        <v>76</v>
      </c>
      <c r="S330" s="29">
        <v>100</v>
      </c>
      <c r="T330" s="31" t="s">
        <v>76</v>
      </c>
      <c r="U330" s="31" t="s">
        <v>76</v>
      </c>
      <c r="V330" s="31" t="s">
        <v>76</v>
      </c>
      <c r="W330" s="50">
        <v>45161</v>
      </c>
      <c r="X330" s="34">
        <v>100</v>
      </c>
      <c r="Y330" s="34">
        <v>800</v>
      </c>
      <c r="Z330" s="34" t="s">
        <v>800</v>
      </c>
      <c r="AA330" s="34">
        <f t="shared" si="13"/>
        <v>0</v>
      </c>
      <c r="AB330" s="34">
        <f t="shared" si="14"/>
        <v>0</v>
      </c>
      <c r="AC330" s="25" t="s">
        <v>285</v>
      </c>
      <c r="AD330" s="25" t="s">
        <v>76</v>
      </c>
      <c r="AE330" s="25"/>
      <c r="AF330" s="25"/>
      <c r="AG330" s="25"/>
      <c r="AH330" s="35"/>
    </row>
    <row r="331" spans="1:34" ht="15.6">
      <c r="A331" s="23" t="s">
        <v>718</v>
      </c>
      <c r="B331" s="81">
        <v>6000023879</v>
      </c>
      <c r="C331" s="25" t="s">
        <v>719</v>
      </c>
      <c r="D331" s="25">
        <v>0</v>
      </c>
      <c r="E331" s="25">
        <v>10</v>
      </c>
      <c r="F331" s="25">
        <v>112</v>
      </c>
      <c r="G331" s="26">
        <f t="shared" si="15"/>
        <v>1120</v>
      </c>
      <c r="H331" s="27" t="s">
        <v>146</v>
      </c>
      <c r="I331" s="28" t="s">
        <v>723</v>
      </c>
      <c r="J331" s="29">
        <v>112</v>
      </c>
      <c r="K331" s="29">
        <v>0</v>
      </c>
      <c r="L331" s="56" t="s">
        <v>723</v>
      </c>
      <c r="M331" s="31">
        <v>1120</v>
      </c>
      <c r="N331" s="31">
        <v>0</v>
      </c>
      <c r="O331" s="31" t="s">
        <v>76</v>
      </c>
      <c r="P331" s="32" t="s">
        <v>76</v>
      </c>
      <c r="Q331" s="33" t="s">
        <v>76</v>
      </c>
      <c r="R331" s="33" t="s">
        <v>76</v>
      </c>
      <c r="S331" s="29">
        <v>112</v>
      </c>
      <c r="T331" s="31" t="s">
        <v>76</v>
      </c>
      <c r="U331" s="31" t="s">
        <v>76</v>
      </c>
      <c r="V331" s="31" t="s">
        <v>76</v>
      </c>
      <c r="W331" s="50" t="s">
        <v>732</v>
      </c>
      <c r="X331" s="34">
        <v>112</v>
      </c>
      <c r="Y331" s="34">
        <v>1120</v>
      </c>
      <c r="Z331" s="34" t="s">
        <v>338</v>
      </c>
      <c r="AA331" s="34">
        <f t="shared" si="13"/>
        <v>0</v>
      </c>
      <c r="AB331" s="34">
        <f t="shared" si="14"/>
        <v>0</v>
      </c>
      <c r="AC331" s="25" t="s">
        <v>285</v>
      </c>
      <c r="AD331" s="25" t="s">
        <v>76</v>
      </c>
      <c r="AE331" s="25"/>
      <c r="AF331" s="25"/>
      <c r="AG331" s="25"/>
      <c r="AH331" s="35"/>
    </row>
    <row r="332" spans="1:34" ht="15.6">
      <c r="A332" s="23" t="s">
        <v>720</v>
      </c>
      <c r="B332" s="81">
        <v>2000001107</v>
      </c>
      <c r="C332" s="25" t="s">
        <v>721</v>
      </c>
      <c r="D332" s="25">
        <v>0</v>
      </c>
      <c r="E332" s="25">
        <v>10</v>
      </c>
      <c r="F332" s="25">
        <v>200</v>
      </c>
      <c r="G332" s="26">
        <f t="shared" si="15"/>
        <v>2000</v>
      </c>
      <c r="H332" s="27" t="s">
        <v>27</v>
      </c>
      <c r="I332" s="28" t="s">
        <v>723</v>
      </c>
      <c r="J332" s="29">
        <v>200</v>
      </c>
      <c r="K332" s="29">
        <v>0</v>
      </c>
      <c r="L332" s="56" t="s">
        <v>723</v>
      </c>
      <c r="M332" s="31">
        <v>2000</v>
      </c>
      <c r="N332" s="31">
        <v>0</v>
      </c>
      <c r="O332" s="31" t="s">
        <v>76</v>
      </c>
      <c r="P332" s="32" t="s">
        <v>76</v>
      </c>
      <c r="Q332" s="33" t="s">
        <v>76</v>
      </c>
      <c r="R332" s="33" t="s">
        <v>76</v>
      </c>
      <c r="S332" s="29">
        <v>200</v>
      </c>
      <c r="T332" s="31" t="s">
        <v>76</v>
      </c>
      <c r="U332" s="31" t="s">
        <v>76</v>
      </c>
      <c r="V332" s="31" t="s">
        <v>76</v>
      </c>
      <c r="W332" s="50" t="s">
        <v>799</v>
      </c>
      <c r="X332" s="34">
        <v>200</v>
      </c>
      <c r="Y332" s="34">
        <v>2000</v>
      </c>
      <c r="Z332" s="34" t="s">
        <v>800</v>
      </c>
      <c r="AA332" s="34">
        <f t="shared" ref="AA332:AA395" si="16">J332-X332</f>
        <v>0</v>
      </c>
      <c r="AB332" s="34">
        <f t="shared" ref="AB332:AB395" si="17">M332-Y332</f>
        <v>0</v>
      </c>
      <c r="AC332" s="25" t="s">
        <v>285</v>
      </c>
      <c r="AD332" s="25" t="s">
        <v>76</v>
      </c>
      <c r="AE332" s="25"/>
      <c r="AF332" s="25"/>
      <c r="AG332" s="25"/>
      <c r="AH332" s="35"/>
    </row>
    <row r="333" spans="1:34" ht="15.6">
      <c r="A333" s="23" t="s">
        <v>720</v>
      </c>
      <c r="B333" s="81">
        <v>2000001107</v>
      </c>
      <c r="C333" s="25" t="s">
        <v>721</v>
      </c>
      <c r="D333" s="25">
        <v>0</v>
      </c>
      <c r="E333" s="25">
        <v>10</v>
      </c>
      <c r="F333" s="25">
        <v>200</v>
      </c>
      <c r="G333" s="26">
        <f t="shared" si="15"/>
        <v>2000</v>
      </c>
      <c r="H333" s="27" t="s">
        <v>46</v>
      </c>
      <c r="I333" s="28" t="s">
        <v>723</v>
      </c>
      <c r="J333" s="29">
        <v>200</v>
      </c>
      <c r="K333" s="29">
        <v>0</v>
      </c>
      <c r="L333" s="56" t="s">
        <v>723</v>
      </c>
      <c r="M333" s="31">
        <v>2000</v>
      </c>
      <c r="N333" s="31">
        <v>0</v>
      </c>
      <c r="O333" s="31" t="s">
        <v>76</v>
      </c>
      <c r="P333" s="32" t="s">
        <v>76</v>
      </c>
      <c r="Q333" s="33" t="s">
        <v>76</v>
      </c>
      <c r="R333" s="33" t="s">
        <v>76</v>
      </c>
      <c r="S333" s="29">
        <v>200</v>
      </c>
      <c r="T333" s="31" t="s">
        <v>76</v>
      </c>
      <c r="U333" s="31" t="s">
        <v>76</v>
      </c>
      <c r="V333" s="31" t="s">
        <v>76</v>
      </c>
      <c r="W333" s="50">
        <v>45142</v>
      </c>
      <c r="X333" s="34">
        <v>200</v>
      </c>
      <c r="Y333" s="34">
        <v>2000</v>
      </c>
      <c r="Z333" s="34" t="s">
        <v>338</v>
      </c>
      <c r="AA333" s="34">
        <f t="shared" si="16"/>
        <v>0</v>
      </c>
      <c r="AB333" s="34">
        <f t="shared" si="17"/>
        <v>0</v>
      </c>
      <c r="AC333" s="25" t="s">
        <v>285</v>
      </c>
      <c r="AD333" s="25" t="s">
        <v>76</v>
      </c>
      <c r="AE333" s="25"/>
      <c r="AF333" s="25"/>
      <c r="AG333" s="25"/>
      <c r="AH333" s="35"/>
    </row>
    <row r="334" spans="1:34" ht="15.6">
      <c r="A334" s="23" t="s">
        <v>720</v>
      </c>
      <c r="B334" s="81">
        <v>2000001107</v>
      </c>
      <c r="C334" s="25" t="s">
        <v>721</v>
      </c>
      <c r="D334" s="25">
        <v>0</v>
      </c>
      <c r="E334" s="25">
        <v>10</v>
      </c>
      <c r="F334" s="25">
        <v>100</v>
      </c>
      <c r="G334" s="26">
        <f t="shared" si="15"/>
        <v>1000</v>
      </c>
      <c r="H334" s="27" t="s">
        <v>37</v>
      </c>
      <c r="I334" s="28" t="s">
        <v>723</v>
      </c>
      <c r="J334" s="29">
        <v>100</v>
      </c>
      <c r="K334" s="29">
        <v>0</v>
      </c>
      <c r="L334" s="56" t="s">
        <v>723</v>
      </c>
      <c r="M334" s="31">
        <v>1000</v>
      </c>
      <c r="N334" s="31">
        <v>0</v>
      </c>
      <c r="O334" s="31" t="s">
        <v>76</v>
      </c>
      <c r="P334" s="32" t="s">
        <v>76</v>
      </c>
      <c r="Q334" s="33" t="s">
        <v>76</v>
      </c>
      <c r="R334" s="33" t="s">
        <v>76</v>
      </c>
      <c r="S334" s="29">
        <v>100</v>
      </c>
      <c r="T334" s="31" t="s">
        <v>76</v>
      </c>
      <c r="U334" s="31" t="s">
        <v>76</v>
      </c>
      <c r="V334" s="31" t="s">
        <v>76</v>
      </c>
      <c r="W334" s="50">
        <v>45142</v>
      </c>
      <c r="X334" s="34">
        <v>100</v>
      </c>
      <c r="Y334" s="34">
        <v>1000</v>
      </c>
      <c r="Z334" s="34" t="s">
        <v>338</v>
      </c>
      <c r="AA334" s="34">
        <f t="shared" si="16"/>
        <v>0</v>
      </c>
      <c r="AB334" s="34">
        <f t="shared" si="17"/>
        <v>0</v>
      </c>
      <c r="AC334" s="25" t="s">
        <v>285</v>
      </c>
      <c r="AD334" s="25" t="s">
        <v>76</v>
      </c>
      <c r="AE334" s="25"/>
      <c r="AF334" s="25"/>
      <c r="AG334" s="25"/>
      <c r="AH334" s="35"/>
    </row>
    <row r="335" spans="1:34" ht="15.6">
      <c r="A335" s="23" t="s">
        <v>726</v>
      </c>
      <c r="B335" s="81">
        <v>6000022265</v>
      </c>
      <c r="C335" s="25" t="s">
        <v>725</v>
      </c>
      <c r="D335" s="25">
        <v>0</v>
      </c>
      <c r="E335" s="25">
        <v>10</v>
      </c>
      <c r="F335" s="25">
        <v>1040</v>
      </c>
      <c r="G335" s="26">
        <f t="shared" si="15"/>
        <v>10400</v>
      </c>
      <c r="H335" s="27" t="s">
        <v>27</v>
      </c>
      <c r="I335" s="28" t="s">
        <v>723</v>
      </c>
      <c r="J335" s="29">
        <v>1040</v>
      </c>
      <c r="K335" s="29">
        <v>0</v>
      </c>
      <c r="L335" s="56" t="s">
        <v>723</v>
      </c>
      <c r="M335" s="31">
        <v>10400</v>
      </c>
      <c r="N335" s="31">
        <v>0</v>
      </c>
      <c r="O335" s="31" t="s">
        <v>76</v>
      </c>
      <c r="P335" s="32" t="s">
        <v>76</v>
      </c>
      <c r="Q335" s="33" t="s">
        <v>76</v>
      </c>
      <c r="R335" s="33" t="s">
        <v>76</v>
      </c>
      <c r="S335" s="29">
        <v>1040</v>
      </c>
      <c r="T335" s="31" t="s">
        <v>76</v>
      </c>
      <c r="U335" s="31" t="s">
        <v>76</v>
      </c>
      <c r="V335" s="31" t="s">
        <v>76</v>
      </c>
      <c r="W335" s="50">
        <v>45154</v>
      </c>
      <c r="X335" s="34">
        <v>1040</v>
      </c>
      <c r="Y335" s="34">
        <v>10400</v>
      </c>
      <c r="Z335" s="34" t="s">
        <v>338</v>
      </c>
      <c r="AA335" s="34">
        <f t="shared" si="16"/>
        <v>0</v>
      </c>
      <c r="AB335" s="34">
        <f t="shared" si="17"/>
        <v>0</v>
      </c>
      <c r="AC335" s="25" t="s">
        <v>724</v>
      </c>
      <c r="AD335" s="25" t="s">
        <v>76</v>
      </c>
      <c r="AE335" s="25"/>
      <c r="AF335" s="25"/>
      <c r="AG335" s="25"/>
      <c r="AH335" s="35"/>
    </row>
    <row r="336" spans="1:34" ht="15.6">
      <c r="A336" s="23" t="s">
        <v>726</v>
      </c>
      <c r="B336" s="81">
        <v>6000022265</v>
      </c>
      <c r="C336" s="25" t="s">
        <v>725</v>
      </c>
      <c r="D336" s="25">
        <v>0</v>
      </c>
      <c r="E336" s="25">
        <v>10</v>
      </c>
      <c r="F336" s="25">
        <v>2080</v>
      </c>
      <c r="G336" s="26">
        <f t="shared" si="15"/>
        <v>20800</v>
      </c>
      <c r="H336" s="27" t="s">
        <v>46</v>
      </c>
      <c r="I336" s="28" t="s">
        <v>723</v>
      </c>
      <c r="J336" s="29">
        <v>2080</v>
      </c>
      <c r="K336" s="29">
        <v>0</v>
      </c>
      <c r="L336" s="56" t="s">
        <v>723</v>
      </c>
      <c r="M336" s="31">
        <v>20800</v>
      </c>
      <c r="N336" s="31">
        <v>0</v>
      </c>
      <c r="O336" s="31" t="s">
        <v>76</v>
      </c>
      <c r="P336" s="32" t="s">
        <v>76</v>
      </c>
      <c r="Q336" s="33" t="s">
        <v>76</v>
      </c>
      <c r="R336" s="33" t="s">
        <v>76</v>
      </c>
      <c r="S336" s="29">
        <v>2080</v>
      </c>
      <c r="T336" s="31" t="s">
        <v>76</v>
      </c>
      <c r="U336" s="31" t="s">
        <v>76</v>
      </c>
      <c r="V336" s="31" t="s">
        <v>76</v>
      </c>
      <c r="W336" s="50" t="s">
        <v>723</v>
      </c>
      <c r="X336" s="34">
        <f>1080+1000</f>
        <v>2080</v>
      </c>
      <c r="Y336" s="34">
        <f>10800+10000</f>
        <v>20800</v>
      </c>
      <c r="Z336" s="34" t="s">
        <v>1464</v>
      </c>
      <c r="AA336" s="34">
        <f t="shared" si="16"/>
        <v>0</v>
      </c>
      <c r="AB336" s="34">
        <f t="shared" si="17"/>
        <v>0</v>
      </c>
      <c r="AC336" s="25" t="s">
        <v>724</v>
      </c>
      <c r="AD336" s="25" t="s">
        <v>76</v>
      </c>
      <c r="AE336" s="25"/>
      <c r="AF336" s="25"/>
      <c r="AG336" s="25"/>
      <c r="AH336" s="35"/>
    </row>
    <row r="337" spans="1:34" ht="15.6">
      <c r="A337" s="23" t="s">
        <v>726</v>
      </c>
      <c r="B337" s="81">
        <v>6000022265</v>
      </c>
      <c r="C337" s="25" t="s">
        <v>725</v>
      </c>
      <c r="D337" s="25">
        <v>0</v>
      </c>
      <c r="E337" s="25">
        <v>10</v>
      </c>
      <c r="F337" s="25">
        <v>240</v>
      </c>
      <c r="G337" s="26">
        <f t="shared" si="15"/>
        <v>2400</v>
      </c>
      <c r="H337" s="27" t="s">
        <v>146</v>
      </c>
      <c r="I337" s="28" t="s">
        <v>723</v>
      </c>
      <c r="J337" s="29">
        <v>240</v>
      </c>
      <c r="K337" s="29">
        <v>0</v>
      </c>
      <c r="L337" s="56" t="s">
        <v>723</v>
      </c>
      <c r="M337" s="31">
        <v>2400</v>
      </c>
      <c r="N337" s="31">
        <v>0</v>
      </c>
      <c r="O337" s="31" t="s">
        <v>76</v>
      </c>
      <c r="P337" s="32" t="s">
        <v>76</v>
      </c>
      <c r="Q337" s="33" t="s">
        <v>76</v>
      </c>
      <c r="R337" s="33" t="s">
        <v>76</v>
      </c>
      <c r="S337" s="29">
        <v>240</v>
      </c>
      <c r="T337" s="31" t="s">
        <v>76</v>
      </c>
      <c r="U337" s="31" t="s">
        <v>76</v>
      </c>
      <c r="V337" s="31" t="s">
        <v>76</v>
      </c>
      <c r="W337" s="50" t="s">
        <v>903</v>
      </c>
      <c r="X337" s="34">
        <v>240</v>
      </c>
      <c r="Y337" s="34">
        <v>2400</v>
      </c>
      <c r="Z337" s="34" t="s">
        <v>800</v>
      </c>
      <c r="AA337" s="34">
        <f t="shared" si="16"/>
        <v>0</v>
      </c>
      <c r="AB337" s="34">
        <f t="shared" si="17"/>
        <v>0</v>
      </c>
      <c r="AC337" s="25" t="s">
        <v>724</v>
      </c>
      <c r="AD337" s="25" t="s">
        <v>76</v>
      </c>
      <c r="AE337" s="25"/>
      <c r="AF337" s="25"/>
      <c r="AG337" s="25"/>
      <c r="AH337" s="35"/>
    </row>
    <row r="338" spans="1:34" ht="31.2">
      <c r="A338" s="23" t="s">
        <v>24</v>
      </c>
      <c r="B338" s="81">
        <v>6000024345</v>
      </c>
      <c r="C338" s="25" t="s">
        <v>762</v>
      </c>
      <c r="D338" s="25" t="s">
        <v>763</v>
      </c>
      <c r="E338" s="25">
        <v>10</v>
      </c>
      <c r="F338" s="25">
        <v>2100</v>
      </c>
      <c r="G338" s="26">
        <f t="shared" si="15"/>
        <v>21000</v>
      </c>
      <c r="H338" s="27" t="s">
        <v>27</v>
      </c>
      <c r="I338" s="28" t="s">
        <v>779</v>
      </c>
      <c r="J338" s="29">
        <v>2100</v>
      </c>
      <c r="K338" s="29">
        <v>23</v>
      </c>
      <c r="L338" s="56" t="s">
        <v>930</v>
      </c>
      <c r="M338" s="31">
        <v>21000</v>
      </c>
      <c r="N338" s="31">
        <v>240</v>
      </c>
      <c r="O338" s="31" t="s">
        <v>738</v>
      </c>
      <c r="P338" s="32" t="s">
        <v>28</v>
      </c>
      <c r="Q338" s="33" t="s">
        <v>76</v>
      </c>
      <c r="R338" s="33" t="s">
        <v>76</v>
      </c>
      <c r="S338" s="29">
        <v>2100</v>
      </c>
      <c r="T338" s="31" t="s">
        <v>1558</v>
      </c>
      <c r="U338" s="31" t="s">
        <v>1060</v>
      </c>
      <c r="V338" s="31" t="s">
        <v>1061</v>
      </c>
      <c r="W338" s="50" t="s">
        <v>1447</v>
      </c>
      <c r="X338" s="34">
        <f>1000+1100</f>
        <v>2100</v>
      </c>
      <c r="Y338" s="34">
        <f>10000+11000</f>
        <v>21000</v>
      </c>
      <c r="Z338" s="34" t="s">
        <v>35</v>
      </c>
      <c r="AA338" s="34">
        <f t="shared" si="16"/>
        <v>0</v>
      </c>
      <c r="AB338" s="34">
        <f t="shared" si="17"/>
        <v>0</v>
      </c>
      <c r="AC338" s="25" t="s">
        <v>689</v>
      </c>
      <c r="AD338" s="25"/>
      <c r="AE338" s="25"/>
      <c r="AF338" s="25"/>
      <c r="AG338" s="25"/>
      <c r="AH338" s="35"/>
    </row>
    <row r="339" spans="1:34" ht="31.2">
      <c r="A339" s="23" t="s">
        <v>24</v>
      </c>
      <c r="B339" s="81">
        <v>6000024346</v>
      </c>
      <c r="C339" s="25" t="s">
        <v>25</v>
      </c>
      <c r="D339" s="25" t="s">
        <v>764</v>
      </c>
      <c r="E339" s="25">
        <v>10</v>
      </c>
      <c r="F339" s="25">
        <v>1506</v>
      </c>
      <c r="G339" s="26">
        <f t="shared" si="15"/>
        <v>15060</v>
      </c>
      <c r="H339" s="27" t="s">
        <v>46</v>
      </c>
      <c r="I339" s="28" t="s">
        <v>889</v>
      </c>
      <c r="J339" s="29">
        <v>1506</v>
      </c>
      <c r="K339" s="29">
        <v>17</v>
      </c>
      <c r="L339" s="56" t="s">
        <v>993</v>
      </c>
      <c r="M339" s="31">
        <v>15060</v>
      </c>
      <c r="N339" s="31">
        <v>181</v>
      </c>
      <c r="O339" s="31" t="s">
        <v>1066</v>
      </c>
      <c r="P339" s="32" t="s">
        <v>28</v>
      </c>
      <c r="Q339" s="33" t="s">
        <v>1062</v>
      </c>
      <c r="R339" s="33" t="s">
        <v>1063</v>
      </c>
      <c r="S339" s="29">
        <v>1506</v>
      </c>
      <c r="T339" s="31" t="s">
        <v>1558</v>
      </c>
      <c r="U339" s="31" t="s">
        <v>1064</v>
      </c>
      <c r="V339" s="31" t="s">
        <v>1065</v>
      </c>
      <c r="W339" s="50">
        <v>45191</v>
      </c>
      <c r="X339" s="34">
        <v>1506</v>
      </c>
      <c r="Y339" s="34">
        <v>15060</v>
      </c>
      <c r="Z339" s="34" t="s">
        <v>755</v>
      </c>
      <c r="AA339" s="34">
        <f t="shared" si="16"/>
        <v>0</v>
      </c>
      <c r="AB339" s="34">
        <f t="shared" si="17"/>
        <v>0</v>
      </c>
      <c r="AC339" s="25" t="s">
        <v>689</v>
      </c>
      <c r="AD339" s="25"/>
      <c r="AE339" s="25"/>
      <c r="AF339" s="25"/>
      <c r="AG339" s="25"/>
      <c r="AH339" s="35"/>
    </row>
    <row r="340" spans="1:34" ht="15" customHeight="1">
      <c r="A340" s="23" t="s">
        <v>24</v>
      </c>
      <c r="B340" s="81">
        <v>6000024346</v>
      </c>
      <c r="C340" s="25" t="s">
        <v>762</v>
      </c>
      <c r="D340" s="25" t="s">
        <v>764</v>
      </c>
      <c r="E340" s="25">
        <v>10</v>
      </c>
      <c r="F340" s="25">
        <v>594</v>
      </c>
      <c r="G340" s="26">
        <f t="shared" si="15"/>
        <v>5940</v>
      </c>
      <c r="H340" s="27" t="s">
        <v>146</v>
      </c>
      <c r="I340" s="28" t="s">
        <v>920</v>
      </c>
      <c r="J340" s="29">
        <v>594</v>
      </c>
      <c r="K340" s="29">
        <v>6</v>
      </c>
      <c r="L340" s="56" t="s">
        <v>903</v>
      </c>
      <c r="M340" s="31">
        <v>5940</v>
      </c>
      <c r="N340" s="31">
        <v>89</v>
      </c>
      <c r="O340" s="31" t="s">
        <v>904</v>
      </c>
      <c r="P340" s="32" t="s">
        <v>28</v>
      </c>
      <c r="Q340" s="33" t="s">
        <v>1067</v>
      </c>
      <c r="R340" s="33" t="s">
        <v>1068</v>
      </c>
      <c r="S340" s="29">
        <v>594</v>
      </c>
      <c r="T340" s="31" t="s">
        <v>1558</v>
      </c>
      <c r="U340" s="31" t="s">
        <v>1069</v>
      </c>
      <c r="V340" s="31" t="s">
        <v>1070</v>
      </c>
      <c r="W340" s="50">
        <v>45188</v>
      </c>
      <c r="X340" s="34">
        <v>594</v>
      </c>
      <c r="Y340" s="34">
        <v>5940</v>
      </c>
      <c r="Z340" s="34" t="s">
        <v>800</v>
      </c>
      <c r="AA340" s="34">
        <f t="shared" si="16"/>
        <v>0</v>
      </c>
      <c r="AB340" s="34">
        <f t="shared" si="17"/>
        <v>0</v>
      </c>
      <c r="AC340" s="25" t="s">
        <v>689</v>
      </c>
      <c r="AD340" s="25"/>
      <c r="AE340" s="25"/>
      <c r="AF340" s="25"/>
      <c r="AG340" s="25"/>
      <c r="AH340" s="35"/>
    </row>
    <row r="341" spans="1:34" ht="46.8">
      <c r="A341" s="23" t="s">
        <v>24</v>
      </c>
      <c r="B341" s="81">
        <v>6000024347</v>
      </c>
      <c r="C341" s="25" t="s">
        <v>762</v>
      </c>
      <c r="D341" s="25" t="s">
        <v>765</v>
      </c>
      <c r="E341" s="25">
        <v>10</v>
      </c>
      <c r="F341" s="25">
        <v>2100</v>
      </c>
      <c r="G341" s="26">
        <f t="shared" si="15"/>
        <v>21000</v>
      </c>
      <c r="H341" s="27" t="s">
        <v>46</v>
      </c>
      <c r="I341" s="28" t="s">
        <v>779</v>
      </c>
      <c r="J341" s="29">
        <v>2100</v>
      </c>
      <c r="K341" s="29">
        <v>26</v>
      </c>
      <c r="L341" s="56" t="s">
        <v>1071</v>
      </c>
      <c r="M341" s="31">
        <v>21000</v>
      </c>
      <c r="N341" s="31">
        <v>240</v>
      </c>
      <c r="O341" s="31" t="s">
        <v>1074</v>
      </c>
      <c r="P341" s="32" t="s">
        <v>28</v>
      </c>
      <c r="Q341" s="33" t="s">
        <v>76</v>
      </c>
      <c r="R341" s="33" t="s">
        <v>76</v>
      </c>
      <c r="S341" s="29">
        <v>2100</v>
      </c>
      <c r="T341" s="31" t="s">
        <v>1558</v>
      </c>
      <c r="U341" s="31" t="s">
        <v>1072</v>
      </c>
      <c r="V341" s="31" t="s">
        <v>1073</v>
      </c>
      <c r="W341" s="50" t="s">
        <v>1398</v>
      </c>
      <c r="X341" s="34">
        <v>2100</v>
      </c>
      <c r="Y341" s="34">
        <v>21000</v>
      </c>
      <c r="Z341" s="34" t="s">
        <v>1075</v>
      </c>
      <c r="AA341" s="34">
        <f t="shared" si="16"/>
        <v>0</v>
      </c>
      <c r="AB341" s="34">
        <f t="shared" si="17"/>
        <v>0</v>
      </c>
      <c r="AC341" s="25" t="s">
        <v>689</v>
      </c>
      <c r="AD341" s="25"/>
      <c r="AE341" s="25"/>
      <c r="AF341" s="25"/>
      <c r="AG341" s="25"/>
      <c r="AH341" s="35"/>
    </row>
    <row r="342" spans="1:34" ht="31.2">
      <c r="A342" s="23" t="s">
        <v>24</v>
      </c>
      <c r="B342" s="81">
        <v>6000024348</v>
      </c>
      <c r="C342" s="25" t="s">
        <v>25</v>
      </c>
      <c r="D342" s="25" t="s">
        <v>766</v>
      </c>
      <c r="E342" s="25">
        <v>10</v>
      </c>
      <c r="F342" s="25">
        <v>2100</v>
      </c>
      <c r="G342" s="26">
        <f t="shared" si="15"/>
        <v>21000</v>
      </c>
      <c r="H342" s="27" t="s">
        <v>46</v>
      </c>
      <c r="I342" s="28" t="s">
        <v>779</v>
      </c>
      <c r="J342" s="29">
        <v>2100</v>
      </c>
      <c r="K342" s="29">
        <v>27</v>
      </c>
      <c r="L342" s="56" t="s">
        <v>813</v>
      </c>
      <c r="M342" s="31">
        <v>21000</v>
      </c>
      <c r="N342" s="31">
        <v>240</v>
      </c>
      <c r="O342" s="31" t="s">
        <v>738</v>
      </c>
      <c r="P342" s="32" t="s">
        <v>28</v>
      </c>
      <c r="Q342" s="33" t="s">
        <v>76</v>
      </c>
      <c r="R342" s="33" t="s">
        <v>76</v>
      </c>
      <c r="S342" s="29">
        <v>2100</v>
      </c>
      <c r="T342" s="31" t="s">
        <v>1558</v>
      </c>
      <c r="U342" s="31" t="s">
        <v>1076</v>
      </c>
      <c r="V342" s="31" t="s">
        <v>1077</v>
      </c>
      <c r="W342" s="50" t="s">
        <v>1413</v>
      </c>
      <c r="X342" s="34">
        <f>1000+1100</f>
        <v>2100</v>
      </c>
      <c r="Y342" s="34">
        <f>10000+11000</f>
        <v>21000</v>
      </c>
      <c r="Z342" s="34" t="s">
        <v>1396</v>
      </c>
      <c r="AA342" s="34">
        <f t="shared" si="16"/>
        <v>0</v>
      </c>
      <c r="AB342" s="34">
        <f t="shared" si="17"/>
        <v>0</v>
      </c>
      <c r="AC342" s="25" t="s">
        <v>689</v>
      </c>
      <c r="AD342" s="25"/>
      <c r="AE342" s="25"/>
      <c r="AF342" s="25"/>
      <c r="AG342" s="25"/>
      <c r="AH342" s="35"/>
    </row>
    <row r="343" spans="1:34" ht="31.2">
      <c r="A343" s="23" t="s">
        <v>24</v>
      </c>
      <c r="B343" s="81">
        <v>6000024349</v>
      </c>
      <c r="C343" s="25" t="s">
        <v>25</v>
      </c>
      <c r="D343" s="25" t="s">
        <v>767</v>
      </c>
      <c r="E343" s="25">
        <v>10</v>
      </c>
      <c r="F343" s="25">
        <v>2100</v>
      </c>
      <c r="G343" s="26">
        <f t="shared" si="15"/>
        <v>21000</v>
      </c>
      <c r="H343" s="27" t="s">
        <v>46</v>
      </c>
      <c r="I343" s="28" t="s">
        <v>889</v>
      </c>
      <c r="J343" s="29">
        <v>2100</v>
      </c>
      <c r="K343" s="29">
        <v>37</v>
      </c>
      <c r="L343" s="56" t="s">
        <v>1080</v>
      </c>
      <c r="M343" s="31">
        <v>21000</v>
      </c>
      <c r="N343" s="31">
        <v>240</v>
      </c>
      <c r="O343" s="31" t="s">
        <v>1083</v>
      </c>
      <c r="P343" s="32" t="s">
        <v>28</v>
      </c>
      <c r="Q343" s="33" t="s">
        <v>1078</v>
      </c>
      <c r="R343" s="33" t="s">
        <v>1079</v>
      </c>
      <c r="S343" s="29">
        <v>2100</v>
      </c>
      <c r="T343" s="31" t="s">
        <v>1558</v>
      </c>
      <c r="U343" s="31" t="s">
        <v>1081</v>
      </c>
      <c r="V343" s="31" t="s">
        <v>1082</v>
      </c>
      <c r="W343" s="50">
        <v>45173</v>
      </c>
      <c r="X343" s="34">
        <v>2100</v>
      </c>
      <c r="Y343" s="34">
        <v>21000</v>
      </c>
      <c r="Z343" s="34" t="s">
        <v>755</v>
      </c>
      <c r="AA343" s="34">
        <f t="shared" si="16"/>
        <v>0</v>
      </c>
      <c r="AB343" s="34">
        <f t="shared" si="17"/>
        <v>0</v>
      </c>
      <c r="AC343" s="25" t="s">
        <v>689</v>
      </c>
      <c r="AD343" s="25"/>
      <c r="AE343" s="25"/>
      <c r="AF343" s="25"/>
      <c r="AG343" s="25"/>
      <c r="AH343" s="35"/>
    </row>
    <row r="344" spans="1:34" ht="31.2">
      <c r="A344" s="23" t="s">
        <v>24</v>
      </c>
      <c r="B344" s="81">
        <v>6000024350</v>
      </c>
      <c r="C344" s="25" t="s">
        <v>25</v>
      </c>
      <c r="D344" s="25" t="s">
        <v>768</v>
      </c>
      <c r="E344" s="25">
        <v>10</v>
      </c>
      <c r="F344" s="25">
        <v>2100</v>
      </c>
      <c r="G344" s="26">
        <f t="shared" si="15"/>
        <v>21000</v>
      </c>
      <c r="H344" s="27" t="s">
        <v>46</v>
      </c>
      <c r="I344" s="28" t="s">
        <v>889</v>
      </c>
      <c r="J344" s="29">
        <v>2100</v>
      </c>
      <c r="K344" s="29">
        <v>38</v>
      </c>
      <c r="L344" s="56" t="s">
        <v>880</v>
      </c>
      <c r="M344" s="31">
        <v>21000</v>
      </c>
      <c r="N344" s="31">
        <v>240</v>
      </c>
      <c r="O344" s="31" t="s">
        <v>883</v>
      </c>
      <c r="P344" s="32" t="s">
        <v>28</v>
      </c>
      <c r="Q344" s="33" t="s">
        <v>1084</v>
      </c>
      <c r="R344" s="33" t="s">
        <v>1085</v>
      </c>
      <c r="S344" s="29">
        <v>2100</v>
      </c>
      <c r="T344" s="31" t="s">
        <v>1558</v>
      </c>
      <c r="U344" s="31" t="s">
        <v>1086</v>
      </c>
      <c r="V344" s="31" t="s">
        <v>1087</v>
      </c>
      <c r="W344" s="50">
        <v>45182</v>
      </c>
      <c r="X344" s="34">
        <v>2100</v>
      </c>
      <c r="Y344" s="34">
        <v>21000</v>
      </c>
      <c r="Z344" s="34" t="s">
        <v>755</v>
      </c>
      <c r="AA344" s="34">
        <f t="shared" si="16"/>
        <v>0</v>
      </c>
      <c r="AB344" s="34">
        <f t="shared" si="17"/>
        <v>0</v>
      </c>
      <c r="AC344" s="25" t="s">
        <v>689</v>
      </c>
      <c r="AD344" s="25"/>
      <c r="AE344" s="25"/>
      <c r="AF344" s="25"/>
      <c r="AG344" s="25"/>
      <c r="AH344" s="35"/>
    </row>
    <row r="345" spans="1:34" ht="78">
      <c r="A345" s="23" t="s">
        <v>24</v>
      </c>
      <c r="B345" s="81">
        <v>6000024351</v>
      </c>
      <c r="C345" s="25" t="s">
        <v>25</v>
      </c>
      <c r="D345" s="25" t="s">
        <v>769</v>
      </c>
      <c r="E345" s="25">
        <v>10</v>
      </c>
      <c r="F345" s="25">
        <v>960</v>
      </c>
      <c r="G345" s="26">
        <f t="shared" si="15"/>
        <v>9600</v>
      </c>
      <c r="H345" s="27" t="s">
        <v>46</v>
      </c>
      <c r="I345" s="28" t="s">
        <v>889</v>
      </c>
      <c r="J345" s="29">
        <v>960</v>
      </c>
      <c r="K345" s="29">
        <v>9</v>
      </c>
      <c r="L345" s="56" t="s">
        <v>880</v>
      </c>
      <c r="M345" s="31">
        <v>9600</v>
      </c>
      <c r="N345" s="31">
        <v>126</v>
      </c>
      <c r="O345" s="31" t="s">
        <v>884</v>
      </c>
      <c r="P345" s="32" t="s">
        <v>28</v>
      </c>
      <c r="Q345" s="33" t="s">
        <v>1088</v>
      </c>
      <c r="R345" s="33" t="s">
        <v>1089</v>
      </c>
      <c r="S345" s="29">
        <v>960</v>
      </c>
      <c r="T345" s="31" t="s">
        <v>1558</v>
      </c>
      <c r="U345" s="31" t="s">
        <v>1090</v>
      </c>
      <c r="V345" s="31" t="s">
        <v>1091</v>
      </c>
      <c r="W345" s="50">
        <v>45178</v>
      </c>
      <c r="X345" s="34">
        <v>960</v>
      </c>
      <c r="Y345" s="34">
        <v>9600</v>
      </c>
      <c r="Z345" s="34" t="s">
        <v>755</v>
      </c>
      <c r="AA345" s="34">
        <f t="shared" si="16"/>
        <v>0</v>
      </c>
      <c r="AB345" s="34">
        <f t="shared" si="17"/>
        <v>0</v>
      </c>
      <c r="AC345" s="25" t="s">
        <v>689</v>
      </c>
      <c r="AD345" s="36" t="s">
        <v>1656</v>
      </c>
      <c r="AE345" s="25"/>
      <c r="AF345" s="25"/>
      <c r="AG345" s="25"/>
      <c r="AH345" s="35"/>
    </row>
    <row r="346" spans="1:34" ht="15.6">
      <c r="A346" s="23" t="s">
        <v>24</v>
      </c>
      <c r="B346" s="81">
        <v>6000024351</v>
      </c>
      <c r="C346" s="25" t="s">
        <v>762</v>
      </c>
      <c r="D346" s="25" t="s">
        <v>769</v>
      </c>
      <c r="E346" s="25">
        <v>10</v>
      </c>
      <c r="F346" s="25">
        <v>1140</v>
      </c>
      <c r="G346" s="26">
        <f t="shared" si="15"/>
        <v>11400</v>
      </c>
      <c r="H346" s="27" t="s">
        <v>27</v>
      </c>
      <c r="I346" s="37">
        <v>45166</v>
      </c>
      <c r="J346" s="29">
        <v>1140</v>
      </c>
      <c r="K346" s="29">
        <v>20</v>
      </c>
      <c r="L346" s="56" t="s">
        <v>903</v>
      </c>
      <c r="M346" s="31">
        <v>11400</v>
      </c>
      <c r="N346" s="31">
        <v>144</v>
      </c>
      <c r="O346" s="31" t="s">
        <v>738</v>
      </c>
      <c r="P346" s="32" t="s">
        <v>28</v>
      </c>
      <c r="Q346" s="33">
        <v>8500060198</v>
      </c>
      <c r="R346" s="33">
        <v>5000912826</v>
      </c>
      <c r="S346" s="29">
        <v>1140</v>
      </c>
      <c r="T346" s="31" t="s">
        <v>1558</v>
      </c>
      <c r="U346" s="31" t="s">
        <v>1092</v>
      </c>
      <c r="V346" s="31" t="s">
        <v>1093</v>
      </c>
      <c r="W346" s="50">
        <v>45173</v>
      </c>
      <c r="X346" s="34">
        <v>1140</v>
      </c>
      <c r="Y346" s="34">
        <v>11400</v>
      </c>
      <c r="Z346" s="34" t="s">
        <v>35</v>
      </c>
      <c r="AA346" s="34">
        <f t="shared" si="16"/>
        <v>0</v>
      </c>
      <c r="AB346" s="34">
        <f t="shared" si="17"/>
        <v>0</v>
      </c>
      <c r="AC346" s="25" t="s">
        <v>689</v>
      </c>
      <c r="AD346" s="25"/>
      <c r="AE346" s="25"/>
      <c r="AF346" s="25"/>
      <c r="AG346" s="25"/>
      <c r="AH346" s="35"/>
    </row>
    <row r="347" spans="1:34" ht="40.5" customHeight="1">
      <c r="A347" s="23" t="s">
        <v>24</v>
      </c>
      <c r="B347" s="81">
        <v>6000024352</v>
      </c>
      <c r="C347" s="25" t="s">
        <v>771</v>
      </c>
      <c r="D347" s="25" t="s">
        <v>770</v>
      </c>
      <c r="E347" s="25">
        <v>10</v>
      </c>
      <c r="F347" s="25">
        <v>3480</v>
      </c>
      <c r="G347" s="26">
        <f t="shared" si="15"/>
        <v>34800</v>
      </c>
      <c r="H347" s="27" t="s">
        <v>37</v>
      </c>
      <c r="I347" s="28" t="s">
        <v>903</v>
      </c>
      <c r="J347" s="29">
        <v>3480</v>
      </c>
      <c r="K347" s="29">
        <v>108</v>
      </c>
      <c r="L347" s="56" t="s">
        <v>903</v>
      </c>
      <c r="M347" s="31">
        <v>34800</v>
      </c>
      <c r="N347" s="31">
        <v>378</v>
      </c>
      <c r="O347" s="31" t="s">
        <v>76</v>
      </c>
      <c r="P347" s="32" t="s">
        <v>87</v>
      </c>
      <c r="Q347" s="33" t="s">
        <v>1094</v>
      </c>
      <c r="R347" s="33" t="s">
        <v>1095</v>
      </c>
      <c r="S347" s="29">
        <v>3480</v>
      </c>
      <c r="T347" s="31" t="s">
        <v>1558</v>
      </c>
      <c r="U347" s="31" t="s">
        <v>1096</v>
      </c>
      <c r="V347" s="31" t="s">
        <v>1096</v>
      </c>
      <c r="W347" s="50" t="s">
        <v>1455</v>
      </c>
      <c r="X347" s="34">
        <f>1200+2280</f>
        <v>3480</v>
      </c>
      <c r="Y347" s="34">
        <f>12000+20000+2800</f>
        <v>34800</v>
      </c>
      <c r="Z347" s="34" t="s">
        <v>1429</v>
      </c>
      <c r="AA347" s="34">
        <f t="shared" si="16"/>
        <v>0</v>
      </c>
      <c r="AB347" s="34">
        <f t="shared" si="17"/>
        <v>0</v>
      </c>
      <c r="AC347" s="25" t="s">
        <v>689</v>
      </c>
      <c r="AD347" s="25"/>
      <c r="AE347" s="25"/>
      <c r="AF347" s="25"/>
      <c r="AG347" s="25"/>
      <c r="AH347" s="35"/>
    </row>
    <row r="348" spans="1:34" ht="31.2">
      <c r="A348" s="23" t="s">
        <v>24</v>
      </c>
      <c r="B348" s="81">
        <v>6000024353</v>
      </c>
      <c r="C348" s="25" t="s">
        <v>25</v>
      </c>
      <c r="D348" s="25" t="s">
        <v>773</v>
      </c>
      <c r="E348" s="25">
        <v>10</v>
      </c>
      <c r="F348" s="25">
        <v>14</v>
      </c>
      <c r="G348" s="26">
        <f t="shared" si="15"/>
        <v>140</v>
      </c>
      <c r="H348" s="27" t="s">
        <v>46</v>
      </c>
      <c r="I348" s="28" t="s">
        <v>859</v>
      </c>
      <c r="J348" s="29">
        <v>14</v>
      </c>
      <c r="K348" s="29">
        <v>1</v>
      </c>
      <c r="L348" s="56" t="s">
        <v>813</v>
      </c>
      <c r="M348" s="31">
        <v>140</v>
      </c>
      <c r="N348" s="31">
        <v>31</v>
      </c>
      <c r="O348" s="31" t="s">
        <v>814</v>
      </c>
      <c r="P348" s="32" t="s">
        <v>28</v>
      </c>
      <c r="Q348" s="33" t="s">
        <v>1097</v>
      </c>
      <c r="R348" s="33" t="s">
        <v>1098</v>
      </c>
      <c r="S348" s="29">
        <v>14</v>
      </c>
      <c r="T348" s="31" t="s">
        <v>1558</v>
      </c>
      <c r="U348" s="31" t="s">
        <v>1099</v>
      </c>
      <c r="V348" s="31" t="s">
        <v>1100</v>
      </c>
      <c r="W348" s="50">
        <v>45178</v>
      </c>
      <c r="X348" s="34">
        <v>14</v>
      </c>
      <c r="Y348" s="34">
        <v>140</v>
      </c>
      <c r="Z348" s="34" t="s">
        <v>800</v>
      </c>
      <c r="AA348" s="34">
        <f t="shared" si="16"/>
        <v>0</v>
      </c>
      <c r="AB348" s="34">
        <f t="shared" si="17"/>
        <v>0</v>
      </c>
      <c r="AC348" s="25" t="s">
        <v>689</v>
      </c>
      <c r="AD348" s="25"/>
      <c r="AE348" s="25"/>
      <c r="AF348" s="25"/>
      <c r="AG348" s="25"/>
      <c r="AH348" s="35"/>
    </row>
    <row r="349" spans="1:34" ht="31.2">
      <c r="A349" s="23" t="s">
        <v>24</v>
      </c>
      <c r="B349" s="81">
        <v>6000024353</v>
      </c>
      <c r="C349" s="25" t="s">
        <v>772</v>
      </c>
      <c r="D349" s="25" t="s">
        <v>773</v>
      </c>
      <c r="E349" s="25">
        <v>14</v>
      </c>
      <c r="F349" s="25">
        <v>300</v>
      </c>
      <c r="G349" s="26">
        <f t="shared" si="15"/>
        <v>4200</v>
      </c>
      <c r="I349" s="28" t="s">
        <v>779</v>
      </c>
      <c r="J349" s="29">
        <v>300</v>
      </c>
      <c r="K349" s="29">
        <v>5</v>
      </c>
      <c r="L349" s="56" t="s">
        <v>820</v>
      </c>
      <c r="M349" s="31">
        <v>4200</v>
      </c>
      <c r="N349" s="31">
        <v>65</v>
      </c>
      <c r="O349" s="31" t="s">
        <v>821</v>
      </c>
      <c r="P349" s="32" t="s">
        <v>28</v>
      </c>
      <c r="Q349" s="33" t="s">
        <v>76</v>
      </c>
      <c r="R349" s="33" t="s">
        <v>76</v>
      </c>
      <c r="S349" s="29">
        <v>300</v>
      </c>
      <c r="T349" s="31" t="s">
        <v>1558</v>
      </c>
      <c r="U349" s="31" t="s">
        <v>1101</v>
      </c>
      <c r="V349" s="31" t="s">
        <v>1102</v>
      </c>
      <c r="W349" s="50" t="s">
        <v>76</v>
      </c>
      <c r="X349" s="34">
        <v>0</v>
      </c>
      <c r="Y349" s="34">
        <v>0</v>
      </c>
      <c r="Z349" s="34" t="s">
        <v>76</v>
      </c>
      <c r="AA349" s="34">
        <f t="shared" si="16"/>
        <v>300</v>
      </c>
      <c r="AB349" s="34">
        <f t="shared" si="17"/>
        <v>4200</v>
      </c>
      <c r="AC349" s="25" t="s">
        <v>689</v>
      </c>
      <c r="AD349" s="25"/>
      <c r="AE349" s="25"/>
      <c r="AF349" s="25"/>
      <c r="AG349" s="25"/>
      <c r="AH349" s="35"/>
    </row>
    <row r="350" spans="1:34" ht="46.8">
      <c r="A350" s="23" t="s">
        <v>24</v>
      </c>
      <c r="B350" s="81">
        <v>6000024353</v>
      </c>
      <c r="C350" s="25" t="s">
        <v>771</v>
      </c>
      <c r="D350" s="25" t="s">
        <v>773</v>
      </c>
      <c r="E350" s="25">
        <v>10</v>
      </c>
      <c r="F350" s="25">
        <v>2670</v>
      </c>
      <c r="G350" s="26">
        <f t="shared" si="15"/>
        <v>26700</v>
      </c>
      <c r="H350" s="27" t="s">
        <v>37</v>
      </c>
      <c r="I350" s="28" t="s">
        <v>903</v>
      </c>
      <c r="J350" s="29">
        <v>2670</v>
      </c>
      <c r="K350" s="29">
        <v>90</v>
      </c>
      <c r="L350" s="56" t="s">
        <v>1105</v>
      </c>
      <c r="M350" s="31">
        <v>26700</v>
      </c>
      <c r="N350" s="31">
        <v>297</v>
      </c>
      <c r="O350" s="31" t="s">
        <v>1108</v>
      </c>
      <c r="P350" s="32" t="s">
        <v>87</v>
      </c>
      <c r="Q350" s="33" t="s">
        <v>1103</v>
      </c>
      <c r="R350" s="33" t="s">
        <v>1104</v>
      </c>
      <c r="S350" s="29">
        <v>2670</v>
      </c>
      <c r="T350" s="31" t="s">
        <v>1558</v>
      </c>
      <c r="U350" s="31" t="s">
        <v>1106</v>
      </c>
      <c r="V350" s="31" t="s">
        <v>1107</v>
      </c>
      <c r="W350" s="50">
        <v>45162</v>
      </c>
      <c r="X350" s="34">
        <f>500+500+1670</f>
        <v>2670</v>
      </c>
      <c r="Y350" s="34">
        <v>26700</v>
      </c>
      <c r="Z350" s="34" t="s">
        <v>1661</v>
      </c>
      <c r="AA350" s="34">
        <f t="shared" si="16"/>
        <v>0</v>
      </c>
      <c r="AB350" s="34">
        <f t="shared" si="17"/>
        <v>0</v>
      </c>
      <c r="AC350" s="25" t="s">
        <v>689</v>
      </c>
      <c r="AD350" s="25"/>
      <c r="AE350" s="25"/>
      <c r="AF350" s="25"/>
      <c r="AG350" s="25"/>
      <c r="AH350" s="35"/>
    </row>
    <row r="351" spans="1:34" ht="31.2">
      <c r="A351" s="23" t="s">
        <v>24</v>
      </c>
      <c r="B351" s="81">
        <v>6000024354</v>
      </c>
      <c r="C351" s="25" t="s">
        <v>25</v>
      </c>
      <c r="D351" s="25" t="s">
        <v>774</v>
      </c>
      <c r="E351" s="25">
        <v>10</v>
      </c>
      <c r="F351" s="25">
        <v>480</v>
      </c>
      <c r="G351" s="26">
        <f t="shared" si="15"/>
        <v>4800</v>
      </c>
      <c r="H351" s="27" t="s">
        <v>37</v>
      </c>
      <c r="I351" s="28" t="s">
        <v>903</v>
      </c>
      <c r="J351" s="29">
        <v>480</v>
      </c>
      <c r="K351" s="29">
        <v>12</v>
      </c>
      <c r="L351" s="56" t="s">
        <v>880</v>
      </c>
      <c r="M351" s="31">
        <v>4800</v>
      </c>
      <c r="N351" s="31">
        <v>78</v>
      </c>
      <c r="O351" s="31" t="s">
        <v>885</v>
      </c>
      <c r="P351" s="32" t="s">
        <v>28</v>
      </c>
      <c r="Q351" s="33" t="s">
        <v>1109</v>
      </c>
      <c r="R351" s="33" t="s">
        <v>1109</v>
      </c>
      <c r="S351" s="29">
        <v>480</v>
      </c>
      <c r="T351" s="31" t="s">
        <v>1558</v>
      </c>
      <c r="U351" s="31" t="s">
        <v>1110</v>
      </c>
      <c r="V351" s="31" t="s">
        <v>1111</v>
      </c>
      <c r="W351" s="50">
        <v>45169</v>
      </c>
      <c r="X351" s="34">
        <v>480</v>
      </c>
      <c r="Y351" s="34">
        <v>4800</v>
      </c>
      <c r="Z351" s="34" t="s">
        <v>1449</v>
      </c>
      <c r="AA351" s="34">
        <f t="shared" si="16"/>
        <v>0</v>
      </c>
      <c r="AB351" s="34">
        <f t="shared" si="17"/>
        <v>0</v>
      </c>
      <c r="AC351" s="25" t="s">
        <v>689</v>
      </c>
      <c r="AD351" s="25"/>
      <c r="AE351" s="25"/>
      <c r="AF351" s="25"/>
      <c r="AG351" s="25"/>
      <c r="AH351" s="35"/>
    </row>
    <row r="352" spans="1:34" ht="46.8">
      <c r="A352" s="23" t="s">
        <v>24</v>
      </c>
      <c r="B352" s="81"/>
      <c r="C352" s="25"/>
      <c r="D352" s="25"/>
      <c r="E352" s="25">
        <v>10</v>
      </c>
      <c r="F352" s="25">
        <v>1620</v>
      </c>
      <c r="G352" s="26">
        <f t="shared" si="15"/>
        <v>16200</v>
      </c>
      <c r="H352" s="27" t="s">
        <v>146</v>
      </c>
      <c r="I352" s="28" t="s">
        <v>1112</v>
      </c>
      <c r="J352" s="29">
        <v>1620</v>
      </c>
      <c r="K352" s="29">
        <v>18</v>
      </c>
      <c r="L352" s="56" t="s">
        <v>889</v>
      </c>
      <c r="M352" s="31">
        <v>16200</v>
      </c>
      <c r="N352" s="31">
        <v>192</v>
      </c>
      <c r="O352" s="31" t="s">
        <v>896</v>
      </c>
      <c r="P352" s="32" t="s">
        <v>28</v>
      </c>
      <c r="Q352" s="33" t="s">
        <v>1113</v>
      </c>
      <c r="R352" s="33" t="s">
        <v>1114</v>
      </c>
      <c r="S352" s="29">
        <v>1620</v>
      </c>
      <c r="T352" s="31" t="s">
        <v>1558</v>
      </c>
      <c r="U352" s="31" t="s">
        <v>1115</v>
      </c>
      <c r="V352" s="31" t="s">
        <v>1116</v>
      </c>
      <c r="W352" s="50">
        <v>45163</v>
      </c>
      <c r="X352" s="34">
        <v>1620</v>
      </c>
      <c r="Y352" s="34">
        <v>16200</v>
      </c>
      <c r="Z352" s="34" t="s">
        <v>1401</v>
      </c>
      <c r="AA352" s="34">
        <f t="shared" si="16"/>
        <v>0</v>
      </c>
      <c r="AB352" s="34">
        <f t="shared" si="17"/>
        <v>0</v>
      </c>
      <c r="AC352" s="25" t="s">
        <v>689</v>
      </c>
      <c r="AD352" s="25"/>
      <c r="AE352" s="25"/>
      <c r="AF352" s="25"/>
      <c r="AG352" s="25"/>
      <c r="AH352" s="35"/>
    </row>
    <row r="353" spans="1:34" ht="31.2">
      <c r="A353" s="23" t="s">
        <v>24</v>
      </c>
      <c r="B353" s="81">
        <v>6000024355</v>
      </c>
      <c r="C353" s="25" t="s">
        <v>25</v>
      </c>
      <c r="D353" s="25" t="s">
        <v>775</v>
      </c>
      <c r="E353" s="25">
        <v>10</v>
      </c>
      <c r="F353" s="25">
        <v>1050</v>
      </c>
      <c r="G353" s="26">
        <f t="shared" si="15"/>
        <v>10500</v>
      </c>
      <c r="H353" s="27" t="s">
        <v>146</v>
      </c>
      <c r="I353" s="28" t="s">
        <v>903</v>
      </c>
      <c r="J353" s="29">
        <v>1050</v>
      </c>
      <c r="K353" s="29">
        <v>16</v>
      </c>
      <c r="L353" s="56" t="s">
        <v>889</v>
      </c>
      <c r="M353" s="31">
        <v>10500</v>
      </c>
      <c r="N353" s="31">
        <v>135</v>
      </c>
      <c r="O353" s="31" t="s">
        <v>896</v>
      </c>
      <c r="P353" s="32" t="s">
        <v>28</v>
      </c>
      <c r="Q353" s="33" t="s">
        <v>1117</v>
      </c>
      <c r="R353" s="33" t="s">
        <v>1118</v>
      </c>
      <c r="S353" s="29">
        <v>1050</v>
      </c>
      <c r="T353" s="31" t="s">
        <v>1558</v>
      </c>
      <c r="U353" s="31" t="s">
        <v>1119</v>
      </c>
      <c r="V353" s="31" t="s">
        <v>1120</v>
      </c>
      <c r="W353" s="50">
        <v>45169</v>
      </c>
      <c r="X353" s="34">
        <v>1050</v>
      </c>
      <c r="Y353" s="34">
        <v>10500</v>
      </c>
      <c r="Z353" s="34" t="s">
        <v>1448</v>
      </c>
      <c r="AA353" s="34">
        <f t="shared" si="16"/>
        <v>0</v>
      </c>
      <c r="AB353" s="34">
        <f t="shared" si="17"/>
        <v>0</v>
      </c>
      <c r="AC353" s="25" t="s">
        <v>689</v>
      </c>
      <c r="AD353" s="25"/>
      <c r="AE353" s="25"/>
      <c r="AF353" s="25"/>
      <c r="AG353" s="25"/>
      <c r="AH353" s="35"/>
    </row>
    <row r="354" spans="1:34" ht="21.75" customHeight="1">
      <c r="A354" s="23" t="s">
        <v>24</v>
      </c>
      <c r="B354" s="81">
        <v>6000024355</v>
      </c>
      <c r="C354" s="25" t="s">
        <v>762</v>
      </c>
      <c r="D354" s="25" t="s">
        <v>775</v>
      </c>
      <c r="E354" s="25">
        <v>10</v>
      </c>
      <c r="F354" s="25">
        <v>1050</v>
      </c>
      <c r="G354" s="26">
        <f t="shared" si="15"/>
        <v>10500</v>
      </c>
      <c r="H354" s="27" t="s">
        <v>37</v>
      </c>
      <c r="I354" s="37">
        <v>45159</v>
      </c>
      <c r="J354" s="29">
        <f>1039+11</f>
        <v>1050</v>
      </c>
      <c r="K354" s="29">
        <v>13</v>
      </c>
      <c r="L354" s="56" t="s">
        <v>903</v>
      </c>
      <c r="M354" s="31">
        <v>10500</v>
      </c>
      <c r="N354" s="31">
        <v>135</v>
      </c>
      <c r="O354" s="31" t="s">
        <v>76</v>
      </c>
      <c r="P354" s="32" t="s">
        <v>28</v>
      </c>
      <c r="Q354" s="33">
        <v>8500060192</v>
      </c>
      <c r="R354" s="33">
        <v>5000888372</v>
      </c>
      <c r="S354" s="29">
        <f>1039+11</f>
        <v>1050</v>
      </c>
      <c r="T354" s="31" t="s">
        <v>1558</v>
      </c>
      <c r="U354" s="31" t="s">
        <v>1121</v>
      </c>
      <c r="V354" s="31" t="s">
        <v>1122</v>
      </c>
      <c r="W354" s="50">
        <v>45174</v>
      </c>
      <c r="X354" s="34">
        <v>1050</v>
      </c>
      <c r="Y354" s="34">
        <v>10500</v>
      </c>
      <c r="Z354" s="34" t="s">
        <v>905</v>
      </c>
      <c r="AA354" s="34">
        <f t="shared" si="16"/>
        <v>0</v>
      </c>
      <c r="AB354" s="34">
        <f t="shared" si="17"/>
        <v>0</v>
      </c>
      <c r="AC354" s="25" t="s">
        <v>689</v>
      </c>
      <c r="AD354" s="25"/>
      <c r="AE354" s="25"/>
      <c r="AF354" s="25"/>
      <c r="AG354" s="25"/>
      <c r="AH354" s="35"/>
    </row>
    <row r="355" spans="1:34" ht="31.2">
      <c r="A355" s="23" t="s">
        <v>24</v>
      </c>
      <c r="B355" s="81">
        <v>6000024356</v>
      </c>
      <c r="C355" s="25" t="s">
        <v>25</v>
      </c>
      <c r="D355" s="25" t="s">
        <v>776</v>
      </c>
      <c r="E355" s="25">
        <v>10</v>
      </c>
      <c r="F355" s="25">
        <v>880</v>
      </c>
      <c r="G355" s="26">
        <f t="shared" si="15"/>
        <v>8800</v>
      </c>
      <c r="H355" s="27" t="s">
        <v>46</v>
      </c>
      <c r="I355" s="28" t="s">
        <v>920</v>
      </c>
      <c r="J355" s="29">
        <v>880</v>
      </c>
      <c r="K355" s="29">
        <v>15</v>
      </c>
      <c r="L355" s="56" t="s">
        <v>880</v>
      </c>
      <c r="M355" s="31">
        <v>8800</v>
      </c>
      <c r="N355" s="31">
        <v>118</v>
      </c>
      <c r="O355" s="31" t="s">
        <v>886</v>
      </c>
      <c r="P355" s="32" t="s">
        <v>28</v>
      </c>
      <c r="Q355" s="33" t="s">
        <v>1123</v>
      </c>
      <c r="R355" s="33" t="s">
        <v>1124</v>
      </c>
      <c r="S355" s="29">
        <v>880</v>
      </c>
      <c r="T355" s="31" t="s">
        <v>1558</v>
      </c>
      <c r="U355" s="31" t="s">
        <v>1125</v>
      </c>
      <c r="V355" s="31" t="s">
        <v>1126</v>
      </c>
      <c r="W355" s="50">
        <v>45189</v>
      </c>
      <c r="X355" s="34">
        <v>880</v>
      </c>
      <c r="Y355" s="34">
        <v>8800</v>
      </c>
      <c r="Z355" s="34" t="s">
        <v>755</v>
      </c>
      <c r="AA355" s="34">
        <f t="shared" si="16"/>
        <v>0</v>
      </c>
      <c r="AB355" s="34">
        <f t="shared" si="17"/>
        <v>0</v>
      </c>
      <c r="AC355" s="25" t="s">
        <v>689</v>
      </c>
      <c r="AD355" s="25"/>
      <c r="AE355" s="25"/>
      <c r="AF355" s="25"/>
      <c r="AG355" s="25"/>
      <c r="AH355" s="35"/>
    </row>
    <row r="356" spans="1:34" ht="46.8">
      <c r="A356" s="23" t="s">
        <v>24</v>
      </c>
      <c r="B356" s="81">
        <v>6000024356</v>
      </c>
      <c r="C356" s="25" t="s">
        <v>25</v>
      </c>
      <c r="D356" s="25" t="s">
        <v>776</v>
      </c>
      <c r="E356" s="25">
        <v>10</v>
      </c>
      <c r="F356" s="25">
        <v>1020</v>
      </c>
      <c r="G356" s="26">
        <f t="shared" si="15"/>
        <v>10200</v>
      </c>
      <c r="H356" s="27" t="s">
        <v>146</v>
      </c>
      <c r="I356" s="28" t="s">
        <v>1419</v>
      </c>
      <c r="J356" s="29">
        <v>1020</v>
      </c>
      <c r="K356" s="29">
        <f>3+7</f>
        <v>10</v>
      </c>
      <c r="L356" s="56" t="s">
        <v>1112</v>
      </c>
      <c r="M356" s="31">
        <v>10200</v>
      </c>
      <c r="N356" s="31">
        <v>132</v>
      </c>
      <c r="O356" s="31" t="s">
        <v>1131</v>
      </c>
      <c r="P356" s="32" t="s">
        <v>28</v>
      </c>
      <c r="Q356" s="33" t="s">
        <v>1127</v>
      </c>
      <c r="R356" s="33" t="s">
        <v>1128</v>
      </c>
      <c r="S356" s="29">
        <v>1020</v>
      </c>
      <c r="T356" s="31" t="s">
        <v>1558</v>
      </c>
      <c r="U356" s="31" t="s">
        <v>1129</v>
      </c>
      <c r="V356" s="31" t="s">
        <v>1130</v>
      </c>
      <c r="W356" s="50">
        <v>45178</v>
      </c>
      <c r="X356" s="34">
        <v>1020</v>
      </c>
      <c r="Y356" s="34">
        <v>10200</v>
      </c>
      <c r="Z356" s="34" t="s">
        <v>1513</v>
      </c>
      <c r="AA356" s="34">
        <f t="shared" si="16"/>
        <v>0</v>
      </c>
      <c r="AB356" s="34">
        <f t="shared" si="17"/>
        <v>0</v>
      </c>
      <c r="AC356" s="25" t="s">
        <v>689</v>
      </c>
      <c r="AD356" s="25"/>
      <c r="AE356" s="25"/>
      <c r="AF356" s="25"/>
      <c r="AG356" s="25"/>
      <c r="AH356" s="35"/>
    </row>
    <row r="357" spans="1:34" ht="31.2">
      <c r="A357" s="23" t="s">
        <v>24</v>
      </c>
      <c r="B357" s="81">
        <v>6000024356</v>
      </c>
      <c r="C357" s="25" t="s">
        <v>762</v>
      </c>
      <c r="D357" s="25" t="s">
        <v>776</v>
      </c>
      <c r="E357" s="25">
        <v>10</v>
      </c>
      <c r="F357" s="25">
        <v>200</v>
      </c>
      <c r="G357" s="26">
        <f t="shared" si="15"/>
        <v>2000</v>
      </c>
      <c r="H357" s="27" t="s">
        <v>37</v>
      </c>
      <c r="I357" s="28" t="s">
        <v>920</v>
      </c>
      <c r="J357" s="29">
        <v>200</v>
      </c>
      <c r="K357" s="29">
        <v>2</v>
      </c>
      <c r="L357" s="56" t="s">
        <v>903</v>
      </c>
      <c r="M357" s="31">
        <v>2000</v>
      </c>
      <c r="N357" s="31">
        <v>50</v>
      </c>
      <c r="O357" s="31" t="s">
        <v>821</v>
      </c>
      <c r="P357" s="32" t="s">
        <v>28</v>
      </c>
      <c r="Q357" s="33" t="s">
        <v>1132</v>
      </c>
      <c r="R357" s="33" t="s">
        <v>1133</v>
      </c>
      <c r="S357" s="29">
        <v>200</v>
      </c>
      <c r="T357" s="31" t="s">
        <v>1558</v>
      </c>
      <c r="U357" s="31" t="s">
        <v>1134</v>
      </c>
      <c r="V357" s="31" t="s">
        <v>1135</v>
      </c>
      <c r="W357" s="50">
        <v>45189</v>
      </c>
      <c r="X357" s="34">
        <v>200</v>
      </c>
      <c r="Y357" s="34">
        <v>2000</v>
      </c>
      <c r="Z357" s="34" t="s">
        <v>1635</v>
      </c>
      <c r="AA357" s="34">
        <f t="shared" si="16"/>
        <v>0</v>
      </c>
      <c r="AB357" s="34">
        <f t="shared" si="17"/>
        <v>0</v>
      </c>
      <c r="AC357" s="25" t="s">
        <v>689</v>
      </c>
      <c r="AD357" s="25"/>
      <c r="AE357" s="25"/>
      <c r="AF357" s="25"/>
      <c r="AG357" s="25"/>
      <c r="AH357" s="35"/>
    </row>
    <row r="358" spans="1:34" ht="31.2">
      <c r="A358" s="23" t="s">
        <v>24</v>
      </c>
      <c r="B358" s="81">
        <v>6000024357</v>
      </c>
      <c r="C358" s="25" t="s">
        <v>25</v>
      </c>
      <c r="D358" s="25" t="s">
        <v>778</v>
      </c>
      <c r="E358" s="25">
        <v>10</v>
      </c>
      <c r="F358" s="25">
        <v>1750</v>
      </c>
      <c r="G358" s="26">
        <f t="shared" si="15"/>
        <v>17500</v>
      </c>
      <c r="H358" s="27" t="s">
        <v>37</v>
      </c>
      <c r="I358" s="28" t="s">
        <v>889</v>
      </c>
      <c r="J358" s="29">
        <v>1750</v>
      </c>
      <c r="K358" s="29">
        <v>16</v>
      </c>
      <c r="L358" s="56" t="s">
        <v>1138</v>
      </c>
      <c r="M358" s="31">
        <v>17500</v>
      </c>
      <c r="N358" s="31">
        <v>205</v>
      </c>
      <c r="O358" s="31" t="s">
        <v>1141</v>
      </c>
      <c r="P358" s="32" t="s">
        <v>28</v>
      </c>
      <c r="Q358" s="33" t="s">
        <v>1136</v>
      </c>
      <c r="R358" s="33" t="s">
        <v>1137</v>
      </c>
      <c r="S358" s="29">
        <v>1750</v>
      </c>
      <c r="T358" s="31" t="s">
        <v>1558</v>
      </c>
      <c r="U358" s="31" t="s">
        <v>1139</v>
      </c>
      <c r="V358" s="31" t="s">
        <v>1140</v>
      </c>
      <c r="W358" s="50">
        <v>45166</v>
      </c>
      <c r="X358" s="34">
        <v>1750</v>
      </c>
      <c r="Y358" s="34">
        <v>17500</v>
      </c>
      <c r="Z358" s="34" t="s">
        <v>905</v>
      </c>
      <c r="AA358" s="34">
        <f t="shared" si="16"/>
        <v>0</v>
      </c>
      <c r="AB358" s="34">
        <f t="shared" si="17"/>
        <v>0</v>
      </c>
      <c r="AC358" s="25" t="s">
        <v>689</v>
      </c>
      <c r="AD358" s="25"/>
      <c r="AE358" s="25"/>
      <c r="AF358" s="25"/>
      <c r="AG358" s="25"/>
      <c r="AH358" s="35"/>
    </row>
    <row r="359" spans="1:34" ht="31.2">
      <c r="A359" s="23" t="s">
        <v>24</v>
      </c>
      <c r="B359" s="81">
        <v>6000024358</v>
      </c>
      <c r="C359" s="25" t="s">
        <v>25</v>
      </c>
      <c r="D359" s="25" t="s">
        <v>777</v>
      </c>
      <c r="E359" s="25">
        <v>10</v>
      </c>
      <c r="F359" s="25">
        <v>1050</v>
      </c>
      <c r="G359" s="26">
        <f t="shared" si="15"/>
        <v>10500</v>
      </c>
      <c r="H359" s="27" t="s">
        <v>146</v>
      </c>
      <c r="I359" s="28" t="s">
        <v>889</v>
      </c>
      <c r="J359" s="29">
        <v>1050</v>
      </c>
      <c r="K359" s="29">
        <v>9</v>
      </c>
      <c r="L359" s="56" t="s">
        <v>903</v>
      </c>
      <c r="M359" s="31">
        <v>10500</v>
      </c>
      <c r="N359" s="31">
        <v>135</v>
      </c>
      <c r="O359" s="31" t="s">
        <v>738</v>
      </c>
      <c r="P359" s="32" t="s">
        <v>28</v>
      </c>
      <c r="Q359" s="33" t="s">
        <v>1142</v>
      </c>
      <c r="R359" s="33" t="s">
        <v>1143</v>
      </c>
      <c r="S359" s="29">
        <v>1050</v>
      </c>
      <c r="T359" s="31" t="s">
        <v>1558</v>
      </c>
      <c r="U359" s="31" t="s">
        <v>1144</v>
      </c>
      <c r="V359" s="31" t="s">
        <v>1145</v>
      </c>
      <c r="W359" s="50">
        <v>45173</v>
      </c>
      <c r="X359" s="34">
        <v>1050</v>
      </c>
      <c r="Y359" s="34">
        <v>10500</v>
      </c>
      <c r="Z359" s="34" t="s">
        <v>1460</v>
      </c>
      <c r="AA359" s="34">
        <f t="shared" si="16"/>
        <v>0</v>
      </c>
      <c r="AB359" s="34">
        <f t="shared" si="17"/>
        <v>0</v>
      </c>
      <c r="AC359" s="25" t="s">
        <v>689</v>
      </c>
      <c r="AD359" s="25"/>
      <c r="AE359" s="25"/>
      <c r="AF359" s="25"/>
      <c r="AG359" s="25"/>
      <c r="AH359" s="35"/>
    </row>
    <row r="360" spans="1:34" ht="31.2">
      <c r="A360" s="23" t="s">
        <v>24</v>
      </c>
      <c r="B360" s="81">
        <v>6000024358</v>
      </c>
      <c r="C360" s="25" t="s">
        <v>762</v>
      </c>
      <c r="D360" s="25"/>
      <c r="E360" s="25">
        <v>10</v>
      </c>
      <c r="F360" s="25">
        <v>1050</v>
      </c>
      <c r="G360" s="26">
        <f t="shared" si="15"/>
        <v>10500</v>
      </c>
      <c r="H360" s="27" t="s">
        <v>37</v>
      </c>
      <c r="I360" s="28" t="s">
        <v>920</v>
      </c>
      <c r="J360" s="29">
        <v>1050</v>
      </c>
      <c r="K360" s="29">
        <v>11</v>
      </c>
      <c r="L360" s="56" t="s">
        <v>912</v>
      </c>
      <c r="M360" s="31">
        <v>10500</v>
      </c>
      <c r="N360" s="31">
        <v>135</v>
      </c>
      <c r="O360" s="31" t="s">
        <v>738</v>
      </c>
      <c r="P360" s="32" t="s">
        <v>28</v>
      </c>
      <c r="Q360" s="33" t="s">
        <v>1146</v>
      </c>
      <c r="R360" s="33" t="s">
        <v>1147</v>
      </c>
      <c r="S360" s="29">
        <v>1050</v>
      </c>
      <c r="T360" s="31" t="s">
        <v>1558</v>
      </c>
      <c r="U360" s="31" t="s">
        <v>1148</v>
      </c>
      <c r="V360" s="31" t="s">
        <v>1149</v>
      </c>
      <c r="W360" s="50">
        <v>45175</v>
      </c>
      <c r="X360" s="34">
        <v>1050</v>
      </c>
      <c r="Y360" s="34">
        <v>10500</v>
      </c>
      <c r="Z360" s="34" t="s">
        <v>1472</v>
      </c>
      <c r="AA360" s="34">
        <f t="shared" si="16"/>
        <v>0</v>
      </c>
      <c r="AB360" s="34">
        <f t="shared" si="17"/>
        <v>0</v>
      </c>
      <c r="AC360" s="25" t="s">
        <v>689</v>
      </c>
      <c r="AD360" s="25"/>
      <c r="AE360" s="25"/>
      <c r="AF360" s="25"/>
      <c r="AG360" s="25"/>
      <c r="AH360" s="35"/>
    </row>
    <row r="361" spans="1:34" ht="31.2">
      <c r="A361" s="23" t="s">
        <v>781</v>
      </c>
      <c r="B361" s="81">
        <v>6000024289</v>
      </c>
      <c r="C361" s="25" t="s">
        <v>780</v>
      </c>
      <c r="D361" s="25">
        <v>488207686</v>
      </c>
      <c r="E361" s="25">
        <v>12</v>
      </c>
      <c r="F361" s="25">
        <v>400</v>
      </c>
      <c r="G361" s="26">
        <f t="shared" si="15"/>
        <v>4800</v>
      </c>
      <c r="H361" s="27" t="s">
        <v>46</v>
      </c>
      <c r="I361" s="28" t="s">
        <v>820</v>
      </c>
      <c r="J361" s="29">
        <v>400</v>
      </c>
      <c r="K361" s="29">
        <v>10</v>
      </c>
      <c r="L361" s="56" t="s">
        <v>813</v>
      </c>
      <c r="M361" s="31">
        <v>4800</v>
      </c>
      <c r="N361" s="31">
        <v>24</v>
      </c>
      <c r="O361" s="31" t="s">
        <v>791</v>
      </c>
      <c r="P361" s="32" t="s">
        <v>160</v>
      </c>
      <c r="Q361" s="33" t="s">
        <v>1150</v>
      </c>
      <c r="R361" s="33" t="s">
        <v>1151</v>
      </c>
      <c r="S361" s="29">
        <v>400</v>
      </c>
      <c r="T361" s="31" t="s">
        <v>152</v>
      </c>
      <c r="U361" s="31" t="s">
        <v>1152</v>
      </c>
      <c r="V361" s="31" t="s">
        <v>1153</v>
      </c>
      <c r="W361" s="50" t="s">
        <v>912</v>
      </c>
      <c r="X361" s="34">
        <v>400</v>
      </c>
      <c r="Y361" s="34">
        <v>4800</v>
      </c>
      <c r="Z361" s="34" t="s">
        <v>800</v>
      </c>
      <c r="AA361" s="34">
        <f t="shared" si="16"/>
        <v>0</v>
      </c>
      <c r="AB361" s="34">
        <f t="shared" si="17"/>
        <v>0</v>
      </c>
      <c r="AC361" s="25" t="s">
        <v>36</v>
      </c>
      <c r="AD361" s="25" t="s">
        <v>1811</v>
      </c>
      <c r="AE361" s="25"/>
      <c r="AF361" s="25"/>
      <c r="AG361" s="25"/>
      <c r="AH361" s="35"/>
    </row>
    <row r="362" spans="1:34" ht="31.2">
      <c r="A362" s="23"/>
      <c r="B362" s="81"/>
      <c r="C362" s="25"/>
      <c r="D362" s="25"/>
      <c r="E362" s="25">
        <v>12</v>
      </c>
      <c r="F362" s="25">
        <v>200</v>
      </c>
      <c r="G362" s="26">
        <f t="shared" si="15"/>
        <v>2400</v>
      </c>
      <c r="H362" s="27" t="s">
        <v>37</v>
      </c>
      <c r="I362" s="28" t="s">
        <v>820</v>
      </c>
      <c r="J362" s="29">
        <v>200</v>
      </c>
      <c r="K362" s="29">
        <v>4</v>
      </c>
      <c r="L362" s="56" t="s">
        <v>813</v>
      </c>
      <c r="M362" s="31">
        <v>2400</v>
      </c>
      <c r="N362" s="31">
        <v>12</v>
      </c>
      <c r="O362" s="31" t="s">
        <v>739</v>
      </c>
      <c r="P362" s="32" t="s">
        <v>160</v>
      </c>
      <c r="Q362" s="33" t="s">
        <v>1150</v>
      </c>
      <c r="R362" s="33" t="s">
        <v>1151</v>
      </c>
      <c r="S362" s="29">
        <v>200</v>
      </c>
      <c r="T362" s="31" t="s">
        <v>152</v>
      </c>
      <c r="U362" s="31" t="s">
        <v>1152</v>
      </c>
      <c r="V362" s="31" t="s">
        <v>1153</v>
      </c>
      <c r="W362" s="50" t="s">
        <v>912</v>
      </c>
      <c r="X362" s="34">
        <v>200</v>
      </c>
      <c r="Y362" s="34">
        <v>2400</v>
      </c>
      <c r="Z362" s="34" t="s">
        <v>800</v>
      </c>
      <c r="AA362" s="34">
        <f t="shared" si="16"/>
        <v>0</v>
      </c>
      <c r="AB362" s="34">
        <f t="shared" si="17"/>
        <v>0</v>
      </c>
      <c r="AC362" s="25" t="s">
        <v>36</v>
      </c>
      <c r="AD362" s="25" t="s">
        <v>1812</v>
      </c>
      <c r="AE362" s="25"/>
      <c r="AF362" s="25"/>
      <c r="AG362" s="25"/>
      <c r="AH362" s="35"/>
    </row>
    <row r="363" spans="1:34" ht="15.6">
      <c r="A363" s="23" t="s">
        <v>781</v>
      </c>
      <c r="B363" s="81">
        <v>6000024289</v>
      </c>
      <c r="C363" s="25" t="s">
        <v>782</v>
      </c>
      <c r="D363" s="25">
        <v>488207686</v>
      </c>
      <c r="E363" s="25">
        <v>10</v>
      </c>
      <c r="F363" s="25">
        <v>120</v>
      </c>
      <c r="G363" s="26">
        <f t="shared" si="15"/>
        <v>1200</v>
      </c>
      <c r="H363" s="27" t="s">
        <v>46</v>
      </c>
      <c r="I363" s="37">
        <v>45142</v>
      </c>
      <c r="J363" s="29">
        <v>120</v>
      </c>
      <c r="K363" s="29">
        <v>10</v>
      </c>
      <c r="L363" s="57">
        <v>45142</v>
      </c>
      <c r="M363" s="31">
        <v>1200</v>
      </c>
      <c r="N363" s="31">
        <v>6</v>
      </c>
      <c r="O363" s="31" t="s">
        <v>788</v>
      </c>
      <c r="P363" s="32" t="s">
        <v>139</v>
      </c>
      <c r="Q363" s="33" t="s">
        <v>1154</v>
      </c>
      <c r="R363" s="33" t="s">
        <v>1155</v>
      </c>
      <c r="S363" s="29">
        <v>120</v>
      </c>
      <c r="T363" s="31" t="s">
        <v>152</v>
      </c>
      <c r="U363" s="31" t="s">
        <v>1156</v>
      </c>
      <c r="V363" s="31" t="s">
        <v>1157</v>
      </c>
      <c r="W363" s="50" t="s">
        <v>851</v>
      </c>
      <c r="X363" s="34">
        <v>120</v>
      </c>
      <c r="Y363" s="34">
        <v>1200</v>
      </c>
      <c r="Z363" s="34" t="s">
        <v>338</v>
      </c>
      <c r="AA363" s="34">
        <f t="shared" si="16"/>
        <v>0</v>
      </c>
      <c r="AB363" s="34">
        <f t="shared" si="17"/>
        <v>0</v>
      </c>
      <c r="AC363" s="25" t="s">
        <v>36</v>
      </c>
      <c r="AD363" s="25"/>
      <c r="AE363" s="25"/>
      <c r="AF363" s="25"/>
      <c r="AG363" s="25"/>
      <c r="AH363" s="35"/>
    </row>
    <row r="364" spans="1:34" ht="15.6">
      <c r="A364" s="23" t="s">
        <v>781</v>
      </c>
      <c r="B364" s="81">
        <v>6000024289</v>
      </c>
      <c r="C364" s="25" t="s">
        <v>783</v>
      </c>
      <c r="D364" s="25">
        <v>488207686</v>
      </c>
      <c r="E364" s="25">
        <v>10</v>
      </c>
      <c r="F364" s="25">
        <v>156</v>
      </c>
      <c r="G364" s="26">
        <f t="shared" si="15"/>
        <v>1560</v>
      </c>
      <c r="H364" s="27" t="s">
        <v>46</v>
      </c>
      <c r="I364" s="37">
        <v>45142</v>
      </c>
      <c r="J364" s="29">
        <v>156</v>
      </c>
      <c r="K364" s="29">
        <v>4</v>
      </c>
      <c r="L364" s="57">
        <v>45142</v>
      </c>
      <c r="M364" s="31">
        <v>1560</v>
      </c>
      <c r="N364" s="31">
        <v>8</v>
      </c>
      <c r="O364" s="31" t="s">
        <v>789</v>
      </c>
      <c r="P364" s="32" t="s">
        <v>139</v>
      </c>
      <c r="Q364" s="33" t="s">
        <v>1158</v>
      </c>
      <c r="R364" s="33" t="s">
        <v>1159</v>
      </c>
      <c r="S364" s="29">
        <v>156</v>
      </c>
      <c r="T364" s="31" t="s">
        <v>152</v>
      </c>
      <c r="U364" s="31" t="s">
        <v>1160</v>
      </c>
      <c r="V364" s="31" t="s">
        <v>1161</v>
      </c>
      <c r="W364" s="50" t="s">
        <v>820</v>
      </c>
      <c r="X364" s="34">
        <v>156</v>
      </c>
      <c r="Y364" s="34">
        <v>1560</v>
      </c>
      <c r="Z364" s="34" t="s">
        <v>826</v>
      </c>
      <c r="AA364" s="34">
        <f t="shared" si="16"/>
        <v>0</v>
      </c>
      <c r="AB364" s="34">
        <f t="shared" si="17"/>
        <v>0</v>
      </c>
      <c r="AC364" s="25" t="s">
        <v>36</v>
      </c>
      <c r="AD364" s="25"/>
      <c r="AE364" s="25"/>
      <c r="AF364" s="25"/>
      <c r="AG364" s="25"/>
      <c r="AH364" s="35"/>
    </row>
    <row r="365" spans="1:34" ht="15.6">
      <c r="A365" s="23"/>
      <c r="B365" s="81"/>
      <c r="C365" s="25"/>
      <c r="D365" s="25"/>
      <c r="E365" s="25">
        <v>10</v>
      </c>
      <c r="F365" s="25">
        <v>120</v>
      </c>
      <c r="G365" s="26">
        <f t="shared" si="15"/>
        <v>1200</v>
      </c>
      <c r="H365" s="27" t="s">
        <v>37</v>
      </c>
      <c r="I365" s="37">
        <v>45142</v>
      </c>
      <c r="J365" s="29">
        <v>120</v>
      </c>
      <c r="K365" s="29">
        <v>6</v>
      </c>
      <c r="L365" s="57">
        <v>45142</v>
      </c>
      <c r="M365" s="31">
        <v>1200</v>
      </c>
      <c r="N365" s="31">
        <v>6</v>
      </c>
      <c r="O365" s="31" t="s">
        <v>789</v>
      </c>
      <c r="P365" s="32" t="s">
        <v>139</v>
      </c>
      <c r="Q365" s="33" t="s">
        <v>1158</v>
      </c>
      <c r="R365" s="33" t="s">
        <v>1159</v>
      </c>
      <c r="S365" s="29">
        <v>120</v>
      </c>
      <c r="T365" s="31" t="s">
        <v>152</v>
      </c>
      <c r="U365" s="31" t="s">
        <v>1160</v>
      </c>
      <c r="V365" s="31" t="s">
        <v>1161</v>
      </c>
      <c r="W365" s="50" t="s">
        <v>820</v>
      </c>
      <c r="X365" s="34">
        <v>120</v>
      </c>
      <c r="Y365" s="34">
        <v>1200</v>
      </c>
      <c r="Z365" s="34" t="s">
        <v>826</v>
      </c>
      <c r="AA365" s="34">
        <f t="shared" si="16"/>
        <v>0</v>
      </c>
      <c r="AB365" s="34">
        <f t="shared" si="17"/>
        <v>0</v>
      </c>
      <c r="AC365" s="25" t="s">
        <v>36</v>
      </c>
      <c r="AD365" s="25"/>
      <c r="AE365" s="25"/>
      <c r="AF365" s="25"/>
      <c r="AG365" s="25"/>
      <c r="AH365" s="35"/>
    </row>
    <row r="366" spans="1:34" ht="15.6">
      <c r="A366" s="23" t="s">
        <v>781</v>
      </c>
      <c r="B366" s="81">
        <v>6000024289</v>
      </c>
      <c r="C366" s="25" t="s">
        <v>784</v>
      </c>
      <c r="D366" s="25">
        <v>488207686</v>
      </c>
      <c r="E366" s="25">
        <v>10</v>
      </c>
      <c r="F366" s="25">
        <v>182</v>
      </c>
      <c r="G366" s="26">
        <f t="shared" si="15"/>
        <v>1820</v>
      </c>
      <c r="H366" s="27" t="s">
        <v>37</v>
      </c>
      <c r="I366" s="37">
        <v>45142</v>
      </c>
      <c r="J366" s="29">
        <v>182</v>
      </c>
      <c r="K366" s="29">
        <v>5</v>
      </c>
      <c r="L366" s="57">
        <v>45142</v>
      </c>
      <c r="M366" s="31">
        <v>1820</v>
      </c>
      <c r="N366" s="31">
        <v>10</v>
      </c>
      <c r="O366" s="31" t="s">
        <v>790</v>
      </c>
      <c r="P366" s="32" t="s">
        <v>139</v>
      </c>
      <c r="Q366" s="33" t="s">
        <v>1162</v>
      </c>
      <c r="R366" s="33" t="s">
        <v>1163</v>
      </c>
      <c r="S366" s="29">
        <v>182</v>
      </c>
      <c r="T366" s="31" t="s">
        <v>152</v>
      </c>
      <c r="U366" s="31" t="s">
        <v>1164</v>
      </c>
      <c r="V366" s="31" t="s">
        <v>1165</v>
      </c>
      <c r="W366" s="50">
        <v>45148</v>
      </c>
      <c r="X366" s="34">
        <v>182</v>
      </c>
      <c r="Y366" s="34">
        <v>1820</v>
      </c>
      <c r="Z366" s="34" t="s">
        <v>800</v>
      </c>
      <c r="AA366" s="34">
        <f t="shared" si="16"/>
        <v>0</v>
      </c>
      <c r="AB366" s="34">
        <f t="shared" si="17"/>
        <v>0</v>
      </c>
      <c r="AC366" s="25" t="s">
        <v>36</v>
      </c>
      <c r="AD366" s="25"/>
      <c r="AE366" s="25"/>
      <c r="AF366" s="25"/>
      <c r="AG366" s="25"/>
      <c r="AH366" s="35"/>
    </row>
    <row r="367" spans="1:34" ht="15.6">
      <c r="A367" s="23"/>
      <c r="B367" s="81"/>
      <c r="C367" s="25"/>
      <c r="D367" s="25"/>
      <c r="E367" s="25">
        <v>10</v>
      </c>
      <c r="F367" s="25">
        <v>134</v>
      </c>
      <c r="G367" s="26">
        <f t="shared" si="15"/>
        <v>1340</v>
      </c>
      <c r="H367" s="27" t="s">
        <v>146</v>
      </c>
      <c r="I367" s="37">
        <v>45142</v>
      </c>
      <c r="J367" s="29">
        <v>134</v>
      </c>
      <c r="K367" s="29">
        <v>4</v>
      </c>
      <c r="L367" s="57">
        <v>45142</v>
      </c>
      <c r="M367" s="31">
        <v>1340</v>
      </c>
      <c r="N367" s="31">
        <v>7</v>
      </c>
      <c r="O367" s="31" t="s">
        <v>791</v>
      </c>
      <c r="P367" s="32" t="s">
        <v>139</v>
      </c>
      <c r="Q367" s="33" t="s">
        <v>1162</v>
      </c>
      <c r="R367" s="33" t="s">
        <v>1163</v>
      </c>
      <c r="S367" s="29">
        <v>134</v>
      </c>
      <c r="T367" s="31" t="s">
        <v>152</v>
      </c>
      <c r="U367" s="31" t="s">
        <v>1164</v>
      </c>
      <c r="V367" s="31" t="s">
        <v>1165</v>
      </c>
      <c r="W367" s="50">
        <v>45148</v>
      </c>
      <c r="X367" s="34">
        <v>134</v>
      </c>
      <c r="Y367" s="34">
        <v>1340</v>
      </c>
      <c r="Z367" s="34" t="s">
        <v>800</v>
      </c>
      <c r="AA367" s="34">
        <f t="shared" si="16"/>
        <v>0</v>
      </c>
      <c r="AB367" s="34">
        <f t="shared" si="17"/>
        <v>0</v>
      </c>
      <c r="AC367" s="25" t="s">
        <v>36</v>
      </c>
      <c r="AD367" s="25"/>
      <c r="AE367" s="25"/>
      <c r="AF367" s="25"/>
      <c r="AG367" s="25"/>
      <c r="AH367" s="35"/>
    </row>
    <row r="368" spans="1:34" ht="31.2">
      <c r="A368" s="23" t="s">
        <v>781</v>
      </c>
      <c r="B368" s="81">
        <v>6000024289</v>
      </c>
      <c r="C368" s="25" t="s">
        <v>785</v>
      </c>
      <c r="D368" s="25">
        <v>488207686</v>
      </c>
      <c r="E368" s="25">
        <v>10</v>
      </c>
      <c r="F368" s="25">
        <v>168</v>
      </c>
      <c r="G368" s="26">
        <f t="shared" si="15"/>
        <v>1680</v>
      </c>
      <c r="H368" s="27" t="s">
        <v>46</v>
      </c>
      <c r="I368" s="37">
        <v>45142</v>
      </c>
      <c r="J368" s="29">
        <v>168</v>
      </c>
      <c r="K368" s="29">
        <v>4</v>
      </c>
      <c r="L368" s="57" t="s">
        <v>1384</v>
      </c>
      <c r="M368" s="31">
        <v>1680</v>
      </c>
      <c r="N368" s="31">
        <v>9</v>
      </c>
      <c r="O368" s="31" t="s">
        <v>791</v>
      </c>
      <c r="P368" s="32" t="s">
        <v>139</v>
      </c>
      <c r="Q368" s="33" t="s">
        <v>1160</v>
      </c>
      <c r="R368" s="33" t="s">
        <v>1166</v>
      </c>
      <c r="S368" s="29">
        <v>168</v>
      </c>
      <c r="T368" s="31" t="s">
        <v>152</v>
      </c>
      <c r="U368" s="31" t="s">
        <v>1167</v>
      </c>
      <c r="V368" s="31" t="s">
        <v>1168</v>
      </c>
      <c r="W368" s="50">
        <v>45150</v>
      </c>
      <c r="X368" s="34">
        <v>168</v>
      </c>
      <c r="Y368" s="34">
        <v>1680</v>
      </c>
      <c r="Z368" s="34" t="s">
        <v>873</v>
      </c>
      <c r="AA368" s="34">
        <f t="shared" si="16"/>
        <v>0</v>
      </c>
      <c r="AB368" s="34">
        <f t="shared" si="17"/>
        <v>0</v>
      </c>
      <c r="AC368" s="25" t="s">
        <v>36</v>
      </c>
      <c r="AD368" s="25"/>
      <c r="AE368" s="25"/>
      <c r="AF368" s="25"/>
      <c r="AG368" s="25"/>
      <c r="AH368" s="35"/>
    </row>
    <row r="369" spans="1:34" ht="15.6">
      <c r="A369" s="23"/>
      <c r="B369" s="81"/>
      <c r="C369" s="25"/>
      <c r="D369" s="25"/>
      <c r="E369" s="25">
        <v>10</v>
      </c>
      <c r="F369" s="25">
        <v>108</v>
      </c>
      <c r="G369" s="26">
        <f t="shared" si="15"/>
        <v>1080</v>
      </c>
      <c r="H369" s="27" t="s">
        <v>37</v>
      </c>
      <c r="I369" s="37">
        <v>45142</v>
      </c>
      <c r="J369" s="29">
        <v>108</v>
      </c>
      <c r="K369" s="29">
        <v>4</v>
      </c>
      <c r="L369" s="57">
        <v>45142</v>
      </c>
      <c r="M369" s="31">
        <v>1080</v>
      </c>
      <c r="N369" s="31">
        <v>6</v>
      </c>
      <c r="O369" s="31" t="s">
        <v>792</v>
      </c>
      <c r="P369" s="32" t="s">
        <v>139</v>
      </c>
      <c r="Q369" s="33" t="s">
        <v>1160</v>
      </c>
      <c r="R369" s="33" t="s">
        <v>1166</v>
      </c>
      <c r="S369" s="29">
        <v>108</v>
      </c>
      <c r="T369" s="31" t="s">
        <v>152</v>
      </c>
      <c r="U369" s="31" t="s">
        <v>1167</v>
      </c>
      <c r="V369" s="31" t="s">
        <v>1168</v>
      </c>
      <c r="W369" s="50">
        <v>45160</v>
      </c>
      <c r="X369" s="34">
        <v>108</v>
      </c>
      <c r="Y369" s="34">
        <v>1080</v>
      </c>
      <c r="Z369" s="34" t="s">
        <v>873</v>
      </c>
      <c r="AA369" s="34">
        <f t="shared" si="16"/>
        <v>0</v>
      </c>
      <c r="AB369" s="34">
        <f t="shared" si="17"/>
        <v>0</v>
      </c>
      <c r="AC369" s="25" t="s">
        <v>36</v>
      </c>
      <c r="AD369" s="25"/>
      <c r="AE369" s="25"/>
      <c r="AF369" s="25"/>
      <c r="AG369" s="25"/>
      <c r="AH369" s="35"/>
    </row>
    <row r="370" spans="1:34" ht="15.6">
      <c r="A370" s="23"/>
      <c r="B370" s="81"/>
      <c r="C370" s="25"/>
      <c r="D370" s="25"/>
      <c r="E370" s="25">
        <v>10</v>
      </c>
      <c r="F370" s="25">
        <v>108</v>
      </c>
      <c r="G370" s="26">
        <f t="shared" si="15"/>
        <v>1080</v>
      </c>
      <c r="H370" s="27" t="s">
        <v>146</v>
      </c>
      <c r="I370" s="37">
        <v>45142</v>
      </c>
      <c r="J370" s="29">
        <v>108</v>
      </c>
      <c r="K370" s="29">
        <v>3</v>
      </c>
      <c r="L370" s="57">
        <v>45142</v>
      </c>
      <c r="M370" s="31">
        <v>1080</v>
      </c>
      <c r="N370" s="31">
        <v>6</v>
      </c>
      <c r="O370" s="31" t="s">
        <v>793</v>
      </c>
      <c r="P370" s="32" t="s">
        <v>139</v>
      </c>
      <c r="Q370" s="33" t="s">
        <v>1160</v>
      </c>
      <c r="R370" s="33" t="s">
        <v>1166</v>
      </c>
      <c r="S370" s="29">
        <v>108</v>
      </c>
      <c r="T370" s="31" t="s">
        <v>152</v>
      </c>
      <c r="U370" s="31" t="s">
        <v>1167</v>
      </c>
      <c r="V370" s="31" t="s">
        <v>1168</v>
      </c>
      <c r="W370" s="50">
        <v>45150</v>
      </c>
      <c r="X370" s="34">
        <v>108</v>
      </c>
      <c r="Y370" s="34">
        <v>1080</v>
      </c>
      <c r="Z370" s="34" t="s">
        <v>873</v>
      </c>
      <c r="AA370" s="34">
        <f t="shared" si="16"/>
        <v>0</v>
      </c>
      <c r="AB370" s="34">
        <f t="shared" si="17"/>
        <v>0</v>
      </c>
      <c r="AC370" s="25" t="s">
        <v>36</v>
      </c>
      <c r="AD370" s="25"/>
      <c r="AE370" s="25"/>
      <c r="AF370" s="25"/>
      <c r="AG370" s="25"/>
      <c r="AH370" s="35"/>
    </row>
    <row r="371" spans="1:34" ht="31.2">
      <c r="A371" s="23" t="s">
        <v>781</v>
      </c>
      <c r="B371" s="81">
        <v>6000024289</v>
      </c>
      <c r="C371" s="25" t="s">
        <v>786</v>
      </c>
      <c r="D371" s="25">
        <v>488207686</v>
      </c>
      <c r="E371" s="25">
        <v>10</v>
      </c>
      <c r="F371" s="25">
        <v>108</v>
      </c>
      <c r="G371" s="26">
        <f t="shared" si="15"/>
        <v>1080</v>
      </c>
      <c r="H371" s="27" t="s">
        <v>46</v>
      </c>
      <c r="I371" s="28" t="s">
        <v>820</v>
      </c>
      <c r="J371" s="29">
        <v>108</v>
      </c>
      <c r="K371" s="29">
        <v>12</v>
      </c>
      <c r="L371" s="57">
        <v>45143</v>
      </c>
      <c r="M371" s="31">
        <v>1080</v>
      </c>
      <c r="N371" s="31">
        <v>11</v>
      </c>
      <c r="O371" s="31" t="s">
        <v>1374</v>
      </c>
      <c r="P371" s="32" t="s">
        <v>160</v>
      </c>
      <c r="Q371" s="33" t="s">
        <v>1169</v>
      </c>
      <c r="R371" s="33" t="s">
        <v>1170</v>
      </c>
      <c r="S371" s="29">
        <v>108</v>
      </c>
      <c r="T371" s="31" t="s">
        <v>1558</v>
      </c>
      <c r="U371" s="31">
        <v>8500060277</v>
      </c>
      <c r="V371" s="31">
        <v>5000823449</v>
      </c>
      <c r="W371" s="50">
        <v>45161</v>
      </c>
      <c r="X371" s="34">
        <v>108</v>
      </c>
      <c r="Y371" s="34">
        <v>1080</v>
      </c>
      <c r="Z371" s="34" t="s">
        <v>800</v>
      </c>
      <c r="AA371" s="34">
        <f t="shared" si="16"/>
        <v>0</v>
      </c>
      <c r="AB371" s="34">
        <f t="shared" si="17"/>
        <v>0</v>
      </c>
      <c r="AC371" s="25" t="s">
        <v>36</v>
      </c>
      <c r="AD371" s="25"/>
      <c r="AE371" s="25"/>
      <c r="AF371" s="25"/>
      <c r="AG371" s="25"/>
      <c r="AH371" s="35"/>
    </row>
    <row r="372" spans="1:34" ht="15.6">
      <c r="A372" s="23" t="s">
        <v>804</v>
      </c>
      <c r="B372" s="206">
        <v>6000024401</v>
      </c>
      <c r="C372" s="25" t="s">
        <v>805</v>
      </c>
      <c r="D372" s="25">
        <v>6000024401</v>
      </c>
      <c r="E372" s="25">
        <v>10</v>
      </c>
      <c r="F372" s="25">
        <v>250</v>
      </c>
      <c r="G372" s="26">
        <f t="shared" si="15"/>
        <v>2500</v>
      </c>
      <c r="H372" s="27" t="s">
        <v>46</v>
      </c>
      <c r="I372" s="37">
        <v>45149</v>
      </c>
      <c r="J372" s="29">
        <v>250</v>
      </c>
      <c r="K372" s="29">
        <v>8</v>
      </c>
      <c r="L372" s="56" t="s">
        <v>859</v>
      </c>
      <c r="M372" s="31">
        <v>2500</v>
      </c>
      <c r="N372" s="31">
        <v>25</v>
      </c>
      <c r="O372" s="31" t="s">
        <v>864</v>
      </c>
      <c r="P372" s="32" t="s">
        <v>139</v>
      </c>
      <c r="Q372" s="33" t="s">
        <v>1171</v>
      </c>
      <c r="R372" s="33" t="s">
        <v>1172</v>
      </c>
      <c r="S372" s="29">
        <v>250</v>
      </c>
      <c r="T372" s="31" t="s">
        <v>87</v>
      </c>
      <c r="U372" s="31" t="s">
        <v>1173</v>
      </c>
      <c r="V372" s="31" t="s">
        <v>1174</v>
      </c>
      <c r="W372" s="50">
        <v>45166</v>
      </c>
      <c r="X372" s="34">
        <v>250</v>
      </c>
      <c r="Y372" s="34">
        <v>2500</v>
      </c>
      <c r="Z372" s="34" t="s">
        <v>902</v>
      </c>
      <c r="AA372" s="34">
        <f t="shared" si="16"/>
        <v>0</v>
      </c>
      <c r="AB372" s="34">
        <f t="shared" si="17"/>
        <v>0</v>
      </c>
      <c r="AC372" s="25" t="s">
        <v>669</v>
      </c>
      <c r="AD372" s="463" t="s">
        <v>1570</v>
      </c>
      <c r="AE372" s="25"/>
      <c r="AF372" s="25"/>
      <c r="AG372" s="25"/>
      <c r="AH372" s="35"/>
    </row>
    <row r="373" spans="1:34" ht="15.6">
      <c r="A373" s="23"/>
      <c r="B373" s="206"/>
      <c r="C373" s="25"/>
      <c r="D373" s="25"/>
      <c r="E373" s="25">
        <v>10</v>
      </c>
      <c r="F373" s="25">
        <v>100</v>
      </c>
      <c r="G373" s="26">
        <f t="shared" si="15"/>
        <v>1000</v>
      </c>
      <c r="H373" s="27" t="s">
        <v>37</v>
      </c>
      <c r="I373" s="37">
        <v>45149</v>
      </c>
      <c r="J373" s="29">
        <v>100</v>
      </c>
      <c r="K373" s="29">
        <v>8</v>
      </c>
      <c r="L373" s="56" t="s">
        <v>859</v>
      </c>
      <c r="M373" s="31">
        <v>1000</v>
      </c>
      <c r="N373" s="31">
        <v>10</v>
      </c>
      <c r="O373" s="31" t="s">
        <v>790</v>
      </c>
      <c r="P373" s="32" t="s">
        <v>139</v>
      </c>
      <c r="Q373" s="33" t="s">
        <v>1171</v>
      </c>
      <c r="R373" s="33" t="s">
        <v>1172</v>
      </c>
      <c r="S373" s="29">
        <v>100</v>
      </c>
      <c r="T373" s="31" t="s">
        <v>87</v>
      </c>
      <c r="U373" s="31" t="s">
        <v>1173</v>
      </c>
      <c r="V373" s="31" t="s">
        <v>1174</v>
      </c>
      <c r="W373" s="50">
        <v>45166</v>
      </c>
      <c r="X373" s="34">
        <v>100</v>
      </c>
      <c r="Y373" s="34">
        <v>1000</v>
      </c>
      <c r="Z373" s="34" t="s">
        <v>902</v>
      </c>
      <c r="AA373" s="34">
        <f t="shared" si="16"/>
        <v>0</v>
      </c>
      <c r="AB373" s="34">
        <f t="shared" si="17"/>
        <v>0</v>
      </c>
      <c r="AC373" s="25" t="s">
        <v>669</v>
      </c>
      <c r="AD373" s="466"/>
      <c r="AE373" s="25"/>
      <c r="AF373" s="25"/>
      <c r="AG373" s="25"/>
      <c r="AH373" s="35"/>
    </row>
    <row r="374" spans="1:34" ht="15.6">
      <c r="A374" s="23"/>
      <c r="B374" s="206"/>
      <c r="C374" s="25"/>
      <c r="D374" s="25"/>
      <c r="E374" s="25">
        <v>10</v>
      </c>
      <c r="F374" s="25">
        <v>100</v>
      </c>
      <c r="G374" s="26">
        <f t="shared" si="15"/>
        <v>1000</v>
      </c>
      <c r="H374" s="27" t="s">
        <v>146</v>
      </c>
      <c r="I374" s="37">
        <v>45149</v>
      </c>
      <c r="J374" s="29">
        <v>100</v>
      </c>
      <c r="K374" s="29">
        <v>8</v>
      </c>
      <c r="L374" s="56" t="s">
        <v>859</v>
      </c>
      <c r="M374" s="31">
        <v>1000</v>
      </c>
      <c r="N374" s="31">
        <v>10</v>
      </c>
      <c r="O374" s="31" t="s">
        <v>790</v>
      </c>
      <c r="P374" s="32" t="s">
        <v>139</v>
      </c>
      <c r="Q374" s="33" t="s">
        <v>1171</v>
      </c>
      <c r="R374" s="33" t="s">
        <v>1172</v>
      </c>
      <c r="S374" s="29">
        <v>100</v>
      </c>
      <c r="T374" s="31" t="s">
        <v>87</v>
      </c>
      <c r="U374" s="31" t="s">
        <v>1173</v>
      </c>
      <c r="V374" s="31" t="s">
        <v>1174</v>
      </c>
      <c r="W374" s="50">
        <v>45166</v>
      </c>
      <c r="X374" s="34">
        <v>100</v>
      </c>
      <c r="Y374" s="34">
        <v>1000</v>
      </c>
      <c r="Z374" s="34" t="s">
        <v>902</v>
      </c>
      <c r="AA374" s="34">
        <f t="shared" si="16"/>
        <v>0</v>
      </c>
      <c r="AB374" s="34">
        <f t="shared" si="17"/>
        <v>0</v>
      </c>
      <c r="AC374" s="25" t="s">
        <v>669</v>
      </c>
      <c r="AD374" s="466"/>
      <c r="AE374" s="25"/>
      <c r="AF374" s="25"/>
      <c r="AG374" s="25"/>
      <c r="AH374" s="35"/>
    </row>
    <row r="375" spans="1:34" ht="15.6">
      <c r="A375" s="23" t="s">
        <v>804</v>
      </c>
      <c r="B375" s="206">
        <v>6000024401</v>
      </c>
      <c r="C375" s="25" t="s">
        <v>806</v>
      </c>
      <c r="D375" s="25">
        <v>6000024401</v>
      </c>
      <c r="E375" s="25">
        <v>10</v>
      </c>
      <c r="F375" s="25">
        <v>100</v>
      </c>
      <c r="G375" s="26">
        <f t="shared" si="15"/>
        <v>1000</v>
      </c>
      <c r="H375" s="27" t="s">
        <v>27</v>
      </c>
      <c r="I375" s="37">
        <v>45149</v>
      </c>
      <c r="J375" s="29">
        <v>100</v>
      </c>
      <c r="K375" s="29">
        <v>8</v>
      </c>
      <c r="L375" s="56" t="s">
        <v>859</v>
      </c>
      <c r="M375" s="31">
        <v>1000</v>
      </c>
      <c r="N375" s="31">
        <v>10</v>
      </c>
      <c r="O375" s="31" t="s">
        <v>790</v>
      </c>
      <c r="P375" s="32" t="s">
        <v>139</v>
      </c>
      <c r="Q375" s="33" t="s">
        <v>1175</v>
      </c>
      <c r="R375" s="33" t="s">
        <v>1176</v>
      </c>
      <c r="S375" s="29">
        <v>100</v>
      </c>
      <c r="T375" s="31" t="s">
        <v>87</v>
      </c>
      <c r="U375" s="31" t="s">
        <v>1177</v>
      </c>
      <c r="V375" s="31" t="s">
        <v>1178</v>
      </c>
      <c r="W375" s="50">
        <v>45166</v>
      </c>
      <c r="X375" s="34">
        <v>100</v>
      </c>
      <c r="Y375" s="34">
        <v>1000</v>
      </c>
      <c r="Z375" s="34" t="s">
        <v>902</v>
      </c>
      <c r="AA375" s="34">
        <f t="shared" si="16"/>
        <v>0</v>
      </c>
      <c r="AB375" s="34">
        <f t="shared" si="17"/>
        <v>0</v>
      </c>
      <c r="AC375" s="25" t="s">
        <v>669</v>
      </c>
      <c r="AD375" s="466"/>
      <c r="AE375" s="25"/>
      <c r="AF375" s="25"/>
      <c r="AG375" s="25"/>
      <c r="AH375" s="35"/>
    </row>
    <row r="376" spans="1:34" ht="15.6">
      <c r="A376" s="23"/>
      <c r="B376" s="206"/>
      <c r="C376" s="25"/>
      <c r="D376" s="25"/>
      <c r="E376" s="25">
        <v>10</v>
      </c>
      <c r="F376" s="25">
        <v>300</v>
      </c>
      <c r="G376" s="26">
        <f t="shared" si="15"/>
        <v>3000</v>
      </c>
      <c r="H376" s="27" t="s">
        <v>46</v>
      </c>
      <c r="I376" s="37">
        <v>45149</v>
      </c>
      <c r="J376" s="29">
        <v>300</v>
      </c>
      <c r="K376" s="29">
        <v>7</v>
      </c>
      <c r="L376" s="56" t="s">
        <v>859</v>
      </c>
      <c r="M376" s="31">
        <v>3000</v>
      </c>
      <c r="N376" s="31">
        <v>30</v>
      </c>
      <c r="O376" s="31" t="s">
        <v>789</v>
      </c>
      <c r="P376" s="32" t="s">
        <v>139</v>
      </c>
      <c r="Q376" s="33" t="s">
        <v>1175</v>
      </c>
      <c r="R376" s="33" t="s">
        <v>1176</v>
      </c>
      <c r="S376" s="29">
        <v>300</v>
      </c>
      <c r="T376" s="31" t="s">
        <v>87</v>
      </c>
      <c r="U376" s="31" t="s">
        <v>1177</v>
      </c>
      <c r="V376" s="31" t="s">
        <v>1178</v>
      </c>
      <c r="W376" s="50">
        <v>45166</v>
      </c>
      <c r="X376" s="34">
        <v>300</v>
      </c>
      <c r="Y376" s="34">
        <v>3000</v>
      </c>
      <c r="Z376" s="34" t="s">
        <v>902</v>
      </c>
      <c r="AA376" s="34">
        <f t="shared" si="16"/>
        <v>0</v>
      </c>
      <c r="AB376" s="34">
        <f t="shared" si="17"/>
        <v>0</v>
      </c>
      <c r="AC376" s="25" t="s">
        <v>669</v>
      </c>
      <c r="AD376" s="466"/>
      <c r="AE376" s="25"/>
      <c r="AF376" s="25"/>
      <c r="AG376" s="25"/>
      <c r="AH376" s="35"/>
    </row>
    <row r="377" spans="1:34" ht="15.6">
      <c r="A377" s="23"/>
      <c r="B377" s="206"/>
      <c r="C377" s="25"/>
      <c r="D377" s="25"/>
      <c r="E377" s="25">
        <v>10</v>
      </c>
      <c r="F377" s="25">
        <v>200</v>
      </c>
      <c r="G377" s="26">
        <f t="shared" si="15"/>
        <v>2000</v>
      </c>
      <c r="H377" s="27" t="s">
        <v>37</v>
      </c>
      <c r="I377" s="37">
        <v>45149</v>
      </c>
      <c r="J377" s="29">
        <v>200</v>
      </c>
      <c r="K377" s="29">
        <v>6</v>
      </c>
      <c r="L377" s="56" t="s">
        <v>859</v>
      </c>
      <c r="M377" s="31">
        <v>2000</v>
      </c>
      <c r="N377" s="31">
        <v>20</v>
      </c>
      <c r="O377" s="31" t="s">
        <v>791</v>
      </c>
      <c r="P377" s="32" t="s">
        <v>139</v>
      </c>
      <c r="Q377" s="33" t="s">
        <v>1175</v>
      </c>
      <c r="R377" s="33" t="s">
        <v>1176</v>
      </c>
      <c r="S377" s="29">
        <v>200</v>
      </c>
      <c r="T377" s="31" t="s">
        <v>87</v>
      </c>
      <c r="U377" s="31" t="s">
        <v>1177</v>
      </c>
      <c r="V377" s="31" t="s">
        <v>1178</v>
      </c>
      <c r="W377" s="50">
        <v>45164</v>
      </c>
      <c r="X377" s="34">
        <v>200</v>
      </c>
      <c r="Y377" s="34">
        <v>2000</v>
      </c>
      <c r="Z377" s="34" t="s">
        <v>902</v>
      </c>
      <c r="AA377" s="34">
        <f t="shared" si="16"/>
        <v>0</v>
      </c>
      <c r="AB377" s="34">
        <f t="shared" si="17"/>
        <v>0</v>
      </c>
      <c r="AC377" s="25" t="s">
        <v>669</v>
      </c>
      <c r="AD377" s="466"/>
      <c r="AE377" s="25"/>
      <c r="AF377" s="25"/>
      <c r="AG377" s="25"/>
      <c r="AH377" s="35"/>
    </row>
    <row r="378" spans="1:34" ht="31.2">
      <c r="A378" s="23" t="s">
        <v>804</v>
      </c>
      <c r="B378" s="206">
        <v>6000024401</v>
      </c>
      <c r="C378" s="25" t="s">
        <v>807</v>
      </c>
      <c r="D378" s="25">
        <v>6000024401</v>
      </c>
      <c r="E378" s="25">
        <v>10</v>
      </c>
      <c r="F378" s="25">
        <v>350</v>
      </c>
      <c r="G378" s="26">
        <f t="shared" si="15"/>
        <v>3500</v>
      </c>
      <c r="H378" s="27" t="s">
        <v>27</v>
      </c>
      <c r="I378" s="28" t="s">
        <v>799</v>
      </c>
      <c r="J378" s="29">
        <v>350</v>
      </c>
      <c r="K378" s="29">
        <v>5</v>
      </c>
      <c r="L378" s="56" t="s">
        <v>859</v>
      </c>
      <c r="M378" s="31">
        <v>3500</v>
      </c>
      <c r="N378" s="31">
        <v>35</v>
      </c>
      <c r="O378" s="31" t="s">
        <v>861</v>
      </c>
      <c r="P378" s="32" t="s">
        <v>160</v>
      </c>
      <c r="Q378" s="33" t="s">
        <v>1179</v>
      </c>
      <c r="R378" s="33" t="s">
        <v>1180</v>
      </c>
      <c r="S378" s="29">
        <v>350</v>
      </c>
      <c r="T378" s="31" t="s">
        <v>87</v>
      </c>
      <c r="U378" s="31" t="s">
        <v>1181</v>
      </c>
      <c r="V378" s="31" t="s">
        <v>1182</v>
      </c>
      <c r="W378" s="50">
        <v>45166</v>
      </c>
      <c r="X378" s="34">
        <v>350</v>
      </c>
      <c r="Y378" s="34">
        <v>3500</v>
      </c>
      <c r="Z378" s="34" t="s">
        <v>902</v>
      </c>
      <c r="AA378" s="34">
        <f t="shared" si="16"/>
        <v>0</v>
      </c>
      <c r="AB378" s="34">
        <f t="shared" si="17"/>
        <v>0</v>
      </c>
      <c r="AC378" s="25" t="s">
        <v>669</v>
      </c>
      <c r="AD378" s="466"/>
      <c r="AE378" s="25"/>
      <c r="AF378" s="25"/>
      <c r="AG378" s="25"/>
      <c r="AH378" s="35"/>
    </row>
    <row r="379" spans="1:34" ht="31.2">
      <c r="A379" s="23"/>
      <c r="B379" s="206"/>
      <c r="C379" s="25"/>
      <c r="D379" s="25"/>
      <c r="E379" s="25">
        <v>10</v>
      </c>
      <c r="F379" s="25">
        <v>760</v>
      </c>
      <c r="G379" s="26">
        <f t="shared" si="15"/>
        <v>7600</v>
      </c>
      <c r="H379" s="27" t="s">
        <v>46</v>
      </c>
      <c r="I379" s="28" t="s">
        <v>820</v>
      </c>
      <c r="J379" s="29">
        <v>760</v>
      </c>
      <c r="K379" s="29">
        <v>11</v>
      </c>
      <c r="L379" s="56" t="s">
        <v>859</v>
      </c>
      <c r="M379" s="31">
        <v>7600</v>
      </c>
      <c r="N379" s="31">
        <v>76</v>
      </c>
      <c r="O379" s="31" t="s">
        <v>862</v>
      </c>
      <c r="P379" s="32" t="s">
        <v>160</v>
      </c>
      <c r="Q379" s="33" t="s">
        <v>1179</v>
      </c>
      <c r="R379" s="33" t="s">
        <v>1183</v>
      </c>
      <c r="S379" s="29">
        <v>760</v>
      </c>
      <c r="T379" s="31" t="s">
        <v>87</v>
      </c>
      <c r="U379" s="31" t="s">
        <v>1181</v>
      </c>
      <c r="V379" s="31" t="s">
        <v>1182</v>
      </c>
      <c r="W379" s="50">
        <v>45166</v>
      </c>
      <c r="X379" s="34">
        <v>760</v>
      </c>
      <c r="Y379" s="34">
        <v>7600</v>
      </c>
      <c r="Z379" s="34" t="s">
        <v>902</v>
      </c>
      <c r="AA379" s="34">
        <f t="shared" si="16"/>
        <v>0</v>
      </c>
      <c r="AB379" s="34">
        <f t="shared" si="17"/>
        <v>0</v>
      </c>
      <c r="AC379" s="25" t="s">
        <v>669</v>
      </c>
      <c r="AD379" s="466"/>
      <c r="AE379" s="25"/>
      <c r="AF379" s="25"/>
      <c r="AG379" s="25"/>
      <c r="AH379" s="35"/>
    </row>
    <row r="380" spans="1:34" ht="15.6">
      <c r="A380" s="23"/>
      <c r="B380" s="206"/>
      <c r="C380" s="25"/>
      <c r="D380" s="25"/>
      <c r="E380" s="25">
        <v>10</v>
      </c>
      <c r="F380" s="25">
        <v>300</v>
      </c>
      <c r="G380" s="26">
        <f t="shared" si="15"/>
        <v>3000</v>
      </c>
      <c r="H380" s="27" t="s">
        <v>37</v>
      </c>
      <c r="I380" s="37">
        <v>45149</v>
      </c>
      <c r="J380" s="29">
        <v>300</v>
      </c>
      <c r="K380" s="29">
        <v>15</v>
      </c>
      <c r="L380" s="56" t="s">
        <v>859</v>
      </c>
      <c r="M380" s="31">
        <v>3000</v>
      </c>
      <c r="N380" s="31">
        <v>30</v>
      </c>
      <c r="O380" s="31" t="s">
        <v>863</v>
      </c>
      <c r="P380" s="32" t="s">
        <v>139</v>
      </c>
      <c r="Q380" s="33" t="s">
        <v>1179</v>
      </c>
      <c r="R380" s="33" t="s">
        <v>1184</v>
      </c>
      <c r="S380" s="29">
        <v>300</v>
      </c>
      <c r="T380" s="31" t="s">
        <v>87</v>
      </c>
      <c r="U380" s="31" t="s">
        <v>1181</v>
      </c>
      <c r="V380" s="31" t="s">
        <v>1182</v>
      </c>
      <c r="W380" s="50">
        <v>45166</v>
      </c>
      <c r="X380" s="34">
        <v>300</v>
      </c>
      <c r="Y380" s="34">
        <v>3000</v>
      </c>
      <c r="Z380" s="34" t="s">
        <v>902</v>
      </c>
      <c r="AA380" s="34">
        <f t="shared" si="16"/>
        <v>0</v>
      </c>
      <c r="AB380" s="34">
        <f t="shared" si="17"/>
        <v>0</v>
      </c>
      <c r="AC380" s="25" t="s">
        <v>669</v>
      </c>
      <c r="AD380" s="466"/>
      <c r="AE380" s="25"/>
      <c r="AF380" s="25"/>
      <c r="AG380" s="25"/>
      <c r="AH380" s="35"/>
    </row>
    <row r="381" spans="1:34" ht="15.6">
      <c r="A381" s="23"/>
      <c r="B381" s="206"/>
      <c r="C381" s="25"/>
      <c r="D381" s="25"/>
      <c r="E381" s="25">
        <v>10</v>
      </c>
      <c r="F381" s="25">
        <v>200</v>
      </c>
      <c r="G381" s="26">
        <f t="shared" si="15"/>
        <v>2000</v>
      </c>
      <c r="H381" s="27" t="s">
        <v>146</v>
      </c>
      <c r="I381" s="37">
        <v>45149</v>
      </c>
      <c r="J381" s="29">
        <v>200</v>
      </c>
      <c r="K381" s="29">
        <v>6</v>
      </c>
      <c r="L381" s="56" t="s">
        <v>875</v>
      </c>
      <c r="M381" s="31">
        <v>2000</v>
      </c>
      <c r="N381" s="31">
        <v>20</v>
      </c>
      <c r="O381" s="31" t="s">
        <v>874</v>
      </c>
      <c r="P381" s="32" t="s">
        <v>139</v>
      </c>
      <c r="Q381" s="33" t="s">
        <v>1179</v>
      </c>
      <c r="R381" s="33" t="s">
        <v>1184</v>
      </c>
      <c r="S381" s="29">
        <v>200</v>
      </c>
      <c r="T381" s="31" t="s">
        <v>761</v>
      </c>
      <c r="U381" s="31" t="s">
        <v>1181</v>
      </c>
      <c r="V381" s="31" t="s">
        <v>1185</v>
      </c>
      <c r="W381" s="50">
        <v>45166</v>
      </c>
      <c r="X381" s="34">
        <v>200</v>
      </c>
      <c r="Y381" s="34">
        <v>2000</v>
      </c>
      <c r="Z381" s="34" t="s">
        <v>902</v>
      </c>
      <c r="AA381" s="34">
        <f t="shared" si="16"/>
        <v>0</v>
      </c>
      <c r="AB381" s="34">
        <f t="shared" si="17"/>
        <v>0</v>
      </c>
      <c r="AC381" s="25" t="s">
        <v>669</v>
      </c>
      <c r="AD381" s="464"/>
      <c r="AE381" s="25"/>
      <c r="AF381" s="25"/>
      <c r="AG381" s="25"/>
      <c r="AH381" s="35"/>
    </row>
    <row r="382" spans="1:34" ht="31.2">
      <c r="A382" s="23" t="s">
        <v>808</v>
      </c>
      <c r="B382" s="81">
        <v>6000024379</v>
      </c>
      <c r="C382" s="25" t="s">
        <v>809</v>
      </c>
      <c r="D382" s="25">
        <v>6000023479</v>
      </c>
      <c r="E382" s="25">
        <v>10</v>
      </c>
      <c r="F382" s="25">
        <v>300</v>
      </c>
      <c r="G382" s="26">
        <f t="shared" si="15"/>
        <v>3000</v>
      </c>
      <c r="H382" s="27" t="s">
        <v>27</v>
      </c>
      <c r="I382" s="28" t="s">
        <v>799</v>
      </c>
      <c r="J382" s="29">
        <v>300</v>
      </c>
      <c r="K382" s="29">
        <v>10</v>
      </c>
      <c r="L382" s="56" t="s">
        <v>820</v>
      </c>
      <c r="M382" s="31">
        <v>3000</v>
      </c>
      <c r="N382" s="31">
        <v>30</v>
      </c>
      <c r="O382" s="31" t="s">
        <v>822</v>
      </c>
      <c r="P382" s="32" t="s">
        <v>160</v>
      </c>
      <c r="Q382" s="33" t="s">
        <v>1186</v>
      </c>
      <c r="R382" s="33" t="s">
        <v>1187</v>
      </c>
      <c r="S382" s="29">
        <v>300</v>
      </c>
      <c r="T382" s="31" t="s">
        <v>1558</v>
      </c>
      <c r="U382" s="31" t="s">
        <v>1188</v>
      </c>
      <c r="V382" s="31" t="s">
        <v>1189</v>
      </c>
      <c r="W382" s="50"/>
      <c r="X382" s="34">
        <v>300</v>
      </c>
      <c r="Y382" s="34">
        <v>3000</v>
      </c>
      <c r="Z382" s="34" t="s">
        <v>800</v>
      </c>
      <c r="AA382" s="34">
        <f t="shared" si="16"/>
        <v>0</v>
      </c>
      <c r="AB382" s="34">
        <f t="shared" si="17"/>
        <v>0</v>
      </c>
      <c r="AC382" s="25" t="s">
        <v>689</v>
      </c>
      <c r="AD382" s="25"/>
      <c r="AE382" s="25"/>
      <c r="AF382" s="25"/>
      <c r="AG382" s="25"/>
      <c r="AH382" s="35"/>
    </row>
    <row r="383" spans="1:34" ht="31.2">
      <c r="A383" s="23"/>
      <c r="B383" s="81"/>
      <c r="C383" s="25"/>
      <c r="D383" s="25"/>
      <c r="E383" s="25">
        <v>10</v>
      </c>
      <c r="F383" s="25">
        <v>400</v>
      </c>
      <c r="G383" s="26">
        <f t="shared" si="15"/>
        <v>4000</v>
      </c>
      <c r="H383" s="27" t="s">
        <v>46</v>
      </c>
      <c r="I383" s="28" t="s">
        <v>799</v>
      </c>
      <c r="J383" s="29">
        <v>400</v>
      </c>
      <c r="K383" s="29">
        <v>10</v>
      </c>
      <c r="L383" s="56" t="s">
        <v>820</v>
      </c>
      <c r="M383" s="31">
        <v>4000</v>
      </c>
      <c r="N383" s="31">
        <v>40</v>
      </c>
      <c r="O383" s="31" t="s">
        <v>822</v>
      </c>
      <c r="P383" s="32" t="s">
        <v>160</v>
      </c>
      <c r="Q383" s="33" t="s">
        <v>1186</v>
      </c>
      <c r="R383" s="33" t="s">
        <v>1187</v>
      </c>
      <c r="S383" s="29">
        <v>400</v>
      </c>
      <c r="T383" s="31" t="s">
        <v>1558</v>
      </c>
      <c r="U383" s="31" t="s">
        <v>1188</v>
      </c>
      <c r="V383" s="31" t="s">
        <v>1189</v>
      </c>
      <c r="W383" s="50">
        <v>45173</v>
      </c>
      <c r="X383" s="34">
        <v>400</v>
      </c>
      <c r="Y383" s="34">
        <v>4000</v>
      </c>
      <c r="Z383" s="34" t="s">
        <v>800</v>
      </c>
      <c r="AA383" s="34">
        <f t="shared" si="16"/>
        <v>0</v>
      </c>
      <c r="AB383" s="34">
        <f t="shared" si="17"/>
        <v>0</v>
      </c>
      <c r="AC383" s="25" t="s">
        <v>689</v>
      </c>
      <c r="AD383" s="25"/>
      <c r="AE383" s="25"/>
      <c r="AF383" s="25"/>
      <c r="AG383" s="25"/>
      <c r="AH383" s="35"/>
    </row>
    <row r="384" spans="1:34" ht="15.6">
      <c r="A384" s="23"/>
      <c r="B384" s="81"/>
      <c r="C384" s="25"/>
      <c r="D384" s="25"/>
      <c r="E384" s="25">
        <v>10</v>
      </c>
      <c r="F384" s="25">
        <v>300</v>
      </c>
      <c r="G384" s="26">
        <f t="shared" si="15"/>
        <v>3000</v>
      </c>
      <c r="H384" s="27" t="s">
        <v>37</v>
      </c>
      <c r="I384" s="37">
        <v>45149</v>
      </c>
      <c r="J384" s="29">
        <v>300</v>
      </c>
      <c r="K384" s="29">
        <v>8</v>
      </c>
      <c r="L384" s="56" t="s">
        <v>820</v>
      </c>
      <c r="M384" s="31">
        <v>3000</v>
      </c>
      <c r="N384" s="31">
        <v>30</v>
      </c>
      <c r="O384" s="31" t="s">
        <v>823</v>
      </c>
      <c r="P384" s="32" t="s">
        <v>139</v>
      </c>
      <c r="Q384" s="33" t="s">
        <v>1186</v>
      </c>
      <c r="R384" s="33" t="s">
        <v>1190</v>
      </c>
      <c r="S384" s="29">
        <v>300</v>
      </c>
      <c r="T384" s="31" t="s">
        <v>1558</v>
      </c>
      <c r="U384" s="31" t="s">
        <v>1188</v>
      </c>
      <c r="V384" s="31" t="s">
        <v>1189</v>
      </c>
      <c r="W384" s="50">
        <v>45174</v>
      </c>
      <c r="X384" s="34">
        <v>300</v>
      </c>
      <c r="Y384" s="34">
        <v>3000</v>
      </c>
      <c r="Z384" s="34" t="s">
        <v>800</v>
      </c>
      <c r="AA384" s="34">
        <f t="shared" si="16"/>
        <v>0</v>
      </c>
      <c r="AB384" s="34">
        <f t="shared" si="17"/>
        <v>0</v>
      </c>
      <c r="AC384" s="25" t="s">
        <v>689</v>
      </c>
      <c r="AD384" s="25"/>
      <c r="AE384" s="25"/>
      <c r="AF384" s="25"/>
      <c r="AG384" s="25"/>
      <c r="AH384" s="35"/>
    </row>
    <row r="385" spans="1:34" ht="31.2">
      <c r="A385" s="23" t="s">
        <v>808</v>
      </c>
      <c r="B385" s="81">
        <v>6000024379</v>
      </c>
      <c r="C385" s="25" t="s">
        <v>810</v>
      </c>
      <c r="D385" s="25">
        <v>6000023479</v>
      </c>
      <c r="E385" s="25">
        <v>10</v>
      </c>
      <c r="F385" s="25">
        <v>300</v>
      </c>
      <c r="G385" s="26">
        <f t="shared" si="15"/>
        <v>3000</v>
      </c>
      <c r="H385" s="27" t="s">
        <v>27</v>
      </c>
      <c r="I385" s="28" t="s">
        <v>799</v>
      </c>
      <c r="J385" s="29">
        <v>300</v>
      </c>
      <c r="K385" s="29">
        <v>5</v>
      </c>
      <c r="L385" s="56" t="s">
        <v>820</v>
      </c>
      <c r="M385" s="31">
        <v>3000</v>
      </c>
      <c r="N385" s="31">
        <v>30</v>
      </c>
      <c r="O385" s="31" t="s">
        <v>822</v>
      </c>
      <c r="P385" s="32" t="s">
        <v>160</v>
      </c>
      <c r="Q385" s="33" t="s">
        <v>1191</v>
      </c>
      <c r="R385" s="33" t="s">
        <v>1192</v>
      </c>
      <c r="S385" s="29">
        <v>300</v>
      </c>
      <c r="T385" s="31" t="s">
        <v>1558</v>
      </c>
      <c r="U385" s="31" t="s">
        <v>1193</v>
      </c>
      <c r="V385" s="31" t="s">
        <v>1194</v>
      </c>
      <c r="W385" s="50">
        <v>45170</v>
      </c>
      <c r="X385" s="34">
        <v>300</v>
      </c>
      <c r="Y385" s="34">
        <v>3000</v>
      </c>
      <c r="Z385" s="34" t="s">
        <v>338</v>
      </c>
      <c r="AA385" s="34">
        <f t="shared" si="16"/>
        <v>0</v>
      </c>
      <c r="AB385" s="34">
        <f t="shared" si="17"/>
        <v>0</v>
      </c>
      <c r="AC385" s="25" t="s">
        <v>689</v>
      </c>
      <c r="AD385" s="25"/>
      <c r="AE385" s="25"/>
      <c r="AF385" s="25"/>
      <c r="AG385" s="25"/>
      <c r="AH385" s="35"/>
    </row>
    <row r="386" spans="1:34" ht="62.4">
      <c r="A386" s="23"/>
      <c r="B386" s="81"/>
      <c r="C386" s="25"/>
      <c r="D386" s="25"/>
      <c r="E386" s="25">
        <v>10</v>
      </c>
      <c r="F386" s="25">
        <v>400</v>
      </c>
      <c r="G386" s="26">
        <f t="shared" si="15"/>
        <v>4000</v>
      </c>
      <c r="H386" s="27" t="s">
        <v>46</v>
      </c>
      <c r="I386" s="28" t="s">
        <v>1408</v>
      </c>
      <c r="J386" s="29">
        <f>382+18</f>
        <v>400</v>
      </c>
      <c r="K386" s="29">
        <f>6+2</f>
        <v>8</v>
      </c>
      <c r="L386" s="56" t="s">
        <v>820</v>
      </c>
      <c r="M386" s="31">
        <v>4000</v>
      </c>
      <c r="N386" s="31">
        <v>40</v>
      </c>
      <c r="O386" s="31" t="s">
        <v>824</v>
      </c>
      <c r="P386" s="32" t="s">
        <v>160</v>
      </c>
      <c r="Q386" s="33" t="s">
        <v>1191</v>
      </c>
      <c r="R386" s="33" t="s">
        <v>1192</v>
      </c>
      <c r="S386" s="29">
        <f>382+18</f>
        <v>400</v>
      </c>
      <c r="T386" s="31" t="s">
        <v>1558</v>
      </c>
      <c r="U386" s="31" t="s">
        <v>1193</v>
      </c>
      <c r="V386" s="31" t="s">
        <v>1194</v>
      </c>
      <c r="W386" s="50">
        <v>45170</v>
      </c>
      <c r="X386" s="34">
        <v>400</v>
      </c>
      <c r="Y386" s="34">
        <v>4000</v>
      </c>
      <c r="Z386" s="34" t="s">
        <v>338</v>
      </c>
      <c r="AA386" s="34">
        <f t="shared" si="16"/>
        <v>0</v>
      </c>
      <c r="AB386" s="34">
        <f t="shared" si="17"/>
        <v>0</v>
      </c>
      <c r="AC386" s="25" t="s">
        <v>689</v>
      </c>
      <c r="AD386" s="25"/>
      <c r="AE386" s="25"/>
      <c r="AF386" s="25"/>
      <c r="AG386" s="25"/>
      <c r="AH386" s="35"/>
    </row>
    <row r="387" spans="1:34" ht="31.2">
      <c r="A387" s="23"/>
      <c r="B387" s="81"/>
      <c r="C387" s="25"/>
      <c r="D387" s="25"/>
      <c r="E387" s="25">
        <v>10</v>
      </c>
      <c r="F387" s="25">
        <v>300</v>
      </c>
      <c r="G387" s="26">
        <f t="shared" si="15"/>
        <v>3000</v>
      </c>
      <c r="H387" s="27" t="s">
        <v>37</v>
      </c>
      <c r="I387" s="28" t="s">
        <v>799</v>
      </c>
      <c r="J387" s="29">
        <v>300</v>
      </c>
      <c r="K387" s="29">
        <v>5</v>
      </c>
      <c r="L387" s="56" t="s">
        <v>820</v>
      </c>
      <c r="M387" s="31">
        <v>3000</v>
      </c>
      <c r="N387" s="31">
        <v>30</v>
      </c>
      <c r="O387" s="31" t="s">
        <v>824</v>
      </c>
      <c r="P387" s="32" t="s">
        <v>160</v>
      </c>
      <c r="Q387" s="33" t="s">
        <v>1191</v>
      </c>
      <c r="R387" s="33" t="s">
        <v>1192</v>
      </c>
      <c r="S387" s="29">
        <v>300</v>
      </c>
      <c r="T387" s="31" t="s">
        <v>1558</v>
      </c>
      <c r="U387" s="31" t="s">
        <v>1193</v>
      </c>
      <c r="V387" s="31" t="s">
        <v>1194</v>
      </c>
      <c r="W387" s="50">
        <v>45170</v>
      </c>
      <c r="X387" s="34">
        <v>300</v>
      </c>
      <c r="Y387" s="34">
        <v>3000</v>
      </c>
      <c r="Z387" s="34" t="s">
        <v>338</v>
      </c>
      <c r="AA387" s="34">
        <f t="shared" si="16"/>
        <v>0</v>
      </c>
      <c r="AB387" s="34">
        <f t="shared" si="17"/>
        <v>0</v>
      </c>
      <c r="AC387" s="25" t="s">
        <v>689</v>
      </c>
      <c r="AD387" s="25"/>
      <c r="AE387" s="25"/>
      <c r="AF387" s="25"/>
      <c r="AG387" s="25"/>
      <c r="AH387" s="35"/>
    </row>
    <row r="388" spans="1:34" ht="31.5" customHeight="1">
      <c r="A388" s="23" t="s">
        <v>240</v>
      </c>
      <c r="B388" s="206">
        <v>6000024155</v>
      </c>
      <c r="C388" s="25" t="s">
        <v>241</v>
      </c>
      <c r="D388" s="25" t="s">
        <v>815</v>
      </c>
      <c r="E388" s="25">
        <v>30</v>
      </c>
      <c r="F388" s="25">
        <v>150</v>
      </c>
      <c r="G388" s="26">
        <f t="shared" si="15"/>
        <v>4500</v>
      </c>
      <c r="H388" s="27" t="s">
        <v>27</v>
      </c>
      <c r="I388" s="28" t="s">
        <v>937</v>
      </c>
      <c r="J388" s="29">
        <v>150</v>
      </c>
      <c r="K388" s="29">
        <v>2</v>
      </c>
      <c r="L388" s="56" t="s">
        <v>76</v>
      </c>
      <c r="M388" s="31">
        <v>0</v>
      </c>
      <c r="N388" s="31">
        <v>0</v>
      </c>
      <c r="O388" s="31" t="s">
        <v>76</v>
      </c>
      <c r="P388" s="32" t="s">
        <v>1195</v>
      </c>
      <c r="Q388" s="33" t="s">
        <v>1196</v>
      </c>
      <c r="R388" s="33" t="s">
        <v>1197</v>
      </c>
      <c r="S388" s="29">
        <v>150</v>
      </c>
      <c r="T388" s="31" t="s">
        <v>76</v>
      </c>
      <c r="U388" s="31" t="s">
        <v>76</v>
      </c>
      <c r="V388" s="31" t="s">
        <v>76</v>
      </c>
      <c r="W388" s="50">
        <v>45163</v>
      </c>
      <c r="X388" s="34">
        <v>150</v>
      </c>
      <c r="Y388" s="34">
        <v>0</v>
      </c>
      <c r="Z388" s="34" t="s">
        <v>902</v>
      </c>
      <c r="AA388" s="34">
        <f t="shared" si="16"/>
        <v>0</v>
      </c>
      <c r="AB388" s="34">
        <f t="shared" si="17"/>
        <v>0</v>
      </c>
      <c r="AC388" s="25" t="s">
        <v>689</v>
      </c>
      <c r="AD388" s="467" t="s">
        <v>1365</v>
      </c>
      <c r="AE388" s="25"/>
      <c r="AF388" s="25"/>
      <c r="AG388" s="25"/>
      <c r="AH388" s="35"/>
    </row>
    <row r="389" spans="1:34" ht="27.75" customHeight="1">
      <c r="A389" s="23" t="s">
        <v>240</v>
      </c>
      <c r="B389" s="206">
        <v>6000024155</v>
      </c>
      <c r="C389" s="25" t="s">
        <v>241</v>
      </c>
      <c r="D389" s="25" t="s">
        <v>815</v>
      </c>
      <c r="E389" s="25">
        <v>30</v>
      </c>
      <c r="F389" s="25">
        <v>250</v>
      </c>
      <c r="G389" s="26">
        <f t="shared" si="15"/>
        <v>7500</v>
      </c>
      <c r="H389" s="27" t="s">
        <v>46</v>
      </c>
      <c r="I389" s="28" t="s">
        <v>1198</v>
      </c>
      <c r="J389" s="29">
        <v>250</v>
      </c>
      <c r="K389" s="29">
        <v>15</v>
      </c>
      <c r="L389" s="56" t="s">
        <v>76</v>
      </c>
      <c r="M389" s="31"/>
      <c r="N389" s="31">
        <v>0</v>
      </c>
      <c r="O389" s="31" t="s">
        <v>76</v>
      </c>
      <c r="P389" s="32" t="s">
        <v>1195</v>
      </c>
      <c r="Q389" s="33" t="s">
        <v>1196</v>
      </c>
      <c r="R389" s="33" t="s">
        <v>1199</v>
      </c>
      <c r="S389" s="29">
        <v>250</v>
      </c>
      <c r="T389" s="31" t="s">
        <v>76</v>
      </c>
      <c r="U389" s="31" t="s">
        <v>76</v>
      </c>
      <c r="V389" s="31" t="s">
        <v>76</v>
      </c>
      <c r="W389" s="50" t="s">
        <v>1400</v>
      </c>
      <c r="X389" s="34">
        <f>140+110</f>
        <v>250</v>
      </c>
      <c r="Y389" s="34">
        <v>0</v>
      </c>
      <c r="Z389" s="34" t="s">
        <v>902</v>
      </c>
      <c r="AA389" s="34">
        <f t="shared" si="16"/>
        <v>0</v>
      </c>
      <c r="AB389" s="34">
        <f t="shared" si="17"/>
        <v>0</v>
      </c>
      <c r="AC389" s="25" t="s">
        <v>689</v>
      </c>
      <c r="AD389" s="468"/>
      <c r="AE389" s="25"/>
      <c r="AF389" s="25"/>
      <c r="AG389" s="25"/>
      <c r="AH389" s="35"/>
    </row>
    <row r="390" spans="1:34" ht="31.2">
      <c r="A390" s="23" t="s">
        <v>240</v>
      </c>
      <c r="B390" s="206">
        <v>6000024155</v>
      </c>
      <c r="C390" s="25" t="s">
        <v>241</v>
      </c>
      <c r="D390" s="25" t="s">
        <v>815</v>
      </c>
      <c r="E390" s="25">
        <v>30</v>
      </c>
      <c r="F390" s="25">
        <v>100</v>
      </c>
      <c r="G390" s="26">
        <f t="shared" si="15"/>
        <v>3000</v>
      </c>
      <c r="H390" s="27" t="s">
        <v>37</v>
      </c>
      <c r="I390" s="28" t="s">
        <v>859</v>
      </c>
      <c r="J390" s="29">
        <v>100</v>
      </c>
      <c r="K390" s="29">
        <v>4</v>
      </c>
      <c r="L390" s="56" t="s">
        <v>76</v>
      </c>
      <c r="M390" s="31">
        <v>0</v>
      </c>
      <c r="N390" s="31">
        <v>0</v>
      </c>
      <c r="O390" s="31" t="s">
        <v>76</v>
      </c>
      <c r="P390" s="32" t="s">
        <v>28</v>
      </c>
      <c r="Q390" s="33" t="s">
        <v>1200</v>
      </c>
      <c r="R390" s="33" t="s">
        <v>1201</v>
      </c>
      <c r="S390" s="29">
        <v>100</v>
      </c>
      <c r="T390" s="31" t="s">
        <v>76</v>
      </c>
      <c r="U390" s="31" t="s">
        <v>76</v>
      </c>
      <c r="V390" s="31" t="s">
        <v>76</v>
      </c>
      <c r="W390" s="50">
        <v>45163</v>
      </c>
      <c r="X390" s="34">
        <v>100</v>
      </c>
      <c r="Y390" s="34">
        <v>0</v>
      </c>
      <c r="Z390" s="34" t="s">
        <v>902</v>
      </c>
      <c r="AA390" s="34">
        <f t="shared" si="16"/>
        <v>0</v>
      </c>
      <c r="AB390" s="34">
        <f t="shared" si="17"/>
        <v>0</v>
      </c>
      <c r="AC390" s="25" t="s">
        <v>689</v>
      </c>
      <c r="AD390" s="468"/>
      <c r="AE390" s="25"/>
      <c r="AF390" s="25"/>
      <c r="AG390" s="25"/>
      <c r="AH390" s="35"/>
    </row>
    <row r="391" spans="1:34" ht="46.8">
      <c r="A391" s="23" t="s">
        <v>240</v>
      </c>
      <c r="B391" s="206">
        <v>6000024155</v>
      </c>
      <c r="C391" s="25" t="s">
        <v>241</v>
      </c>
      <c r="D391" s="25" t="s">
        <v>244</v>
      </c>
      <c r="E391" s="25">
        <v>2</v>
      </c>
      <c r="F391" s="25">
        <v>15</v>
      </c>
      <c r="G391" s="26">
        <f t="shared" si="15"/>
        <v>30</v>
      </c>
      <c r="H391" s="27" t="s">
        <v>27</v>
      </c>
      <c r="I391" s="28" t="s">
        <v>937</v>
      </c>
      <c r="J391" s="29">
        <v>15</v>
      </c>
      <c r="K391" s="29">
        <v>0</v>
      </c>
      <c r="L391" s="56" t="s">
        <v>76</v>
      </c>
      <c r="M391" s="31">
        <v>0</v>
      </c>
      <c r="N391" s="31">
        <v>0</v>
      </c>
      <c r="O391" s="31" t="s">
        <v>76</v>
      </c>
      <c r="P391" s="32" t="s">
        <v>28</v>
      </c>
      <c r="Q391" s="33" t="s">
        <v>1202</v>
      </c>
      <c r="R391" s="33" t="s">
        <v>1203</v>
      </c>
      <c r="S391" s="29">
        <v>15</v>
      </c>
      <c r="T391" s="31" t="s">
        <v>76</v>
      </c>
      <c r="U391" s="31" t="s">
        <v>76</v>
      </c>
      <c r="V391" s="31" t="s">
        <v>76</v>
      </c>
      <c r="W391" s="50">
        <v>45067</v>
      </c>
      <c r="X391" s="34">
        <v>15</v>
      </c>
      <c r="Y391" s="34">
        <v>0</v>
      </c>
      <c r="Z391" s="34" t="s">
        <v>902</v>
      </c>
      <c r="AA391" s="34">
        <f t="shared" si="16"/>
        <v>0</v>
      </c>
      <c r="AB391" s="34">
        <f t="shared" si="17"/>
        <v>0</v>
      </c>
      <c r="AC391" s="25" t="s">
        <v>689</v>
      </c>
      <c r="AD391" s="468"/>
      <c r="AE391" s="25"/>
      <c r="AF391" s="25"/>
      <c r="AG391" s="25"/>
      <c r="AH391" s="35"/>
    </row>
    <row r="392" spans="1:34" ht="31.2">
      <c r="A392" s="23" t="s">
        <v>240</v>
      </c>
      <c r="B392" s="206">
        <v>6000024155</v>
      </c>
      <c r="C392" s="25" t="s">
        <v>241</v>
      </c>
      <c r="D392" s="25" t="s">
        <v>244</v>
      </c>
      <c r="E392" s="25">
        <v>2</v>
      </c>
      <c r="F392" s="25">
        <v>15</v>
      </c>
      <c r="G392" s="26">
        <f t="shared" si="15"/>
        <v>30</v>
      </c>
      <c r="H392" s="27" t="s">
        <v>46</v>
      </c>
      <c r="I392" s="28" t="s">
        <v>813</v>
      </c>
      <c r="J392" s="29">
        <v>15</v>
      </c>
      <c r="K392" s="29">
        <v>0</v>
      </c>
      <c r="L392" s="56" t="s">
        <v>76</v>
      </c>
      <c r="M392" s="31">
        <v>0</v>
      </c>
      <c r="N392" s="31">
        <v>0</v>
      </c>
      <c r="O392" s="31" t="s">
        <v>76</v>
      </c>
      <c r="P392" s="32" t="s">
        <v>28</v>
      </c>
      <c r="Q392" s="33" t="s">
        <v>1202</v>
      </c>
      <c r="R392" s="33" t="s">
        <v>1204</v>
      </c>
      <c r="S392" s="29">
        <v>15</v>
      </c>
      <c r="T392" s="31" t="s">
        <v>76</v>
      </c>
      <c r="U392" s="31" t="s">
        <v>76</v>
      </c>
      <c r="V392" s="31" t="s">
        <v>76</v>
      </c>
      <c r="W392" s="50">
        <v>45067</v>
      </c>
      <c r="X392" s="34">
        <v>15</v>
      </c>
      <c r="Y392" s="34">
        <v>0</v>
      </c>
      <c r="Z392" s="34" t="s">
        <v>902</v>
      </c>
      <c r="AA392" s="34">
        <f t="shared" si="16"/>
        <v>0</v>
      </c>
      <c r="AB392" s="34">
        <f t="shared" si="17"/>
        <v>0</v>
      </c>
      <c r="AC392" s="25" t="s">
        <v>689</v>
      </c>
      <c r="AD392" s="468"/>
      <c r="AE392" s="25"/>
      <c r="AF392" s="25"/>
      <c r="AG392" s="25"/>
      <c r="AH392" s="35"/>
    </row>
    <row r="393" spans="1:34" ht="31.2">
      <c r="A393" s="23" t="s">
        <v>240</v>
      </c>
      <c r="B393" s="206">
        <v>6000024155</v>
      </c>
      <c r="C393" s="25" t="s">
        <v>241</v>
      </c>
      <c r="D393" s="25" t="s">
        <v>244</v>
      </c>
      <c r="E393" s="25">
        <v>2</v>
      </c>
      <c r="F393" s="25">
        <v>15</v>
      </c>
      <c r="G393" s="26">
        <f t="shared" si="15"/>
        <v>30</v>
      </c>
      <c r="H393" s="27" t="s">
        <v>37</v>
      </c>
      <c r="I393" s="28" t="s">
        <v>813</v>
      </c>
      <c r="J393" s="29">
        <v>15</v>
      </c>
      <c r="K393" s="29">
        <v>0</v>
      </c>
      <c r="L393" s="56" t="s">
        <v>76</v>
      </c>
      <c r="M393" s="31">
        <v>0</v>
      </c>
      <c r="N393" s="31">
        <v>0</v>
      </c>
      <c r="O393" s="31" t="s">
        <v>76</v>
      </c>
      <c r="P393" s="32" t="s">
        <v>28</v>
      </c>
      <c r="Q393" s="33" t="s">
        <v>1202</v>
      </c>
      <c r="R393" s="33" t="s">
        <v>1204</v>
      </c>
      <c r="S393" s="29">
        <v>15</v>
      </c>
      <c r="T393" s="31" t="s">
        <v>76</v>
      </c>
      <c r="U393" s="31" t="s">
        <v>76</v>
      </c>
      <c r="V393" s="31" t="s">
        <v>76</v>
      </c>
      <c r="W393" s="50">
        <v>45067</v>
      </c>
      <c r="X393" s="34">
        <v>15</v>
      </c>
      <c r="Y393" s="34">
        <v>0</v>
      </c>
      <c r="Z393" s="34" t="s">
        <v>902</v>
      </c>
      <c r="AA393" s="34">
        <f t="shared" si="16"/>
        <v>0</v>
      </c>
      <c r="AB393" s="34">
        <f t="shared" si="17"/>
        <v>0</v>
      </c>
      <c r="AC393" s="25" t="s">
        <v>689</v>
      </c>
      <c r="AD393" s="469"/>
      <c r="AE393" s="25"/>
      <c r="AF393" s="25"/>
      <c r="AG393" s="25"/>
      <c r="AH393" s="35"/>
    </row>
    <row r="394" spans="1:34" ht="31.2">
      <c r="A394" s="23" t="s">
        <v>726</v>
      </c>
      <c r="B394" s="81">
        <v>6000024370</v>
      </c>
      <c r="C394" s="25" t="s">
        <v>828</v>
      </c>
      <c r="D394" s="25" t="s">
        <v>827</v>
      </c>
      <c r="E394" s="25">
        <v>10</v>
      </c>
      <c r="F394" s="25">
        <v>200</v>
      </c>
      <c r="G394" s="26">
        <f t="shared" ref="G394:G457" si="18">F394*E394</f>
        <v>2000</v>
      </c>
      <c r="H394" s="27" t="s">
        <v>27</v>
      </c>
      <c r="I394" s="28" t="s">
        <v>820</v>
      </c>
      <c r="J394" s="29">
        <v>200</v>
      </c>
      <c r="K394" s="29">
        <v>6</v>
      </c>
      <c r="L394" s="57">
        <v>45150</v>
      </c>
      <c r="M394" s="31">
        <v>2000</v>
      </c>
      <c r="N394" s="31">
        <v>10</v>
      </c>
      <c r="O394" s="31" t="s">
        <v>789</v>
      </c>
      <c r="P394" s="32" t="s">
        <v>160</v>
      </c>
      <c r="Q394" s="33" t="s">
        <v>1205</v>
      </c>
      <c r="R394" s="33" t="s">
        <v>1206</v>
      </c>
      <c r="S394" s="29">
        <v>200</v>
      </c>
      <c r="T394" s="31" t="s">
        <v>152</v>
      </c>
      <c r="U394" s="31" t="s">
        <v>1207</v>
      </c>
      <c r="V394" s="31" t="s">
        <v>1208</v>
      </c>
      <c r="W394" s="50">
        <v>45178</v>
      </c>
      <c r="X394" s="34">
        <v>200</v>
      </c>
      <c r="Y394" s="34">
        <v>2000</v>
      </c>
      <c r="Z394" s="34" t="s">
        <v>800</v>
      </c>
      <c r="AA394" s="34">
        <f t="shared" si="16"/>
        <v>0</v>
      </c>
      <c r="AB394" s="34">
        <f t="shared" si="17"/>
        <v>0</v>
      </c>
      <c r="AC394" s="25" t="s">
        <v>36</v>
      </c>
      <c r="AD394" s="25"/>
      <c r="AE394" s="25"/>
      <c r="AF394" s="25"/>
      <c r="AG394" s="25"/>
      <c r="AH394" s="35"/>
    </row>
    <row r="395" spans="1:34" ht="31.2">
      <c r="A395" s="23" t="s">
        <v>726</v>
      </c>
      <c r="B395" s="81">
        <v>6000024370</v>
      </c>
      <c r="C395" s="25" t="s">
        <v>828</v>
      </c>
      <c r="D395" s="25" t="s">
        <v>827</v>
      </c>
      <c r="E395" s="25">
        <v>10</v>
      </c>
      <c r="F395" s="25">
        <v>900</v>
      </c>
      <c r="G395" s="26">
        <f t="shared" si="18"/>
        <v>9000</v>
      </c>
      <c r="H395" s="27" t="s">
        <v>46</v>
      </c>
      <c r="I395" s="28" t="s">
        <v>820</v>
      </c>
      <c r="J395" s="29">
        <v>900</v>
      </c>
      <c r="K395" s="29">
        <v>15</v>
      </c>
      <c r="L395" s="57">
        <v>45150</v>
      </c>
      <c r="M395" s="31">
        <v>9000</v>
      </c>
      <c r="N395" s="31">
        <v>45</v>
      </c>
      <c r="O395" s="31" t="s">
        <v>852</v>
      </c>
      <c r="P395" s="32" t="s">
        <v>160</v>
      </c>
      <c r="Q395" s="33" t="s">
        <v>1205</v>
      </c>
      <c r="R395" s="33" t="s">
        <v>1206</v>
      </c>
      <c r="S395" s="29">
        <v>900</v>
      </c>
      <c r="T395" s="31" t="s">
        <v>152</v>
      </c>
      <c r="U395" s="31" t="s">
        <v>1207</v>
      </c>
      <c r="V395" s="31" t="s">
        <v>1208</v>
      </c>
      <c r="W395" s="50">
        <v>45161</v>
      </c>
      <c r="X395" s="34">
        <v>900</v>
      </c>
      <c r="Y395" s="34">
        <v>9000</v>
      </c>
      <c r="Z395" s="34" t="s">
        <v>800</v>
      </c>
      <c r="AA395" s="34">
        <f t="shared" si="16"/>
        <v>0</v>
      </c>
      <c r="AB395" s="34">
        <f t="shared" si="17"/>
        <v>0</v>
      </c>
      <c r="AC395" s="25" t="s">
        <v>36</v>
      </c>
      <c r="AD395" s="25"/>
      <c r="AE395" s="25"/>
      <c r="AF395" s="25"/>
      <c r="AG395" s="25"/>
      <c r="AH395" s="35"/>
    </row>
    <row r="396" spans="1:34" ht="31.2">
      <c r="A396" s="23" t="s">
        <v>726</v>
      </c>
      <c r="B396" s="81">
        <v>6000024370</v>
      </c>
      <c r="C396" s="25" t="s">
        <v>828</v>
      </c>
      <c r="D396" s="25" t="s">
        <v>827</v>
      </c>
      <c r="E396" s="25">
        <v>10</v>
      </c>
      <c r="F396" s="25">
        <v>100</v>
      </c>
      <c r="G396" s="26">
        <f t="shared" si="18"/>
        <v>1000</v>
      </c>
      <c r="H396" s="27" t="s">
        <v>37</v>
      </c>
      <c r="I396" s="28" t="s">
        <v>820</v>
      </c>
      <c r="J396" s="29">
        <v>100</v>
      </c>
      <c r="K396" s="29">
        <v>6</v>
      </c>
      <c r="L396" s="57">
        <v>45150</v>
      </c>
      <c r="M396" s="31">
        <v>1000</v>
      </c>
      <c r="N396" s="31">
        <v>5</v>
      </c>
      <c r="O396" s="31" t="s">
        <v>739</v>
      </c>
      <c r="P396" s="32" t="s">
        <v>160</v>
      </c>
      <c r="Q396" s="33" t="s">
        <v>1205</v>
      </c>
      <c r="R396" s="33" t="s">
        <v>1206</v>
      </c>
      <c r="S396" s="29">
        <v>100</v>
      </c>
      <c r="T396" s="31" t="s">
        <v>152</v>
      </c>
      <c r="U396" s="31" t="s">
        <v>1207</v>
      </c>
      <c r="V396" s="31" t="s">
        <v>1208</v>
      </c>
      <c r="W396" s="50">
        <v>45178</v>
      </c>
      <c r="X396" s="34">
        <v>100</v>
      </c>
      <c r="Y396" s="34">
        <v>1000</v>
      </c>
      <c r="Z396" s="34" t="s">
        <v>800</v>
      </c>
      <c r="AA396" s="34">
        <f t="shared" ref="AA396:AA459" si="19">J396-X396</f>
        <v>0</v>
      </c>
      <c r="AB396" s="34">
        <f t="shared" ref="AB396:AB459" si="20">M396-Y396</f>
        <v>0</v>
      </c>
      <c r="AC396" s="25" t="s">
        <v>36</v>
      </c>
      <c r="AD396" s="25"/>
      <c r="AE396" s="25"/>
      <c r="AF396" s="25"/>
      <c r="AG396" s="25"/>
      <c r="AH396" s="35"/>
    </row>
    <row r="397" spans="1:34" ht="31.2">
      <c r="A397" s="23" t="s">
        <v>254</v>
      </c>
      <c r="B397" s="206">
        <v>6000024460</v>
      </c>
      <c r="C397" s="25" t="s">
        <v>830</v>
      </c>
      <c r="D397" s="25" t="s">
        <v>829</v>
      </c>
      <c r="E397" s="25">
        <v>30</v>
      </c>
      <c r="F397" s="25">
        <v>200</v>
      </c>
      <c r="G397" s="26">
        <f t="shared" si="18"/>
        <v>6000</v>
      </c>
      <c r="H397" s="27" t="s">
        <v>243</v>
      </c>
      <c r="I397" s="28" t="s">
        <v>836</v>
      </c>
      <c r="J397" s="29">
        <v>200</v>
      </c>
      <c r="K397" s="29">
        <v>5</v>
      </c>
      <c r="L397" s="56" t="s">
        <v>76</v>
      </c>
      <c r="M397" s="31">
        <v>0</v>
      </c>
      <c r="N397" s="31">
        <v>0</v>
      </c>
      <c r="O397" s="31" t="s">
        <v>76</v>
      </c>
      <c r="P397" s="32" t="s">
        <v>160</v>
      </c>
      <c r="Q397" s="33" t="s">
        <v>1209</v>
      </c>
      <c r="R397" s="33" t="s">
        <v>1210</v>
      </c>
      <c r="S397" s="29">
        <v>200</v>
      </c>
      <c r="T397" s="31"/>
      <c r="U397" s="31" t="s">
        <v>895</v>
      </c>
      <c r="V397" s="31" t="s">
        <v>76</v>
      </c>
      <c r="W397" s="50" t="s">
        <v>889</v>
      </c>
      <c r="X397" s="34">
        <v>200</v>
      </c>
      <c r="Y397" s="34">
        <v>0</v>
      </c>
      <c r="Z397" s="34" t="s">
        <v>902</v>
      </c>
      <c r="AA397" s="34">
        <f t="shared" si="19"/>
        <v>0</v>
      </c>
      <c r="AB397" s="34">
        <f t="shared" si="20"/>
        <v>0</v>
      </c>
      <c r="AC397" s="25" t="s">
        <v>689</v>
      </c>
      <c r="AD397" s="467" t="s">
        <v>1475</v>
      </c>
      <c r="AE397" s="25"/>
      <c r="AF397" s="25"/>
      <c r="AG397" s="25"/>
      <c r="AH397" s="35"/>
    </row>
    <row r="398" spans="1:34" ht="31.2">
      <c r="A398" s="23" t="s">
        <v>254</v>
      </c>
      <c r="B398" s="206">
        <v>6000024460</v>
      </c>
      <c r="C398" s="25" t="s">
        <v>830</v>
      </c>
      <c r="D398" s="25" t="s">
        <v>829</v>
      </c>
      <c r="E398" s="25">
        <v>30</v>
      </c>
      <c r="F398" s="25">
        <v>300</v>
      </c>
      <c r="G398" s="26">
        <f t="shared" si="18"/>
        <v>9000</v>
      </c>
      <c r="H398" s="27" t="s">
        <v>27</v>
      </c>
      <c r="I398" s="28" t="s">
        <v>836</v>
      </c>
      <c r="J398" s="29">
        <v>300</v>
      </c>
      <c r="K398" s="29">
        <v>7</v>
      </c>
      <c r="L398" s="56" t="s">
        <v>76</v>
      </c>
      <c r="M398" s="31">
        <v>0</v>
      </c>
      <c r="N398" s="31">
        <v>0</v>
      </c>
      <c r="O398" s="31" t="s">
        <v>76</v>
      </c>
      <c r="P398" s="32" t="s">
        <v>160</v>
      </c>
      <c r="Q398" s="33" t="s">
        <v>1209</v>
      </c>
      <c r="R398" s="33" t="s">
        <v>1210</v>
      </c>
      <c r="S398" s="29">
        <v>300</v>
      </c>
      <c r="T398" s="31"/>
      <c r="U398" s="31" t="s">
        <v>895</v>
      </c>
      <c r="V398" s="31" t="s">
        <v>76</v>
      </c>
      <c r="W398" s="50" t="s">
        <v>889</v>
      </c>
      <c r="X398" s="34">
        <v>300</v>
      </c>
      <c r="Y398" s="34">
        <v>0</v>
      </c>
      <c r="Z398" s="34" t="s">
        <v>902</v>
      </c>
      <c r="AA398" s="34">
        <f t="shared" si="19"/>
        <v>0</v>
      </c>
      <c r="AB398" s="34">
        <f t="shared" si="20"/>
        <v>0</v>
      </c>
      <c r="AC398" s="25" t="s">
        <v>689</v>
      </c>
      <c r="AD398" s="470"/>
      <c r="AE398" s="25"/>
      <c r="AF398" s="25"/>
      <c r="AG398" s="25"/>
      <c r="AH398" s="35"/>
    </row>
    <row r="399" spans="1:34" ht="31.2">
      <c r="A399" s="23" t="s">
        <v>254</v>
      </c>
      <c r="B399" s="206">
        <v>6000024460</v>
      </c>
      <c r="C399" s="25" t="s">
        <v>830</v>
      </c>
      <c r="D399" s="25" t="s">
        <v>831</v>
      </c>
      <c r="E399" s="25">
        <v>30</v>
      </c>
      <c r="F399" s="25">
        <v>100</v>
      </c>
      <c r="G399" s="26">
        <f t="shared" si="18"/>
        <v>3000</v>
      </c>
      <c r="H399" s="27" t="s">
        <v>27</v>
      </c>
      <c r="I399" s="28" t="s">
        <v>836</v>
      </c>
      <c r="J399" s="29">
        <v>100</v>
      </c>
      <c r="K399" s="29">
        <v>3</v>
      </c>
      <c r="L399" s="56" t="s">
        <v>76</v>
      </c>
      <c r="M399" s="31">
        <v>0</v>
      </c>
      <c r="N399" s="31">
        <v>0</v>
      </c>
      <c r="O399" s="31" t="s">
        <v>76</v>
      </c>
      <c r="P399" s="32" t="s">
        <v>160</v>
      </c>
      <c r="Q399" s="33" t="s">
        <v>1209</v>
      </c>
      <c r="R399" s="33" t="s">
        <v>1211</v>
      </c>
      <c r="S399" s="29">
        <v>100</v>
      </c>
      <c r="T399" s="31"/>
      <c r="U399" s="31" t="s">
        <v>895</v>
      </c>
      <c r="V399" s="31" t="s">
        <v>76</v>
      </c>
      <c r="W399" s="50" t="s">
        <v>889</v>
      </c>
      <c r="X399" s="34">
        <v>100</v>
      </c>
      <c r="Y399" s="34">
        <v>0</v>
      </c>
      <c r="Z399" s="34" t="s">
        <v>902</v>
      </c>
      <c r="AA399" s="34">
        <f t="shared" si="19"/>
        <v>0</v>
      </c>
      <c r="AB399" s="34">
        <f t="shared" si="20"/>
        <v>0</v>
      </c>
      <c r="AC399" s="25" t="s">
        <v>689</v>
      </c>
      <c r="AD399" s="470"/>
      <c r="AE399" s="25"/>
      <c r="AF399" s="25"/>
      <c r="AG399" s="25"/>
      <c r="AH399" s="35"/>
    </row>
    <row r="400" spans="1:34" ht="31.2">
      <c r="A400" s="23" t="s">
        <v>254</v>
      </c>
      <c r="B400" s="206">
        <v>6000024460</v>
      </c>
      <c r="C400" s="25" t="s">
        <v>830</v>
      </c>
      <c r="D400" s="25" t="s">
        <v>831</v>
      </c>
      <c r="E400" s="25">
        <v>30</v>
      </c>
      <c r="F400" s="25">
        <v>400</v>
      </c>
      <c r="G400" s="26">
        <f t="shared" si="18"/>
        <v>12000</v>
      </c>
      <c r="H400" s="27" t="s">
        <v>46</v>
      </c>
      <c r="I400" s="28" t="s">
        <v>820</v>
      </c>
      <c r="J400" s="29">
        <v>400</v>
      </c>
      <c r="K400" s="29">
        <v>10</v>
      </c>
      <c r="L400" s="56" t="s">
        <v>76</v>
      </c>
      <c r="M400" s="31">
        <v>0</v>
      </c>
      <c r="N400" s="31">
        <v>0</v>
      </c>
      <c r="O400" s="31" t="s">
        <v>76</v>
      </c>
      <c r="P400" s="32" t="s">
        <v>160</v>
      </c>
      <c r="Q400" s="33" t="s">
        <v>1212</v>
      </c>
      <c r="R400" s="33" t="s">
        <v>1213</v>
      </c>
      <c r="S400" s="29">
        <v>400</v>
      </c>
      <c r="T400" s="31"/>
      <c r="U400" s="31" t="s">
        <v>895</v>
      </c>
      <c r="V400" s="31" t="s">
        <v>76</v>
      </c>
      <c r="W400" s="50" t="s">
        <v>889</v>
      </c>
      <c r="X400" s="34">
        <v>400</v>
      </c>
      <c r="Y400" s="34">
        <v>0</v>
      </c>
      <c r="Z400" s="34" t="s">
        <v>902</v>
      </c>
      <c r="AA400" s="34">
        <f t="shared" si="19"/>
        <v>0</v>
      </c>
      <c r="AB400" s="34">
        <f t="shared" si="20"/>
        <v>0</v>
      </c>
      <c r="AC400" s="25" t="s">
        <v>689</v>
      </c>
      <c r="AD400" s="470"/>
      <c r="AE400" s="25"/>
      <c r="AF400" s="25"/>
      <c r="AG400" s="25"/>
      <c r="AH400" s="35"/>
    </row>
    <row r="401" spans="1:34" ht="31.2">
      <c r="A401" s="23" t="s">
        <v>254</v>
      </c>
      <c r="B401" s="206">
        <v>6000024460</v>
      </c>
      <c r="C401" s="25" t="s">
        <v>830</v>
      </c>
      <c r="D401" s="25" t="s">
        <v>832</v>
      </c>
      <c r="E401" s="25">
        <v>30</v>
      </c>
      <c r="F401" s="25">
        <v>70</v>
      </c>
      <c r="G401" s="26">
        <f t="shared" si="18"/>
        <v>2100</v>
      </c>
      <c r="H401" s="27" t="s">
        <v>46</v>
      </c>
      <c r="I401" s="28" t="s">
        <v>820</v>
      </c>
      <c r="J401" s="29">
        <v>70</v>
      </c>
      <c r="K401" s="29">
        <v>2</v>
      </c>
      <c r="L401" s="56" t="s">
        <v>76</v>
      </c>
      <c r="M401" s="31">
        <v>0</v>
      </c>
      <c r="N401" s="31">
        <v>0</v>
      </c>
      <c r="O401" s="31" t="s">
        <v>76</v>
      </c>
      <c r="P401" s="32" t="s">
        <v>160</v>
      </c>
      <c r="Q401" s="33" t="s">
        <v>1212</v>
      </c>
      <c r="R401" s="33" t="s">
        <v>1213</v>
      </c>
      <c r="S401" s="29">
        <v>70</v>
      </c>
      <c r="T401" s="31"/>
      <c r="U401" s="31" t="s">
        <v>895</v>
      </c>
      <c r="V401" s="31" t="s">
        <v>76</v>
      </c>
      <c r="W401" s="50" t="s">
        <v>889</v>
      </c>
      <c r="X401" s="34">
        <v>70</v>
      </c>
      <c r="Y401" s="34">
        <v>0</v>
      </c>
      <c r="Z401" s="34" t="s">
        <v>902</v>
      </c>
      <c r="AA401" s="34">
        <f t="shared" si="19"/>
        <v>0</v>
      </c>
      <c r="AB401" s="34">
        <f t="shared" si="20"/>
        <v>0</v>
      </c>
      <c r="AC401" s="25" t="s">
        <v>689</v>
      </c>
      <c r="AD401" s="470"/>
      <c r="AE401" s="25"/>
      <c r="AF401" s="25"/>
      <c r="AG401" s="25"/>
      <c r="AH401" s="35"/>
    </row>
    <row r="402" spans="1:34" ht="31.2">
      <c r="A402" s="23" t="s">
        <v>254</v>
      </c>
      <c r="B402" s="206">
        <v>6000024460</v>
      </c>
      <c r="C402" s="25" t="s">
        <v>830</v>
      </c>
      <c r="D402" s="25" t="s">
        <v>832</v>
      </c>
      <c r="E402" s="25">
        <v>30</v>
      </c>
      <c r="F402" s="25">
        <v>130</v>
      </c>
      <c r="G402" s="26">
        <f t="shared" si="18"/>
        <v>3900</v>
      </c>
      <c r="H402" s="27" t="s">
        <v>37</v>
      </c>
      <c r="I402" s="28" t="s">
        <v>820</v>
      </c>
      <c r="J402" s="29">
        <v>130</v>
      </c>
      <c r="K402" s="29">
        <v>4</v>
      </c>
      <c r="L402" s="56" t="s">
        <v>76</v>
      </c>
      <c r="M402" s="31">
        <v>0</v>
      </c>
      <c r="N402" s="31">
        <v>0</v>
      </c>
      <c r="O402" s="31" t="s">
        <v>76</v>
      </c>
      <c r="P402" s="32" t="s">
        <v>160</v>
      </c>
      <c r="Q402" s="33" t="s">
        <v>1212</v>
      </c>
      <c r="R402" s="33" t="s">
        <v>1213</v>
      </c>
      <c r="S402" s="29">
        <v>130</v>
      </c>
      <c r="T402" s="31"/>
      <c r="U402" s="31" t="s">
        <v>895</v>
      </c>
      <c r="V402" s="31" t="s">
        <v>76</v>
      </c>
      <c r="W402" s="50" t="s">
        <v>889</v>
      </c>
      <c r="X402" s="34">
        <v>130</v>
      </c>
      <c r="Y402" s="34">
        <v>0</v>
      </c>
      <c r="Z402" s="34" t="s">
        <v>902</v>
      </c>
      <c r="AA402" s="34">
        <f t="shared" si="19"/>
        <v>0</v>
      </c>
      <c r="AB402" s="34">
        <f t="shared" si="20"/>
        <v>0</v>
      </c>
      <c r="AC402" s="25" t="s">
        <v>689</v>
      </c>
      <c r="AD402" s="470"/>
      <c r="AE402" s="25" t="s">
        <v>1353</v>
      </c>
      <c r="AF402" s="25"/>
      <c r="AG402" s="25"/>
      <c r="AH402" s="35"/>
    </row>
    <row r="403" spans="1:34" ht="31.2">
      <c r="A403" s="23" t="s">
        <v>254</v>
      </c>
      <c r="B403" s="206">
        <v>6000024460</v>
      </c>
      <c r="C403" s="25" t="s">
        <v>255</v>
      </c>
      <c r="D403" s="25" t="s">
        <v>832</v>
      </c>
      <c r="E403" s="25">
        <v>30</v>
      </c>
      <c r="F403" s="25">
        <v>100</v>
      </c>
      <c r="G403" s="26">
        <f t="shared" si="18"/>
        <v>3000</v>
      </c>
      <c r="H403" s="27" t="s">
        <v>27</v>
      </c>
      <c r="I403" s="28" t="s">
        <v>836</v>
      </c>
      <c r="J403" s="29">
        <v>100</v>
      </c>
      <c r="K403" s="29">
        <v>2</v>
      </c>
      <c r="L403" s="56" t="s">
        <v>76</v>
      </c>
      <c r="M403" s="31">
        <v>0</v>
      </c>
      <c r="N403" s="31">
        <v>0</v>
      </c>
      <c r="O403" s="31" t="s">
        <v>76</v>
      </c>
      <c r="P403" s="32" t="s">
        <v>160</v>
      </c>
      <c r="Q403" s="33" t="s">
        <v>1214</v>
      </c>
      <c r="R403" s="33" t="s">
        <v>1215</v>
      </c>
      <c r="S403" s="29">
        <v>100</v>
      </c>
      <c r="T403" s="31"/>
      <c r="U403" s="31" t="s">
        <v>895</v>
      </c>
      <c r="V403" s="31" t="s">
        <v>76</v>
      </c>
      <c r="W403" s="50" t="s">
        <v>889</v>
      </c>
      <c r="X403" s="34">
        <v>100</v>
      </c>
      <c r="Y403" s="34">
        <v>0</v>
      </c>
      <c r="Z403" s="34" t="s">
        <v>902</v>
      </c>
      <c r="AA403" s="34">
        <f t="shared" si="19"/>
        <v>0</v>
      </c>
      <c r="AB403" s="34">
        <f t="shared" si="20"/>
        <v>0</v>
      </c>
      <c r="AC403" s="25" t="s">
        <v>689</v>
      </c>
      <c r="AD403" s="470"/>
      <c r="AE403" s="25"/>
      <c r="AF403" s="25"/>
      <c r="AG403" s="25"/>
      <c r="AH403" s="35"/>
    </row>
    <row r="404" spans="1:34" ht="15.6">
      <c r="A404" s="23" t="s">
        <v>254</v>
      </c>
      <c r="B404" s="206">
        <v>6000024460</v>
      </c>
      <c r="C404" s="25" t="s">
        <v>830</v>
      </c>
      <c r="D404" s="25" t="s">
        <v>244</v>
      </c>
      <c r="E404" s="25">
        <v>2</v>
      </c>
      <c r="F404" s="25">
        <v>5</v>
      </c>
      <c r="G404" s="26">
        <f t="shared" si="18"/>
        <v>10</v>
      </c>
      <c r="H404" s="27" t="s">
        <v>243</v>
      </c>
      <c r="I404" s="28" t="s">
        <v>847</v>
      </c>
      <c r="J404" s="29">
        <v>5</v>
      </c>
      <c r="K404" s="29">
        <v>0</v>
      </c>
      <c r="L404" s="56" t="s">
        <v>76</v>
      </c>
      <c r="M404" s="31">
        <v>0</v>
      </c>
      <c r="N404" s="31">
        <v>0</v>
      </c>
      <c r="O404" s="31" t="s">
        <v>76</v>
      </c>
      <c r="P404" s="32" t="s">
        <v>139</v>
      </c>
      <c r="Q404" s="33" t="s">
        <v>1216</v>
      </c>
      <c r="R404" s="33" t="s">
        <v>1217</v>
      </c>
      <c r="S404" s="29">
        <v>5</v>
      </c>
      <c r="T404" s="31"/>
      <c r="U404" s="31" t="s">
        <v>895</v>
      </c>
      <c r="V404" s="31" t="s">
        <v>76</v>
      </c>
      <c r="W404" s="50" t="s">
        <v>889</v>
      </c>
      <c r="X404" s="34">
        <v>5</v>
      </c>
      <c r="Y404" s="34">
        <v>0</v>
      </c>
      <c r="Z404" s="34" t="s">
        <v>902</v>
      </c>
      <c r="AA404" s="34">
        <f t="shared" si="19"/>
        <v>0</v>
      </c>
      <c r="AB404" s="34">
        <f t="shared" si="20"/>
        <v>0</v>
      </c>
      <c r="AC404" s="25" t="s">
        <v>689</v>
      </c>
      <c r="AD404" s="470"/>
      <c r="AE404" s="25"/>
      <c r="AF404" s="25"/>
      <c r="AG404" s="25"/>
      <c r="AH404" s="35"/>
    </row>
    <row r="405" spans="1:34" ht="15.6">
      <c r="A405" s="23" t="s">
        <v>254</v>
      </c>
      <c r="B405" s="206">
        <v>6000024460</v>
      </c>
      <c r="C405" s="25" t="s">
        <v>830</v>
      </c>
      <c r="D405" s="25" t="s">
        <v>244</v>
      </c>
      <c r="E405" s="25">
        <v>2</v>
      </c>
      <c r="F405" s="25">
        <v>0</v>
      </c>
      <c r="G405" s="26">
        <f t="shared" si="18"/>
        <v>0</v>
      </c>
      <c r="H405" s="27" t="s">
        <v>27</v>
      </c>
      <c r="I405" s="28" t="s">
        <v>895</v>
      </c>
      <c r="J405" s="29">
        <v>0</v>
      </c>
      <c r="K405" s="29">
        <v>0</v>
      </c>
      <c r="L405" s="56" t="s">
        <v>76</v>
      </c>
      <c r="M405" s="31">
        <v>0</v>
      </c>
      <c r="N405" s="31">
        <v>0</v>
      </c>
      <c r="O405" s="31" t="s">
        <v>76</v>
      </c>
      <c r="P405" s="32" t="s">
        <v>76</v>
      </c>
      <c r="Q405" s="33" t="s">
        <v>76</v>
      </c>
      <c r="R405" s="33" t="s">
        <v>76</v>
      </c>
      <c r="S405" s="29">
        <v>0</v>
      </c>
      <c r="T405" s="31"/>
      <c r="U405" s="31" t="s">
        <v>895</v>
      </c>
      <c r="V405" s="31" t="s">
        <v>76</v>
      </c>
      <c r="W405" s="50" t="s">
        <v>889</v>
      </c>
      <c r="X405" s="34"/>
      <c r="Y405" s="34">
        <v>0</v>
      </c>
      <c r="Z405" s="34" t="s">
        <v>902</v>
      </c>
      <c r="AA405" s="34">
        <f t="shared" si="19"/>
        <v>0</v>
      </c>
      <c r="AB405" s="34">
        <f t="shared" si="20"/>
        <v>0</v>
      </c>
      <c r="AC405" s="25" t="s">
        <v>689</v>
      </c>
      <c r="AD405" s="470"/>
      <c r="AE405" s="25"/>
      <c r="AF405" s="25"/>
      <c r="AG405" s="25"/>
      <c r="AH405" s="35"/>
    </row>
    <row r="406" spans="1:34" ht="15.6">
      <c r="A406" s="23" t="s">
        <v>254</v>
      </c>
      <c r="B406" s="206">
        <v>6000024460</v>
      </c>
      <c r="C406" s="25" t="s">
        <v>830</v>
      </c>
      <c r="D406" s="25" t="s">
        <v>244</v>
      </c>
      <c r="E406" s="25">
        <v>2</v>
      </c>
      <c r="F406" s="25">
        <v>5</v>
      </c>
      <c r="G406" s="26">
        <f t="shared" si="18"/>
        <v>10</v>
      </c>
      <c r="H406" s="27" t="s">
        <v>46</v>
      </c>
      <c r="I406" s="28" t="s">
        <v>847</v>
      </c>
      <c r="J406" s="29">
        <v>5</v>
      </c>
      <c r="K406" s="29">
        <v>0</v>
      </c>
      <c r="L406" s="56" t="s">
        <v>76</v>
      </c>
      <c r="M406" s="31">
        <v>0</v>
      </c>
      <c r="N406" s="31">
        <v>0</v>
      </c>
      <c r="O406" s="31" t="s">
        <v>76</v>
      </c>
      <c r="P406" s="32" t="s">
        <v>139</v>
      </c>
      <c r="Q406" s="33" t="s">
        <v>1218</v>
      </c>
      <c r="R406" s="33" t="s">
        <v>1219</v>
      </c>
      <c r="S406" s="29">
        <v>5</v>
      </c>
      <c r="T406" s="31"/>
      <c r="U406" s="31" t="s">
        <v>895</v>
      </c>
      <c r="V406" s="31" t="s">
        <v>76</v>
      </c>
      <c r="W406" s="50" t="s">
        <v>889</v>
      </c>
      <c r="X406" s="34">
        <v>5</v>
      </c>
      <c r="Y406" s="34">
        <v>0</v>
      </c>
      <c r="Z406" s="34" t="s">
        <v>902</v>
      </c>
      <c r="AA406" s="34">
        <f t="shared" si="19"/>
        <v>0</v>
      </c>
      <c r="AB406" s="34">
        <f t="shared" si="20"/>
        <v>0</v>
      </c>
      <c r="AC406" s="25" t="s">
        <v>689</v>
      </c>
      <c r="AD406" s="470"/>
      <c r="AE406" s="25"/>
      <c r="AF406" s="25"/>
      <c r="AG406" s="25"/>
      <c r="AH406" s="35"/>
    </row>
    <row r="407" spans="1:34" ht="15.6">
      <c r="A407" s="23" t="s">
        <v>254</v>
      </c>
      <c r="B407" s="206">
        <v>6000024460</v>
      </c>
      <c r="C407" s="25" t="s">
        <v>830</v>
      </c>
      <c r="D407" s="25" t="s">
        <v>244</v>
      </c>
      <c r="E407" s="25">
        <v>2</v>
      </c>
      <c r="F407" s="25">
        <v>5</v>
      </c>
      <c r="G407" s="26">
        <f t="shared" si="18"/>
        <v>10</v>
      </c>
      <c r="H407" s="27" t="s">
        <v>37</v>
      </c>
      <c r="I407" s="28" t="s">
        <v>847</v>
      </c>
      <c r="J407" s="29">
        <v>5</v>
      </c>
      <c r="K407" s="29">
        <v>0</v>
      </c>
      <c r="L407" s="56" t="s">
        <v>76</v>
      </c>
      <c r="M407" s="31">
        <v>0</v>
      </c>
      <c r="N407" s="31">
        <v>0</v>
      </c>
      <c r="O407" s="31" t="s">
        <v>76</v>
      </c>
      <c r="P407" s="32" t="s">
        <v>139</v>
      </c>
      <c r="Q407" s="33" t="s">
        <v>1218</v>
      </c>
      <c r="R407" s="33" t="s">
        <v>1219</v>
      </c>
      <c r="S407" s="29">
        <v>5</v>
      </c>
      <c r="T407" s="31"/>
      <c r="U407" s="31" t="s">
        <v>895</v>
      </c>
      <c r="V407" s="31" t="s">
        <v>76</v>
      </c>
      <c r="W407" s="50" t="s">
        <v>889</v>
      </c>
      <c r="X407" s="34">
        <v>5</v>
      </c>
      <c r="Y407" s="34">
        <v>0</v>
      </c>
      <c r="Z407" s="34" t="s">
        <v>902</v>
      </c>
      <c r="AA407" s="34">
        <f t="shared" si="19"/>
        <v>0</v>
      </c>
      <c r="AB407" s="34">
        <f t="shared" si="20"/>
        <v>0</v>
      </c>
      <c r="AC407" s="25" t="s">
        <v>689</v>
      </c>
      <c r="AD407" s="470"/>
      <c r="AE407" s="25"/>
      <c r="AF407" s="25"/>
      <c r="AG407" s="25"/>
      <c r="AH407" s="35"/>
    </row>
    <row r="408" spans="1:34" ht="15.6">
      <c r="A408" s="23" t="s">
        <v>254</v>
      </c>
      <c r="B408" s="206">
        <v>6000024460</v>
      </c>
      <c r="C408" s="25" t="s">
        <v>255</v>
      </c>
      <c r="D408" s="25" t="s">
        <v>244</v>
      </c>
      <c r="E408" s="25">
        <v>2</v>
      </c>
      <c r="F408" s="25">
        <v>5</v>
      </c>
      <c r="G408" s="26">
        <f t="shared" si="18"/>
        <v>10</v>
      </c>
      <c r="H408" s="27" t="s">
        <v>27</v>
      </c>
      <c r="I408" s="28" t="s">
        <v>847</v>
      </c>
      <c r="J408" s="29">
        <v>5</v>
      </c>
      <c r="K408" s="29">
        <v>0</v>
      </c>
      <c r="L408" s="56" t="s">
        <v>76</v>
      </c>
      <c r="M408" s="31">
        <v>0</v>
      </c>
      <c r="N408" s="31">
        <v>0</v>
      </c>
      <c r="O408" s="31" t="s">
        <v>76</v>
      </c>
      <c r="P408" s="32" t="s">
        <v>139</v>
      </c>
      <c r="Q408" s="33" t="s">
        <v>1220</v>
      </c>
      <c r="R408" s="33" t="s">
        <v>1221</v>
      </c>
      <c r="S408" s="29">
        <v>5</v>
      </c>
      <c r="T408" s="31"/>
      <c r="U408" s="31" t="s">
        <v>895</v>
      </c>
      <c r="V408" s="31" t="s">
        <v>76</v>
      </c>
      <c r="W408" s="50" t="s">
        <v>889</v>
      </c>
      <c r="X408" s="34">
        <v>5</v>
      </c>
      <c r="Y408" s="34">
        <v>0</v>
      </c>
      <c r="Z408" s="34" t="s">
        <v>902</v>
      </c>
      <c r="AA408" s="34">
        <f t="shared" si="19"/>
        <v>0</v>
      </c>
      <c r="AB408" s="34">
        <f t="shared" si="20"/>
        <v>0</v>
      </c>
      <c r="AC408" s="25" t="s">
        <v>689</v>
      </c>
      <c r="AD408" s="471"/>
      <c r="AE408" s="25"/>
      <c r="AF408" s="25"/>
      <c r="AG408" s="25"/>
      <c r="AH408" s="35"/>
    </row>
    <row r="409" spans="1:34" ht="15" customHeight="1">
      <c r="A409" s="23" t="s">
        <v>254</v>
      </c>
      <c r="B409" s="206">
        <v>6000024457</v>
      </c>
      <c r="C409" s="25" t="s">
        <v>830</v>
      </c>
      <c r="D409" s="25" t="s">
        <v>833</v>
      </c>
      <c r="E409" s="25">
        <v>30</v>
      </c>
      <c r="F409" s="25">
        <v>480</v>
      </c>
      <c r="G409" s="26">
        <f t="shared" si="18"/>
        <v>14400</v>
      </c>
      <c r="H409" s="27" t="s">
        <v>243</v>
      </c>
      <c r="I409" s="28" t="s">
        <v>836</v>
      </c>
      <c r="J409" s="29">
        <v>480</v>
      </c>
      <c r="K409" s="29">
        <v>10</v>
      </c>
      <c r="L409" s="56" t="s">
        <v>76</v>
      </c>
      <c r="M409" s="31">
        <v>0</v>
      </c>
      <c r="N409" s="31">
        <v>0</v>
      </c>
      <c r="O409" s="31" t="s">
        <v>76</v>
      </c>
      <c r="P409" s="32" t="s">
        <v>160</v>
      </c>
      <c r="Q409" s="33" t="s">
        <v>1222</v>
      </c>
      <c r="R409" s="33" t="s">
        <v>1223</v>
      </c>
      <c r="S409" s="29">
        <v>480</v>
      </c>
      <c r="T409" s="31"/>
      <c r="U409" s="31" t="s">
        <v>895</v>
      </c>
      <c r="V409" s="31" t="s">
        <v>76</v>
      </c>
      <c r="W409" s="50">
        <v>45159</v>
      </c>
      <c r="X409" s="34">
        <v>480</v>
      </c>
      <c r="Y409" s="34">
        <v>0</v>
      </c>
      <c r="Z409" s="34" t="s">
        <v>902</v>
      </c>
      <c r="AA409" s="34">
        <f t="shared" si="19"/>
        <v>0</v>
      </c>
      <c r="AB409" s="34">
        <f t="shared" si="20"/>
        <v>0</v>
      </c>
      <c r="AC409" s="25" t="s">
        <v>689</v>
      </c>
      <c r="AD409" s="467" t="s">
        <v>1364</v>
      </c>
      <c r="AE409" s="25"/>
      <c r="AF409" s="25"/>
      <c r="AG409" s="25"/>
      <c r="AH409" s="35"/>
    </row>
    <row r="410" spans="1:34" ht="15.6">
      <c r="A410" s="23" t="s">
        <v>254</v>
      </c>
      <c r="B410" s="206">
        <v>6000024457</v>
      </c>
      <c r="C410" s="25" t="s">
        <v>830</v>
      </c>
      <c r="D410" s="25" t="s">
        <v>833</v>
      </c>
      <c r="E410" s="25">
        <v>30</v>
      </c>
      <c r="F410" s="25">
        <v>20</v>
      </c>
      <c r="G410" s="26">
        <f t="shared" si="18"/>
        <v>600</v>
      </c>
      <c r="H410" s="27" t="s">
        <v>27</v>
      </c>
      <c r="I410" s="28" t="s">
        <v>847</v>
      </c>
      <c r="J410" s="29">
        <v>20</v>
      </c>
      <c r="K410" s="29">
        <v>0</v>
      </c>
      <c r="L410" s="56" t="s">
        <v>76</v>
      </c>
      <c r="M410" s="31">
        <v>0</v>
      </c>
      <c r="N410" s="31">
        <v>0</v>
      </c>
      <c r="O410" s="31" t="s">
        <v>76</v>
      </c>
      <c r="P410" s="32" t="s">
        <v>139</v>
      </c>
      <c r="Q410" s="33" t="s">
        <v>1222</v>
      </c>
      <c r="R410" s="33" t="s">
        <v>1224</v>
      </c>
      <c r="S410" s="29">
        <v>20</v>
      </c>
      <c r="T410" s="31"/>
      <c r="U410" s="31" t="s">
        <v>895</v>
      </c>
      <c r="V410" s="31" t="s">
        <v>76</v>
      </c>
      <c r="W410" s="50">
        <v>45159</v>
      </c>
      <c r="X410" s="34">
        <v>20</v>
      </c>
      <c r="Y410" s="34">
        <v>0</v>
      </c>
      <c r="Z410" s="34" t="s">
        <v>902</v>
      </c>
      <c r="AA410" s="34">
        <f t="shared" si="19"/>
        <v>0</v>
      </c>
      <c r="AB410" s="34">
        <f t="shared" si="20"/>
        <v>0</v>
      </c>
      <c r="AC410" s="25" t="s">
        <v>689</v>
      </c>
      <c r="AD410" s="468"/>
      <c r="AE410" s="25"/>
      <c r="AF410" s="25"/>
      <c r="AG410" s="25"/>
      <c r="AH410" s="35"/>
    </row>
    <row r="411" spans="1:34" ht="31.2">
      <c r="A411" s="23" t="s">
        <v>254</v>
      </c>
      <c r="B411" s="206">
        <v>6000024457</v>
      </c>
      <c r="C411" s="25" t="s">
        <v>830</v>
      </c>
      <c r="D411" s="25" t="s">
        <v>834</v>
      </c>
      <c r="E411" s="25">
        <v>30</v>
      </c>
      <c r="F411" s="25">
        <v>500</v>
      </c>
      <c r="G411" s="26">
        <f t="shared" si="18"/>
        <v>15000</v>
      </c>
      <c r="H411" s="27" t="s">
        <v>27</v>
      </c>
      <c r="I411" s="28" t="s">
        <v>836</v>
      </c>
      <c r="J411" s="29">
        <v>500</v>
      </c>
      <c r="K411" s="29">
        <v>3</v>
      </c>
      <c r="L411" s="56" t="s">
        <v>76</v>
      </c>
      <c r="M411" s="31">
        <v>0</v>
      </c>
      <c r="N411" s="31">
        <v>0</v>
      </c>
      <c r="O411" s="31" t="s">
        <v>76</v>
      </c>
      <c r="P411" s="32" t="s">
        <v>160</v>
      </c>
      <c r="Q411" s="33" t="s">
        <v>1222</v>
      </c>
      <c r="R411" s="33" t="s">
        <v>1225</v>
      </c>
      <c r="S411" s="29">
        <v>500</v>
      </c>
      <c r="T411" s="31"/>
      <c r="U411" s="31" t="s">
        <v>895</v>
      </c>
      <c r="V411" s="31" t="s">
        <v>76</v>
      </c>
      <c r="W411" s="50">
        <v>45159</v>
      </c>
      <c r="X411" s="34">
        <v>500</v>
      </c>
      <c r="Y411" s="34">
        <v>0</v>
      </c>
      <c r="Z411" s="34" t="s">
        <v>902</v>
      </c>
      <c r="AA411" s="34">
        <f t="shared" si="19"/>
        <v>0</v>
      </c>
      <c r="AB411" s="34">
        <f t="shared" si="20"/>
        <v>0</v>
      </c>
      <c r="AC411" s="25" t="s">
        <v>689</v>
      </c>
      <c r="AD411" s="468"/>
      <c r="AE411" s="25"/>
      <c r="AF411" s="25"/>
      <c r="AG411" s="25"/>
      <c r="AH411" s="35"/>
    </row>
    <row r="412" spans="1:34" ht="15.6">
      <c r="A412" s="23" t="s">
        <v>254</v>
      </c>
      <c r="B412" s="206">
        <v>6000024457</v>
      </c>
      <c r="C412" s="25" t="s">
        <v>830</v>
      </c>
      <c r="D412" s="25" t="s">
        <v>835</v>
      </c>
      <c r="E412" s="25">
        <v>30</v>
      </c>
      <c r="F412" s="25">
        <v>110</v>
      </c>
      <c r="G412" s="26">
        <f t="shared" si="18"/>
        <v>3300</v>
      </c>
      <c r="H412" s="27" t="s">
        <v>27</v>
      </c>
      <c r="I412" s="28" t="s">
        <v>847</v>
      </c>
      <c r="J412" s="29">
        <v>110</v>
      </c>
      <c r="K412" s="29">
        <v>5</v>
      </c>
      <c r="L412" s="56" t="s">
        <v>76</v>
      </c>
      <c r="M412" s="31">
        <v>0</v>
      </c>
      <c r="N412" s="31">
        <v>0</v>
      </c>
      <c r="O412" s="31" t="s">
        <v>76</v>
      </c>
      <c r="P412" s="32" t="s">
        <v>139</v>
      </c>
      <c r="Q412" s="33" t="s">
        <v>1222</v>
      </c>
      <c r="R412" s="33" t="s">
        <v>1224</v>
      </c>
      <c r="S412" s="29">
        <v>110</v>
      </c>
      <c r="T412" s="31"/>
      <c r="U412" s="31" t="s">
        <v>895</v>
      </c>
      <c r="V412" s="31" t="s">
        <v>76</v>
      </c>
      <c r="W412" s="50">
        <v>45159</v>
      </c>
      <c r="X412" s="34">
        <v>110</v>
      </c>
      <c r="Y412" s="34">
        <v>0</v>
      </c>
      <c r="Z412" s="34" t="s">
        <v>902</v>
      </c>
      <c r="AA412" s="34">
        <f t="shared" si="19"/>
        <v>0</v>
      </c>
      <c r="AB412" s="34">
        <f t="shared" si="20"/>
        <v>0</v>
      </c>
      <c r="AC412" s="25" t="s">
        <v>689</v>
      </c>
      <c r="AD412" s="468"/>
      <c r="AE412" s="25"/>
      <c r="AF412" s="25"/>
      <c r="AG412" s="25"/>
      <c r="AH412" s="35"/>
    </row>
    <row r="413" spans="1:34" ht="31.2">
      <c r="A413" s="23" t="s">
        <v>254</v>
      </c>
      <c r="B413" s="206">
        <v>6000024457</v>
      </c>
      <c r="C413" s="25" t="s">
        <v>255</v>
      </c>
      <c r="D413" s="25" t="s">
        <v>835</v>
      </c>
      <c r="E413" s="25">
        <v>30</v>
      </c>
      <c r="F413" s="25">
        <v>50</v>
      </c>
      <c r="G413" s="26">
        <f t="shared" si="18"/>
        <v>1500</v>
      </c>
      <c r="H413" s="27" t="s">
        <v>27</v>
      </c>
      <c r="I413" s="28" t="s">
        <v>836</v>
      </c>
      <c r="J413" s="29">
        <v>50</v>
      </c>
      <c r="K413" s="29">
        <f>2+1</f>
        <v>3</v>
      </c>
      <c r="L413" s="56" t="s">
        <v>76</v>
      </c>
      <c r="M413" s="31">
        <v>0</v>
      </c>
      <c r="N413" s="31">
        <v>0</v>
      </c>
      <c r="O413" s="31" t="s">
        <v>76</v>
      </c>
      <c r="P413" s="32" t="s">
        <v>160</v>
      </c>
      <c r="Q413" s="33" t="s">
        <v>1226</v>
      </c>
      <c r="R413" s="33" t="s">
        <v>1227</v>
      </c>
      <c r="S413" s="29">
        <v>50</v>
      </c>
      <c r="T413" s="31"/>
      <c r="U413" s="31" t="s">
        <v>895</v>
      </c>
      <c r="V413" s="31" t="s">
        <v>76</v>
      </c>
      <c r="W413" s="50">
        <v>45159</v>
      </c>
      <c r="X413" s="34">
        <v>50</v>
      </c>
      <c r="Y413" s="34">
        <v>0</v>
      </c>
      <c r="Z413" s="34" t="s">
        <v>902</v>
      </c>
      <c r="AA413" s="34">
        <f t="shared" si="19"/>
        <v>0</v>
      </c>
      <c r="AB413" s="34">
        <f t="shared" si="20"/>
        <v>0</v>
      </c>
      <c r="AC413" s="25" t="s">
        <v>689</v>
      </c>
      <c r="AD413" s="468"/>
      <c r="AE413" s="25"/>
      <c r="AF413" s="25"/>
      <c r="AG413" s="25"/>
      <c r="AH413" s="35"/>
    </row>
    <row r="414" spans="1:34" ht="31.2">
      <c r="A414" s="23" t="s">
        <v>254</v>
      </c>
      <c r="B414" s="206">
        <v>6000024457</v>
      </c>
      <c r="C414" s="25" t="s">
        <v>255</v>
      </c>
      <c r="D414" s="25" t="s">
        <v>835</v>
      </c>
      <c r="E414" s="25">
        <v>30</v>
      </c>
      <c r="F414" s="25">
        <v>70</v>
      </c>
      <c r="G414" s="26">
        <f t="shared" si="18"/>
        <v>2100</v>
      </c>
      <c r="H414" s="27" t="s">
        <v>46</v>
      </c>
      <c r="I414" s="28" t="s">
        <v>820</v>
      </c>
      <c r="J414" s="29">
        <v>70</v>
      </c>
      <c r="K414" s="29">
        <v>3</v>
      </c>
      <c r="L414" s="56" t="s">
        <v>76</v>
      </c>
      <c r="M414" s="31">
        <v>0</v>
      </c>
      <c r="N414" s="31">
        <v>0</v>
      </c>
      <c r="O414" s="31" t="s">
        <v>76</v>
      </c>
      <c r="P414" s="32" t="s">
        <v>160</v>
      </c>
      <c r="Q414" s="33" t="s">
        <v>1228</v>
      </c>
      <c r="R414" s="33" t="s">
        <v>1229</v>
      </c>
      <c r="S414" s="29">
        <v>70</v>
      </c>
      <c r="T414" s="31"/>
      <c r="U414" s="31" t="s">
        <v>895</v>
      </c>
      <c r="V414" s="31" t="s">
        <v>76</v>
      </c>
      <c r="W414" s="50">
        <v>45159</v>
      </c>
      <c r="X414" s="34">
        <v>70</v>
      </c>
      <c r="Y414" s="34">
        <v>0</v>
      </c>
      <c r="Z414" s="34" t="s">
        <v>902</v>
      </c>
      <c r="AA414" s="34">
        <f t="shared" si="19"/>
        <v>0</v>
      </c>
      <c r="AB414" s="34">
        <f t="shared" si="20"/>
        <v>0</v>
      </c>
      <c r="AC414" s="25" t="s">
        <v>689</v>
      </c>
      <c r="AD414" s="468"/>
      <c r="AE414" s="25"/>
      <c r="AF414" s="25"/>
      <c r="AG414" s="25"/>
      <c r="AH414" s="35"/>
    </row>
    <row r="415" spans="1:34" ht="15.6">
      <c r="A415" s="23" t="s">
        <v>254</v>
      </c>
      <c r="B415" s="206">
        <v>6000024457</v>
      </c>
      <c r="C415" s="25" t="s">
        <v>255</v>
      </c>
      <c r="D415" s="25" t="s">
        <v>835</v>
      </c>
      <c r="E415" s="25">
        <v>30</v>
      </c>
      <c r="F415" s="25">
        <v>70</v>
      </c>
      <c r="G415" s="26">
        <f t="shared" si="18"/>
        <v>2100</v>
      </c>
      <c r="H415" s="27" t="s">
        <v>37</v>
      </c>
      <c r="I415" s="37">
        <v>45160</v>
      </c>
      <c r="J415" s="29">
        <v>70</v>
      </c>
      <c r="K415" s="29">
        <v>11</v>
      </c>
      <c r="L415" s="56" t="s">
        <v>76</v>
      </c>
      <c r="M415" s="31">
        <v>0</v>
      </c>
      <c r="N415" s="31">
        <v>0</v>
      </c>
      <c r="O415" s="31" t="s">
        <v>76</v>
      </c>
      <c r="P415" s="32" t="s">
        <v>160</v>
      </c>
      <c r="Q415" s="33">
        <v>8500060434</v>
      </c>
      <c r="R415" s="33">
        <v>5000889158</v>
      </c>
      <c r="S415" s="29">
        <v>70</v>
      </c>
      <c r="T415" s="31"/>
      <c r="U415" s="31" t="s">
        <v>895</v>
      </c>
      <c r="V415" s="31" t="s">
        <v>76</v>
      </c>
      <c r="W415" s="50">
        <v>45162</v>
      </c>
      <c r="X415" s="34">
        <v>70</v>
      </c>
      <c r="Y415" s="34">
        <v>0</v>
      </c>
      <c r="Z415" s="34" t="s">
        <v>902</v>
      </c>
      <c r="AA415" s="34">
        <f t="shared" si="19"/>
        <v>0</v>
      </c>
      <c r="AB415" s="34">
        <f t="shared" si="20"/>
        <v>0</v>
      </c>
      <c r="AC415" s="25" t="s">
        <v>689</v>
      </c>
      <c r="AD415" s="468"/>
      <c r="AE415" s="25"/>
      <c r="AF415" s="25"/>
      <c r="AG415" s="25"/>
      <c r="AH415" s="35"/>
    </row>
    <row r="416" spans="1:34" ht="15.6">
      <c r="A416" s="23" t="s">
        <v>254</v>
      </c>
      <c r="B416" s="206">
        <v>6000024457</v>
      </c>
      <c r="C416" s="25" t="s">
        <v>830</v>
      </c>
      <c r="D416" s="25" t="s">
        <v>244</v>
      </c>
      <c r="E416" s="25">
        <v>2</v>
      </c>
      <c r="F416" s="25">
        <v>5</v>
      </c>
      <c r="G416" s="26">
        <f t="shared" si="18"/>
        <v>10</v>
      </c>
      <c r="H416" s="27" t="s">
        <v>243</v>
      </c>
      <c r="I416" s="28" t="s">
        <v>847</v>
      </c>
      <c r="J416" s="29">
        <v>5</v>
      </c>
      <c r="K416" s="29">
        <v>0</v>
      </c>
      <c r="L416" s="56" t="s">
        <v>76</v>
      </c>
      <c r="M416" s="31">
        <v>0</v>
      </c>
      <c r="N416" s="31">
        <v>0</v>
      </c>
      <c r="O416" s="31" t="s">
        <v>76</v>
      </c>
      <c r="P416" s="32" t="s">
        <v>139</v>
      </c>
      <c r="Q416" s="33" t="s">
        <v>1230</v>
      </c>
      <c r="R416" s="33" t="s">
        <v>1231</v>
      </c>
      <c r="S416" s="29">
        <v>5</v>
      </c>
      <c r="T416" s="31"/>
      <c r="U416" s="31" t="s">
        <v>895</v>
      </c>
      <c r="V416" s="31" t="s">
        <v>76</v>
      </c>
      <c r="W416" s="50">
        <v>45159</v>
      </c>
      <c r="X416" s="34">
        <v>5</v>
      </c>
      <c r="Y416" s="34">
        <v>0</v>
      </c>
      <c r="Z416" s="34" t="s">
        <v>902</v>
      </c>
      <c r="AA416" s="34">
        <f t="shared" si="19"/>
        <v>0</v>
      </c>
      <c r="AB416" s="34">
        <f t="shared" si="20"/>
        <v>0</v>
      </c>
      <c r="AC416" s="25" t="s">
        <v>689</v>
      </c>
      <c r="AD416" s="468"/>
      <c r="AE416" s="25"/>
      <c r="AF416" s="25"/>
      <c r="AG416" s="25"/>
      <c r="AH416" s="35"/>
    </row>
    <row r="417" spans="1:34" ht="31.2">
      <c r="A417" s="23" t="s">
        <v>254</v>
      </c>
      <c r="B417" s="206">
        <v>6000024457</v>
      </c>
      <c r="C417" s="25" t="s">
        <v>830</v>
      </c>
      <c r="D417" s="25" t="s">
        <v>244</v>
      </c>
      <c r="E417" s="25">
        <v>2</v>
      </c>
      <c r="F417" s="25">
        <v>5</v>
      </c>
      <c r="G417" s="26">
        <f t="shared" si="18"/>
        <v>10</v>
      </c>
      <c r="H417" s="27" t="s">
        <v>27</v>
      </c>
      <c r="I417" s="28" t="s">
        <v>836</v>
      </c>
      <c r="J417" s="29">
        <v>5</v>
      </c>
      <c r="K417" s="29">
        <v>5</v>
      </c>
      <c r="L417" s="56" t="s">
        <v>76</v>
      </c>
      <c r="M417" s="31">
        <v>0</v>
      </c>
      <c r="N417" s="31">
        <v>0</v>
      </c>
      <c r="O417" s="31" t="s">
        <v>76</v>
      </c>
      <c r="P417" s="32" t="s">
        <v>160</v>
      </c>
      <c r="Q417" s="33" t="s">
        <v>1230</v>
      </c>
      <c r="R417" s="33" t="s">
        <v>1232</v>
      </c>
      <c r="S417" s="29">
        <v>5</v>
      </c>
      <c r="T417" s="31"/>
      <c r="U417" s="31" t="s">
        <v>895</v>
      </c>
      <c r="V417" s="31" t="s">
        <v>76</v>
      </c>
      <c r="W417" s="50">
        <v>45159</v>
      </c>
      <c r="X417" s="34">
        <v>5</v>
      </c>
      <c r="Y417" s="34">
        <v>0</v>
      </c>
      <c r="Z417" s="34" t="s">
        <v>902</v>
      </c>
      <c r="AA417" s="34">
        <f t="shared" si="19"/>
        <v>0</v>
      </c>
      <c r="AB417" s="34">
        <f t="shared" si="20"/>
        <v>0</v>
      </c>
      <c r="AC417" s="25" t="s">
        <v>689</v>
      </c>
      <c r="AD417" s="468"/>
      <c r="AE417" s="25"/>
      <c r="AF417" s="25"/>
      <c r="AG417" s="25"/>
      <c r="AH417" s="35"/>
    </row>
    <row r="418" spans="1:34" ht="31.2">
      <c r="A418" s="23" t="s">
        <v>254</v>
      </c>
      <c r="B418" s="206">
        <v>6000024457</v>
      </c>
      <c r="C418" s="25" t="s">
        <v>255</v>
      </c>
      <c r="D418" s="25" t="s">
        <v>244</v>
      </c>
      <c r="E418" s="25">
        <v>2</v>
      </c>
      <c r="F418" s="25">
        <f>5+5</f>
        <v>10</v>
      </c>
      <c r="G418" s="26">
        <f t="shared" si="18"/>
        <v>20</v>
      </c>
      <c r="H418" s="27" t="s">
        <v>1394</v>
      </c>
      <c r="I418" s="28" t="s">
        <v>820</v>
      </c>
      <c r="J418" s="29">
        <v>5</v>
      </c>
      <c r="K418" s="29">
        <v>0</v>
      </c>
      <c r="L418" s="56" t="s">
        <v>76</v>
      </c>
      <c r="M418" s="31">
        <v>0</v>
      </c>
      <c r="N418" s="31">
        <v>0</v>
      </c>
      <c r="O418" s="31" t="s">
        <v>76</v>
      </c>
      <c r="P418" s="32" t="s">
        <v>76</v>
      </c>
      <c r="Q418" s="33" t="s">
        <v>76</v>
      </c>
      <c r="R418" s="33" t="s">
        <v>76</v>
      </c>
      <c r="S418" s="29">
        <v>5</v>
      </c>
      <c r="T418" s="31"/>
      <c r="U418" s="31" t="s">
        <v>895</v>
      </c>
      <c r="V418" s="31" t="s">
        <v>76</v>
      </c>
      <c r="W418" s="50">
        <v>45159</v>
      </c>
      <c r="X418" s="34">
        <v>5</v>
      </c>
      <c r="Y418" s="34">
        <v>0</v>
      </c>
      <c r="Z418" s="34" t="s">
        <v>902</v>
      </c>
      <c r="AA418" s="34">
        <f t="shared" si="19"/>
        <v>0</v>
      </c>
      <c r="AB418" s="34">
        <f t="shared" si="20"/>
        <v>0</v>
      </c>
      <c r="AC418" s="25" t="s">
        <v>689</v>
      </c>
      <c r="AD418" s="468"/>
      <c r="AE418" s="25"/>
      <c r="AF418" s="25"/>
      <c r="AG418" s="25"/>
      <c r="AH418" s="35"/>
    </row>
    <row r="419" spans="1:34" ht="31.2">
      <c r="A419" s="23" t="s">
        <v>254</v>
      </c>
      <c r="B419" s="206">
        <v>6000024457</v>
      </c>
      <c r="C419" s="25" t="s">
        <v>255</v>
      </c>
      <c r="D419" s="25" t="s">
        <v>244</v>
      </c>
      <c r="E419" s="25">
        <v>2</v>
      </c>
      <c r="F419" s="25">
        <v>5</v>
      </c>
      <c r="G419" s="26">
        <f t="shared" si="18"/>
        <v>10</v>
      </c>
      <c r="H419" s="27" t="s">
        <v>37</v>
      </c>
      <c r="I419" s="28" t="s">
        <v>820</v>
      </c>
      <c r="J419" s="29">
        <v>5</v>
      </c>
      <c r="K419" s="29">
        <v>0</v>
      </c>
      <c r="L419" s="56" t="s">
        <v>76</v>
      </c>
      <c r="M419" s="31">
        <v>0</v>
      </c>
      <c r="N419" s="31">
        <v>0</v>
      </c>
      <c r="O419" s="31" t="s">
        <v>76</v>
      </c>
      <c r="P419" s="32" t="s">
        <v>160</v>
      </c>
      <c r="Q419" s="33" t="s">
        <v>1233</v>
      </c>
      <c r="R419" s="33" t="s">
        <v>1234</v>
      </c>
      <c r="S419" s="29">
        <v>5</v>
      </c>
      <c r="T419" s="31"/>
      <c r="U419" s="31" t="s">
        <v>895</v>
      </c>
      <c r="V419" s="31" t="s">
        <v>76</v>
      </c>
      <c r="W419" s="50">
        <v>45159</v>
      </c>
      <c r="X419" s="34">
        <v>5</v>
      </c>
      <c r="Y419" s="34">
        <v>0</v>
      </c>
      <c r="Z419" s="34" t="s">
        <v>902</v>
      </c>
      <c r="AA419" s="34">
        <f t="shared" si="19"/>
        <v>0</v>
      </c>
      <c r="AB419" s="34">
        <f t="shared" si="20"/>
        <v>0</v>
      </c>
      <c r="AC419" s="25" t="s">
        <v>689</v>
      </c>
      <c r="AD419" s="469"/>
      <c r="AE419" s="25"/>
      <c r="AF419" s="25"/>
      <c r="AG419" s="25"/>
      <c r="AH419" s="35"/>
    </row>
    <row r="420" spans="1:34" ht="46.8">
      <c r="A420" s="23" t="s">
        <v>157</v>
      </c>
      <c r="B420" s="206">
        <v>6000024453</v>
      </c>
      <c r="C420" s="25" t="s">
        <v>838</v>
      </c>
      <c r="D420" s="25" t="s">
        <v>837</v>
      </c>
      <c r="E420" s="25">
        <v>15</v>
      </c>
      <c r="F420" s="25">
        <v>200</v>
      </c>
      <c r="G420" s="26">
        <f t="shared" si="18"/>
        <v>3000</v>
      </c>
      <c r="H420" s="27" t="s">
        <v>27</v>
      </c>
      <c r="I420" s="28" t="s">
        <v>1896</v>
      </c>
      <c r="J420" s="29">
        <v>200</v>
      </c>
      <c r="K420" s="29">
        <v>6</v>
      </c>
      <c r="L420" s="56" t="s">
        <v>76</v>
      </c>
      <c r="M420" s="31">
        <v>0</v>
      </c>
      <c r="N420" s="31">
        <v>0</v>
      </c>
      <c r="O420" s="31" t="s">
        <v>76</v>
      </c>
      <c r="P420" s="32" t="s">
        <v>1004</v>
      </c>
      <c r="Q420" s="33" t="s">
        <v>1235</v>
      </c>
      <c r="R420" s="33" t="s">
        <v>1236</v>
      </c>
      <c r="S420" s="29">
        <v>200</v>
      </c>
      <c r="T420" s="31"/>
      <c r="U420" s="31" t="s">
        <v>895</v>
      </c>
      <c r="V420" s="31" t="s">
        <v>76</v>
      </c>
      <c r="W420" s="50">
        <v>45163</v>
      </c>
      <c r="X420" s="34">
        <v>200</v>
      </c>
      <c r="Y420" s="34"/>
      <c r="Z420" s="34" t="s">
        <v>902</v>
      </c>
      <c r="AA420" s="34">
        <f t="shared" si="19"/>
        <v>0</v>
      </c>
      <c r="AB420" s="34">
        <f t="shared" si="20"/>
        <v>0</v>
      </c>
      <c r="AC420" s="25" t="s">
        <v>689</v>
      </c>
      <c r="AD420" s="467" t="s">
        <v>1366</v>
      </c>
      <c r="AE420" s="25"/>
      <c r="AF420" s="25"/>
      <c r="AG420" s="25"/>
      <c r="AH420" s="35"/>
    </row>
    <row r="421" spans="1:34" ht="31.2">
      <c r="A421" s="23" t="s">
        <v>157</v>
      </c>
      <c r="B421" s="206"/>
      <c r="C421" s="25"/>
      <c r="D421" s="25"/>
      <c r="E421" s="25">
        <v>15</v>
      </c>
      <c r="F421" s="25">
        <v>200</v>
      </c>
      <c r="G421" s="26">
        <f t="shared" si="18"/>
        <v>3000</v>
      </c>
      <c r="H421" s="27" t="s">
        <v>46</v>
      </c>
      <c r="I421" s="28" t="s">
        <v>836</v>
      </c>
      <c r="J421" s="29">
        <v>200</v>
      </c>
      <c r="K421" s="29">
        <v>4</v>
      </c>
      <c r="L421" s="56" t="s">
        <v>76</v>
      </c>
      <c r="M421" s="31">
        <v>0</v>
      </c>
      <c r="N421" s="31">
        <v>0</v>
      </c>
      <c r="O421" s="31" t="s">
        <v>76</v>
      </c>
      <c r="P421" s="32" t="s">
        <v>160</v>
      </c>
      <c r="Q421" s="33" t="s">
        <v>1237</v>
      </c>
      <c r="R421" s="33" t="s">
        <v>1238</v>
      </c>
      <c r="S421" s="29">
        <v>200</v>
      </c>
      <c r="T421" s="31"/>
      <c r="U421" s="31" t="s">
        <v>895</v>
      </c>
      <c r="V421" s="31" t="s">
        <v>76</v>
      </c>
      <c r="W421" s="50">
        <v>45159</v>
      </c>
      <c r="X421" s="34">
        <v>200</v>
      </c>
      <c r="Y421" s="34">
        <v>0</v>
      </c>
      <c r="Z421" s="34" t="s">
        <v>902</v>
      </c>
      <c r="AA421" s="34">
        <f t="shared" si="19"/>
        <v>0</v>
      </c>
      <c r="AB421" s="34">
        <f t="shared" si="20"/>
        <v>0</v>
      </c>
      <c r="AC421" s="25" t="s">
        <v>689</v>
      </c>
      <c r="AD421" s="468"/>
      <c r="AE421" s="25"/>
      <c r="AF421" s="25"/>
      <c r="AG421" s="25"/>
      <c r="AH421" s="35"/>
    </row>
    <row r="422" spans="1:34" ht="31.2">
      <c r="A422" s="23" t="s">
        <v>157</v>
      </c>
      <c r="B422" s="206"/>
      <c r="C422" s="25"/>
      <c r="D422" s="25"/>
      <c r="E422" s="25">
        <v>15</v>
      </c>
      <c r="F422" s="25">
        <v>40</v>
      </c>
      <c r="G422" s="26">
        <f t="shared" si="18"/>
        <v>600</v>
      </c>
      <c r="H422" s="27" t="s">
        <v>37</v>
      </c>
      <c r="I422" s="28" t="s">
        <v>836</v>
      </c>
      <c r="J422" s="29">
        <v>40</v>
      </c>
      <c r="K422" s="29">
        <v>3</v>
      </c>
      <c r="L422" s="56" t="s">
        <v>76</v>
      </c>
      <c r="M422" s="31">
        <v>0</v>
      </c>
      <c r="N422" s="31">
        <v>0</v>
      </c>
      <c r="O422" s="31" t="s">
        <v>76</v>
      </c>
      <c r="P422" s="32" t="s">
        <v>160</v>
      </c>
      <c r="Q422" s="33" t="s">
        <v>1237</v>
      </c>
      <c r="R422" s="33" t="s">
        <v>1238</v>
      </c>
      <c r="S422" s="29">
        <v>40</v>
      </c>
      <c r="T422" s="31"/>
      <c r="U422" s="31" t="s">
        <v>895</v>
      </c>
      <c r="V422" s="31" t="s">
        <v>76</v>
      </c>
      <c r="W422" s="50">
        <v>45162</v>
      </c>
      <c r="X422" s="34">
        <v>40</v>
      </c>
      <c r="Y422" s="34">
        <v>0</v>
      </c>
      <c r="Z422" s="34" t="s">
        <v>902</v>
      </c>
      <c r="AA422" s="34">
        <f t="shared" si="19"/>
        <v>0</v>
      </c>
      <c r="AB422" s="34">
        <f t="shared" si="20"/>
        <v>0</v>
      </c>
      <c r="AC422" s="25" t="s">
        <v>689</v>
      </c>
      <c r="AD422" s="468"/>
      <c r="AE422" s="25" t="s">
        <v>1352</v>
      </c>
      <c r="AF422" s="25"/>
      <c r="AG422" s="25"/>
      <c r="AH422" s="35"/>
    </row>
    <row r="423" spans="1:34" ht="31.2">
      <c r="A423" s="23" t="s">
        <v>157</v>
      </c>
      <c r="B423" s="206">
        <v>6000024453</v>
      </c>
      <c r="C423" s="25" t="s">
        <v>839</v>
      </c>
      <c r="D423" s="25" t="s">
        <v>837</v>
      </c>
      <c r="E423" s="25">
        <v>15</v>
      </c>
      <c r="F423" s="25">
        <v>60</v>
      </c>
      <c r="G423" s="26">
        <f t="shared" si="18"/>
        <v>900</v>
      </c>
      <c r="H423" s="27" t="s">
        <v>27</v>
      </c>
      <c r="I423" s="28" t="s">
        <v>836</v>
      </c>
      <c r="J423" s="29">
        <v>60</v>
      </c>
      <c r="K423" s="29">
        <v>3</v>
      </c>
      <c r="L423" s="56" t="s">
        <v>76</v>
      </c>
      <c r="M423" s="31">
        <v>0</v>
      </c>
      <c r="N423" s="31">
        <v>0</v>
      </c>
      <c r="O423" s="31" t="s">
        <v>76</v>
      </c>
      <c r="P423" s="32" t="s">
        <v>160</v>
      </c>
      <c r="Q423" s="33" t="s">
        <v>1239</v>
      </c>
      <c r="R423" s="33" t="s">
        <v>1240</v>
      </c>
      <c r="S423" s="29">
        <v>60</v>
      </c>
      <c r="T423" s="31"/>
      <c r="U423" s="31" t="s">
        <v>895</v>
      </c>
      <c r="V423" s="31" t="s">
        <v>76</v>
      </c>
      <c r="W423" s="50">
        <v>45162</v>
      </c>
      <c r="X423" s="34">
        <v>60</v>
      </c>
      <c r="Y423" s="34">
        <v>0</v>
      </c>
      <c r="Z423" s="34" t="s">
        <v>902</v>
      </c>
      <c r="AA423" s="34">
        <f t="shared" si="19"/>
        <v>0</v>
      </c>
      <c r="AB423" s="34">
        <f t="shared" si="20"/>
        <v>0</v>
      </c>
      <c r="AC423" s="25" t="s">
        <v>689</v>
      </c>
      <c r="AD423" s="468"/>
      <c r="AE423" s="25"/>
      <c r="AF423" s="25"/>
      <c r="AG423" s="25"/>
      <c r="AH423" s="35"/>
    </row>
    <row r="424" spans="1:34" ht="15.6">
      <c r="A424" s="23" t="s">
        <v>157</v>
      </c>
      <c r="B424" s="206"/>
      <c r="C424" s="25"/>
      <c r="D424" s="25"/>
      <c r="E424" s="25">
        <v>15</v>
      </c>
      <c r="F424" s="25">
        <v>40</v>
      </c>
      <c r="G424" s="26">
        <f t="shared" si="18"/>
        <v>600</v>
      </c>
      <c r="H424" s="27" t="s">
        <v>46</v>
      </c>
      <c r="I424" s="28" t="s">
        <v>847</v>
      </c>
      <c r="J424" s="29">
        <v>40</v>
      </c>
      <c r="K424" s="29">
        <v>2</v>
      </c>
      <c r="L424" s="56" t="s">
        <v>76</v>
      </c>
      <c r="M424" s="31">
        <v>0</v>
      </c>
      <c r="N424" s="31">
        <v>0</v>
      </c>
      <c r="O424" s="31" t="s">
        <v>76</v>
      </c>
      <c r="P424" s="32" t="s">
        <v>139</v>
      </c>
      <c r="Q424" s="33" t="s">
        <v>1239</v>
      </c>
      <c r="R424" s="33" t="s">
        <v>1241</v>
      </c>
      <c r="S424" s="29">
        <v>40</v>
      </c>
      <c r="T424" s="31"/>
      <c r="U424" s="31" t="s">
        <v>895</v>
      </c>
      <c r="V424" s="31" t="s">
        <v>76</v>
      </c>
      <c r="W424" s="50">
        <v>45162</v>
      </c>
      <c r="X424" s="34">
        <v>40</v>
      </c>
      <c r="Y424" s="34">
        <v>0</v>
      </c>
      <c r="Z424" s="34" t="s">
        <v>902</v>
      </c>
      <c r="AA424" s="34">
        <f t="shared" si="19"/>
        <v>0</v>
      </c>
      <c r="AB424" s="34">
        <f t="shared" si="20"/>
        <v>0</v>
      </c>
      <c r="AC424" s="25" t="s">
        <v>689</v>
      </c>
      <c r="AD424" s="468"/>
      <c r="AE424" s="25"/>
      <c r="AF424" s="25"/>
      <c r="AG424" s="25"/>
      <c r="AH424" s="35"/>
    </row>
    <row r="425" spans="1:34" ht="15.6">
      <c r="A425" s="23" t="s">
        <v>157</v>
      </c>
      <c r="B425" s="206"/>
      <c r="C425" s="25"/>
      <c r="D425" s="25"/>
      <c r="E425" s="25">
        <v>15</v>
      </c>
      <c r="F425" s="25">
        <v>40</v>
      </c>
      <c r="G425" s="26">
        <f t="shared" si="18"/>
        <v>600</v>
      </c>
      <c r="H425" s="27" t="s">
        <v>37</v>
      </c>
      <c r="I425" s="28" t="s">
        <v>847</v>
      </c>
      <c r="J425" s="29">
        <v>40</v>
      </c>
      <c r="K425" s="29">
        <v>2</v>
      </c>
      <c r="L425" s="56" t="s">
        <v>76</v>
      </c>
      <c r="M425" s="31">
        <v>0</v>
      </c>
      <c r="N425" s="31">
        <v>0</v>
      </c>
      <c r="O425" s="31" t="s">
        <v>76</v>
      </c>
      <c r="P425" s="32" t="s">
        <v>139</v>
      </c>
      <c r="Q425" s="33" t="s">
        <v>1239</v>
      </c>
      <c r="R425" s="33" t="s">
        <v>1241</v>
      </c>
      <c r="S425" s="29">
        <v>40</v>
      </c>
      <c r="T425" s="31"/>
      <c r="U425" s="31" t="s">
        <v>895</v>
      </c>
      <c r="V425" s="31" t="s">
        <v>76</v>
      </c>
      <c r="W425" s="50">
        <v>45162</v>
      </c>
      <c r="X425" s="34">
        <v>40</v>
      </c>
      <c r="Y425" s="34">
        <v>0</v>
      </c>
      <c r="Z425" s="34" t="s">
        <v>902</v>
      </c>
      <c r="AA425" s="34">
        <f t="shared" si="19"/>
        <v>0</v>
      </c>
      <c r="AB425" s="34">
        <f t="shared" si="20"/>
        <v>0</v>
      </c>
      <c r="AC425" s="25" t="s">
        <v>689</v>
      </c>
      <c r="AD425" s="468"/>
      <c r="AE425" s="25"/>
      <c r="AF425" s="25"/>
      <c r="AG425" s="25"/>
      <c r="AH425" s="35"/>
    </row>
    <row r="426" spans="1:34" ht="31.2">
      <c r="A426" s="23" t="s">
        <v>157</v>
      </c>
      <c r="B426" s="206">
        <v>6000024454</v>
      </c>
      <c r="C426" s="25" t="s">
        <v>838</v>
      </c>
      <c r="D426" s="25" t="s">
        <v>840</v>
      </c>
      <c r="E426" s="25">
        <v>15</v>
      </c>
      <c r="F426" s="25">
        <v>220</v>
      </c>
      <c r="G426" s="26">
        <f t="shared" si="18"/>
        <v>3300</v>
      </c>
      <c r="H426" s="27" t="s">
        <v>27</v>
      </c>
      <c r="I426" s="28" t="s">
        <v>836</v>
      </c>
      <c r="J426" s="29">
        <v>220</v>
      </c>
      <c r="K426" s="29">
        <v>5</v>
      </c>
      <c r="L426" s="56" t="s">
        <v>76</v>
      </c>
      <c r="M426" s="31">
        <v>0</v>
      </c>
      <c r="N426" s="31">
        <v>0</v>
      </c>
      <c r="O426" s="31" t="s">
        <v>76</v>
      </c>
      <c r="P426" s="32" t="s">
        <v>160</v>
      </c>
      <c r="Q426" s="33" t="s">
        <v>1242</v>
      </c>
      <c r="R426" s="33" t="s">
        <v>1243</v>
      </c>
      <c r="S426" s="29">
        <v>220</v>
      </c>
      <c r="T426" s="31"/>
      <c r="U426" s="31" t="s">
        <v>895</v>
      </c>
      <c r="V426" s="31" t="s">
        <v>76</v>
      </c>
      <c r="W426" s="50">
        <v>45164</v>
      </c>
      <c r="X426" s="34">
        <v>220</v>
      </c>
      <c r="Y426" s="34">
        <v>0</v>
      </c>
      <c r="Z426" s="34" t="s">
        <v>902</v>
      </c>
      <c r="AA426" s="34">
        <f t="shared" si="19"/>
        <v>0</v>
      </c>
      <c r="AB426" s="34">
        <f t="shared" si="20"/>
        <v>0</v>
      </c>
      <c r="AC426" s="25" t="s">
        <v>689</v>
      </c>
      <c r="AD426" s="468"/>
      <c r="AE426" s="25"/>
      <c r="AF426" s="25"/>
      <c r="AG426" s="25"/>
      <c r="AH426" s="35"/>
    </row>
    <row r="427" spans="1:34" ht="31.2">
      <c r="A427" s="23" t="s">
        <v>157</v>
      </c>
      <c r="B427" s="206"/>
      <c r="C427" s="25"/>
      <c r="D427" s="25"/>
      <c r="E427" s="25">
        <v>15</v>
      </c>
      <c r="F427" s="25">
        <v>210</v>
      </c>
      <c r="G427" s="26">
        <f t="shared" si="18"/>
        <v>3150</v>
      </c>
      <c r="H427" s="27" t="s">
        <v>46</v>
      </c>
      <c r="I427" s="28" t="s">
        <v>836</v>
      </c>
      <c r="J427" s="29">
        <v>210</v>
      </c>
      <c r="K427" s="29">
        <v>5</v>
      </c>
      <c r="L427" s="56" t="s">
        <v>76</v>
      </c>
      <c r="M427" s="31">
        <v>0</v>
      </c>
      <c r="N427" s="31">
        <v>0</v>
      </c>
      <c r="O427" s="31" t="s">
        <v>76</v>
      </c>
      <c r="P427" s="32" t="s">
        <v>160</v>
      </c>
      <c r="Q427" s="33" t="s">
        <v>1242</v>
      </c>
      <c r="R427" s="33" t="s">
        <v>1243</v>
      </c>
      <c r="S427" s="29">
        <v>210</v>
      </c>
      <c r="T427" s="31"/>
      <c r="U427" s="31" t="s">
        <v>895</v>
      </c>
      <c r="V427" s="31" t="s">
        <v>76</v>
      </c>
      <c r="W427" s="50">
        <v>45162</v>
      </c>
      <c r="X427" s="34">
        <v>210</v>
      </c>
      <c r="Y427" s="34">
        <v>0</v>
      </c>
      <c r="Z427" s="34" t="s">
        <v>902</v>
      </c>
      <c r="AA427" s="34">
        <f t="shared" si="19"/>
        <v>0</v>
      </c>
      <c r="AB427" s="34">
        <f t="shared" si="20"/>
        <v>0</v>
      </c>
      <c r="AC427" s="25" t="s">
        <v>689</v>
      </c>
      <c r="AD427" s="468"/>
      <c r="AE427" s="25"/>
      <c r="AF427" s="25"/>
      <c r="AG427" s="25"/>
      <c r="AH427" s="35"/>
    </row>
    <row r="428" spans="1:34" ht="31.2">
      <c r="A428" s="23" t="s">
        <v>157</v>
      </c>
      <c r="B428" s="206"/>
      <c r="C428" s="25"/>
      <c r="D428" s="25"/>
      <c r="E428" s="25">
        <v>15</v>
      </c>
      <c r="F428" s="25">
        <v>50</v>
      </c>
      <c r="G428" s="26">
        <f t="shared" si="18"/>
        <v>750</v>
      </c>
      <c r="H428" s="27" t="s">
        <v>37</v>
      </c>
      <c r="I428" s="28" t="s">
        <v>836</v>
      </c>
      <c r="J428" s="29">
        <v>50</v>
      </c>
      <c r="K428" s="29">
        <v>2</v>
      </c>
      <c r="L428" s="56" t="s">
        <v>76</v>
      </c>
      <c r="M428" s="31">
        <v>0</v>
      </c>
      <c r="N428" s="31">
        <v>0</v>
      </c>
      <c r="O428" s="31" t="s">
        <v>76</v>
      </c>
      <c r="P428" s="32" t="s">
        <v>160</v>
      </c>
      <c r="Q428" s="33" t="s">
        <v>1242</v>
      </c>
      <c r="R428" s="33" t="s">
        <v>1243</v>
      </c>
      <c r="S428" s="29">
        <v>50</v>
      </c>
      <c r="T428" s="31"/>
      <c r="U428" s="31" t="s">
        <v>895</v>
      </c>
      <c r="V428" s="31" t="s">
        <v>76</v>
      </c>
      <c r="W428" s="50">
        <v>45162</v>
      </c>
      <c r="X428" s="34">
        <v>50</v>
      </c>
      <c r="Y428" s="34">
        <v>0</v>
      </c>
      <c r="Z428" s="34" t="s">
        <v>902</v>
      </c>
      <c r="AA428" s="34">
        <f t="shared" si="19"/>
        <v>0</v>
      </c>
      <c r="AB428" s="34">
        <f t="shared" si="20"/>
        <v>0</v>
      </c>
      <c r="AC428" s="25" t="s">
        <v>689</v>
      </c>
      <c r="AD428" s="468"/>
      <c r="AE428" s="25"/>
      <c r="AF428" s="25"/>
      <c r="AG428" s="25"/>
      <c r="AH428" s="35"/>
    </row>
    <row r="429" spans="1:34" ht="31.2">
      <c r="A429" s="23" t="s">
        <v>157</v>
      </c>
      <c r="B429" s="206">
        <v>6000024454</v>
      </c>
      <c r="C429" s="25" t="s">
        <v>839</v>
      </c>
      <c r="D429" s="25" t="s">
        <v>840</v>
      </c>
      <c r="E429" s="25">
        <v>15</v>
      </c>
      <c r="F429" s="25">
        <v>60</v>
      </c>
      <c r="G429" s="26">
        <f t="shared" si="18"/>
        <v>900</v>
      </c>
      <c r="H429" s="27" t="s">
        <v>27</v>
      </c>
      <c r="I429" s="28" t="s">
        <v>836</v>
      </c>
      <c r="J429" s="29">
        <v>60</v>
      </c>
      <c r="K429" s="29">
        <v>2</v>
      </c>
      <c r="L429" s="56" t="s">
        <v>76</v>
      </c>
      <c r="M429" s="31">
        <v>0</v>
      </c>
      <c r="N429" s="31">
        <v>0</v>
      </c>
      <c r="O429" s="31" t="s">
        <v>76</v>
      </c>
      <c r="P429" s="32" t="s">
        <v>160</v>
      </c>
      <c r="Q429" s="33" t="s">
        <v>1212</v>
      </c>
      <c r="R429" s="33" t="s">
        <v>1244</v>
      </c>
      <c r="S429" s="29">
        <v>60</v>
      </c>
      <c r="T429" s="31"/>
      <c r="U429" s="31" t="s">
        <v>895</v>
      </c>
      <c r="V429" s="31" t="s">
        <v>76</v>
      </c>
      <c r="W429" s="50">
        <v>45162</v>
      </c>
      <c r="X429" s="34">
        <v>60</v>
      </c>
      <c r="Y429" s="34">
        <v>0</v>
      </c>
      <c r="Z429" s="34" t="s">
        <v>902</v>
      </c>
      <c r="AA429" s="34">
        <f t="shared" si="19"/>
        <v>0</v>
      </c>
      <c r="AB429" s="34">
        <f t="shared" si="20"/>
        <v>0</v>
      </c>
      <c r="AC429" s="25" t="s">
        <v>689</v>
      </c>
      <c r="AD429" s="468"/>
      <c r="AE429" s="25"/>
      <c r="AF429" s="25"/>
      <c r="AG429" s="25"/>
      <c r="AH429" s="35"/>
    </row>
    <row r="430" spans="1:34" ht="15.6">
      <c r="A430" s="23" t="s">
        <v>157</v>
      </c>
      <c r="B430" s="206"/>
      <c r="C430" s="25"/>
      <c r="D430" s="25"/>
      <c r="E430" s="25">
        <v>15</v>
      </c>
      <c r="F430" s="25">
        <v>40</v>
      </c>
      <c r="G430" s="26">
        <f t="shared" si="18"/>
        <v>600</v>
      </c>
      <c r="H430" s="27" t="s">
        <v>46</v>
      </c>
      <c r="I430" s="28" t="s">
        <v>847</v>
      </c>
      <c r="J430" s="29">
        <v>40</v>
      </c>
      <c r="K430" s="29">
        <v>2</v>
      </c>
      <c r="L430" s="56" t="s">
        <v>76</v>
      </c>
      <c r="M430" s="31">
        <v>0</v>
      </c>
      <c r="N430" s="31">
        <v>0</v>
      </c>
      <c r="O430" s="31" t="s">
        <v>76</v>
      </c>
      <c r="P430" s="32" t="s">
        <v>139</v>
      </c>
      <c r="Q430" s="33" t="s">
        <v>1212</v>
      </c>
      <c r="R430" s="33" t="s">
        <v>1245</v>
      </c>
      <c r="S430" s="29">
        <v>40</v>
      </c>
      <c r="T430" s="31"/>
      <c r="U430" s="31" t="s">
        <v>895</v>
      </c>
      <c r="V430" s="31" t="s">
        <v>76</v>
      </c>
      <c r="W430" s="50">
        <v>45162</v>
      </c>
      <c r="X430" s="34">
        <v>40</v>
      </c>
      <c r="Y430" s="34">
        <v>0</v>
      </c>
      <c r="Z430" s="34" t="s">
        <v>902</v>
      </c>
      <c r="AA430" s="34">
        <f t="shared" si="19"/>
        <v>0</v>
      </c>
      <c r="AB430" s="34">
        <f t="shared" si="20"/>
        <v>0</v>
      </c>
      <c r="AC430" s="25" t="s">
        <v>689</v>
      </c>
      <c r="AD430" s="468"/>
      <c r="AE430" s="25"/>
      <c r="AF430" s="25"/>
      <c r="AG430" s="25"/>
      <c r="AH430" s="35"/>
    </row>
    <row r="431" spans="1:34" ht="15.6">
      <c r="A431" s="23" t="s">
        <v>157</v>
      </c>
      <c r="B431" s="206">
        <v>6000024455</v>
      </c>
      <c r="C431" s="25" t="s">
        <v>838</v>
      </c>
      <c r="D431" s="25" t="s">
        <v>841</v>
      </c>
      <c r="E431" s="25">
        <v>15</v>
      </c>
      <c r="F431" s="25">
        <v>40</v>
      </c>
      <c r="G431" s="26">
        <f t="shared" si="18"/>
        <v>600</v>
      </c>
      <c r="H431" s="27" t="s">
        <v>243</v>
      </c>
      <c r="I431" s="28" t="s">
        <v>847</v>
      </c>
      <c r="J431" s="29">
        <v>40</v>
      </c>
      <c r="K431" s="29">
        <v>3</v>
      </c>
      <c r="L431" s="56" t="s">
        <v>76</v>
      </c>
      <c r="M431" s="31">
        <v>0</v>
      </c>
      <c r="N431" s="31">
        <v>0</v>
      </c>
      <c r="O431" s="31" t="s">
        <v>76</v>
      </c>
      <c r="P431" s="32" t="s">
        <v>139</v>
      </c>
      <c r="Q431" s="33" t="s">
        <v>1246</v>
      </c>
      <c r="R431" s="33" t="s">
        <v>1247</v>
      </c>
      <c r="S431" s="29">
        <v>40</v>
      </c>
      <c r="T431" s="31"/>
      <c r="U431" s="31" t="s">
        <v>895</v>
      </c>
      <c r="V431" s="31" t="s">
        <v>76</v>
      </c>
      <c r="W431" s="50">
        <v>45162</v>
      </c>
      <c r="X431" s="34">
        <v>40</v>
      </c>
      <c r="Y431" s="34">
        <v>0</v>
      </c>
      <c r="Z431" s="34" t="s">
        <v>902</v>
      </c>
      <c r="AA431" s="34">
        <f t="shared" si="19"/>
        <v>0</v>
      </c>
      <c r="AB431" s="34">
        <f t="shared" si="20"/>
        <v>0</v>
      </c>
      <c r="AC431" s="25" t="s">
        <v>689</v>
      </c>
      <c r="AD431" s="468"/>
      <c r="AE431" s="25"/>
      <c r="AF431" s="25"/>
      <c r="AG431" s="25"/>
      <c r="AH431" s="35"/>
    </row>
    <row r="432" spans="1:34" ht="31.2">
      <c r="A432" s="23" t="s">
        <v>157</v>
      </c>
      <c r="B432" s="206"/>
      <c r="C432" s="25"/>
      <c r="D432" s="25"/>
      <c r="E432" s="25">
        <v>15</v>
      </c>
      <c r="F432" s="25">
        <v>220</v>
      </c>
      <c r="G432" s="26">
        <f t="shared" si="18"/>
        <v>3300</v>
      </c>
      <c r="H432" s="27" t="s">
        <v>27</v>
      </c>
      <c r="I432" s="28" t="s">
        <v>836</v>
      </c>
      <c r="J432" s="29">
        <v>220</v>
      </c>
      <c r="K432" s="29">
        <v>6</v>
      </c>
      <c r="L432" s="56" t="s">
        <v>76</v>
      </c>
      <c r="M432" s="31">
        <v>0</v>
      </c>
      <c r="N432" s="31">
        <v>0</v>
      </c>
      <c r="O432" s="31" t="s">
        <v>76</v>
      </c>
      <c r="P432" s="32" t="s">
        <v>160</v>
      </c>
      <c r="Q432" s="33" t="s">
        <v>1246</v>
      </c>
      <c r="R432" s="33" t="s">
        <v>1248</v>
      </c>
      <c r="S432" s="29">
        <v>220</v>
      </c>
      <c r="T432" s="31"/>
      <c r="U432" s="31" t="s">
        <v>895</v>
      </c>
      <c r="V432" s="31" t="s">
        <v>76</v>
      </c>
      <c r="W432" s="50">
        <v>45162</v>
      </c>
      <c r="X432" s="34">
        <v>220</v>
      </c>
      <c r="Y432" s="34">
        <v>0</v>
      </c>
      <c r="Z432" s="34" t="s">
        <v>902</v>
      </c>
      <c r="AA432" s="34">
        <f t="shared" si="19"/>
        <v>0</v>
      </c>
      <c r="AB432" s="34">
        <f t="shared" si="20"/>
        <v>0</v>
      </c>
      <c r="AC432" s="25" t="s">
        <v>689</v>
      </c>
      <c r="AD432" s="468"/>
      <c r="AE432" s="25"/>
      <c r="AF432" s="25"/>
      <c r="AG432" s="25"/>
      <c r="AH432" s="35"/>
    </row>
    <row r="433" spans="1:34" ht="31.2">
      <c r="A433" s="23" t="s">
        <v>157</v>
      </c>
      <c r="B433" s="206"/>
      <c r="C433" s="25"/>
      <c r="D433" s="25"/>
      <c r="E433" s="25">
        <v>15</v>
      </c>
      <c r="F433" s="25">
        <v>100</v>
      </c>
      <c r="G433" s="26">
        <f t="shared" si="18"/>
        <v>1500</v>
      </c>
      <c r="H433" s="27" t="s">
        <v>46</v>
      </c>
      <c r="I433" s="28" t="s">
        <v>836</v>
      </c>
      <c r="J433" s="29">
        <v>100</v>
      </c>
      <c r="K433" s="29">
        <v>3</v>
      </c>
      <c r="L433" s="56" t="s">
        <v>76</v>
      </c>
      <c r="M433" s="31">
        <v>0</v>
      </c>
      <c r="N433" s="31">
        <v>0</v>
      </c>
      <c r="O433" s="31" t="s">
        <v>76</v>
      </c>
      <c r="P433" s="32" t="s">
        <v>160</v>
      </c>
      <c r="Q433" s="33" t="s">
        <v>1246</v>
      </c>
      <c r="R433" s="33" t="s">
        <v>1248</v>
      </c>
      <c r="S433" s="29">
        <v>100</v>
      </c>
      <c r="T433" s="31"/>
      <c r="U433" s="31" t="s">
        <v>895</v>
      </c>
      <c r="V433" s="31" t="s">
        <v>76</v>
      </c>
      <c r="W433" s="50">
        <v>45162</v>
      </c>
      <c r="X433" s="34">
        <v>100</v>
      </c>
      <c r="Y433" s="34">
        <v>0</v>
      </c>
      <c r="Z433" s="34" t="s">
        <v>902</v>
      </c>
      <c r="AA433" s="34">
        <f t="shared" si="19"/>
        <v>0</v>
      </c>
      <c r="AB433" s="34">
        <f t="shared" si="20"/>
        <v>0</v>
      </c>
      <c r="AC433" s="25" t="s">
        <v>689</v>
      </c>
      <c r="AD433" s="468"/>
      <c r="AE433" s="25"/>
      <c r="AF433" s="25"/>
      <c r="AG433" s="25"/>
      <c r="AH433" s="35"/>
    </row>
    <row r="434" spans="1:34" ht="31.2">
      <c r="A434" s="23" t="s">
        <v>157</v>
      </c>
      <c r="B434" s="206"/>
      <c r="C434" s="25"/>
      <c r="D434" s="25"/>
      <c r="E434" s="25">
        <v>15</v>
      </c>
      <c r="F434" s="25">
        <v>40</v>
      </c>
      <c r="G434" s="26">
        <f t="shared" si="18"/>
        <v>600</v>
      </c>
      <c r="H434" s="27" t="s">
        <v>37</v>
      </c>
      <c r="I434" s="28" t="s">
        <v>836</v>
      </c>
      <c r="J434" s="29">
        <v>40</v>
      </c>
      <c r="K434" s="29">
        <v>2</v>
      </c>
      <c r="L434" s="56" t="s">
        <v>76</v>
      </c>
      <c r="M434" s="31">
        <v>0</v>
      </c>
      <c r="N434" s="31">
        <v>0</v>
      </c>
      <c r="O434" s="31" t="s">
        <v>76</v>
      </c>
      <c r="P434" s="32" t="s">
        <v>160</v>
      </c>
      <c r="Q434" s="33" t="s">
        <v>1246</v>
      </c>
      <c r="R434" s="33" t="s">
        <v>1249</v>
      </c>
      <c r="S434" s="29">
        <v>40</v>
      </c>
      <c r="T434" s="31"/>
      <c r="U434" s="31" t="s">
        <v>895</v>
      </c>
      <c r="V434" s="31" t="s">
        <v>76</v>
      </c>
      <c r="W434" s="50">
        <v>45162</v>
      </c>
      <c r="X434" s="34">
        <v>40</v>
      </c>
      <c r="Y434" s="34">
        <v>0</v>
      </c>
      <c r="Z434" s="34" t="s">
        <v>902</v>
      </c>
      <c r="AA434" s="34">
        <f t="shared" si="19"/>
        <v>0</v>
      </c>
      <c r="AB434" s="34">
        <f t="shared" si="20"/>
        <v>0</v>
      </c>
      <c r="AC434" s="25" t="s">
        <v>689</v>
      </c>
      <c r="AD434" s="468"/>
      <c r="AE434" s="25"/>
      <c r="AF434" s="25"/>
      <c r="AG434" s="25"/>
      <c r="AH434" s="35"/>
    </row>
    <row r="435" spans="1:34" ht="31.2">
      <c r="A435" s="23" t="s">
        <v>157</v>
      </c>
      <c r="B435" s="206">
        <v>6000024455</v>
      </c>
      <c r="C435" s="25" t="s">
        <v>839</v>
      </c>
      <c r="D435" s="25" t="s">
        <v>841</v>
      </c>
      <c r="E435" s="25">
        <v>15</v>
      </c>
      <c r="F435" s="25">
        <v>80</v>
      </c>
      <c r="G435" s="26">
        <f t="shared" si="18"/>
        <v>1200</v>
      </c>
      <c r="H435" s="27" t="s">
        <v>27</v>
      </c>
      <c r="I435" s="28" t="s">
        <v>836</v>
      </c>
      <c r="J435" s="29">
        <v>80</v>
      </c>
      <c r="K435" s="29">
        <v>3</v>
      </c>
      <c r="L435" s="56" t="s">
        <v>76</v>
      </c>
      <c r="M435" s="31">
        <v>0</v>
      </c>
      <c r="N435" s="31">
        <v>0</v>
      </c>
      <c r="O435" s="31" t="s">
        <v>76</v>
      </c>
      <c r="P435" s="32" t="s">
        <v>160</v>
      </c>
      <c r="Q435" s="33" t="s">
        <v>1250</v>
      </c>
      <c r="R435" s="33" t="s">
        <v>1251</v>
      </c>
      <c r="S435" s="29">
        <v>80</v>
      </c>
      <c r="T435" s="31"/>
      <c r="U435" s="31" t="s">
        <v>895</v>
      </c>
      <c r="V435" s="31" t="s">
        <v>76</v>
      </c>
      <c r="W435" s="50">
        <v>45162</v>
      </c>
      <c r="X435" s="34">
        <v>80</v>
      </c>
      <c r="Y435" s="34">
        <v>0</v>
      </c>
      <c r="Z435" s="34" t="s">
        <v>902</v>
      </c>
      <c r="AA435" s="34">
        <f t="shared" si="19"/>
        <v>0</v>
      </c>
      <c r="AB435" s="34">
        <f t="shared" si="20"/>
        <v>0</v>
      </c>
      <c r="AC435" s="25" t="s">
        <v>689</v>
      </c>
      <c r="AD435" s="468"/>
      <c r="AE435" s="25"/>
      <c r="AF435" s="25"/>
      <c r="AG435" s="25"/>
      <c r="AH435" s="35"/>
    </row>
    <row r="436" spans="1:34" ht="15.6">
      <c r="A436" s="23" t="s">
        <v>157</v>
      </c>
      <c r="B436" s="206"/>
      <c r="C436" s="25"/>
      <c r="D436" s="25"/>
      <c r="E436" s="25">
        <v>15</v>
      </c>
      <c r="F436" s="25">
        <v>60</v>
      </c>
      <c r="G436" s="26">
        <f t="shared" si="18"/>
        <v>900</v>
      </c>
      <c r="H436" s="27" t="s">
        <v>46</v>
      </c>
      <c r="I436" s="28" t="s">
        <v>847</v>
      </c>
      <c r="J436" s="29">
        <v>60</v>
      </c>
      <c r="K436" s="29">
        <v>2</v>
      </c>
      <c r="L436" s="56" t="s">
        <v>76</v>
      </c>
      <c r="M436" s="31">
        <v>0</v>
      </c>
      <c r="N436" s="31">
        <v>0</v>
      </c>
      <c r="O436" s="31" t="s">
        <v>76</v>
      </c>
      <c r="P436" s="32" t="s">
        <v>139</v>
      </c>
      <c r="Q436" s="33" t="s">
        <v>1250</v>
      </c>
      <c r="R436" s="33" t="s">
        <v>1252</v>
      </c>
      <c r="S436" s="29">
        <v>60</v>
      </c>
      <c r="T436" s="31"/>
      <c r="U436" s="31" t="s">
        <v>895</v>
      </c>
      <c r="V436" s="31" t="s">
        <v>76</v>
      </c>
      <c r="W436" s="50">
        <v>45162</v>
      </c>
      <c r="X436" s="34">
        <v>60</v>
      </c>
      <c r="Y436" s="34">
        <v>0</v>
      </c>
      <c r="Z436" s="34" t="s">
        <v>902</v>
      </c>
      <c r="AA436" s="34">
        <f t="shared" si="19"/>
        <v>0</v>
      </c>
      <c r="AB436" s="34">
        <f t="shared" si="20"/>
        <v>0</v>
      </c>
      <c r="AC436" s="25" t="s">
        <v>689</v>
      </c>
      <c r="AD436" s="468"/>
      <c r="AE436" s="25"/>
      <c r="AF436" s="25"/>
      <c r="AG436" s="25"/>
      <c r="AH436" s="35"/>
    </row>
    <row r="437" spans="1:34" ht="15.6">
      <c r="A437" s="23" t="s">
        <v>157</v>
      </c>
      <c r="B437" s="206"/>
      <c r="C437" s="25"/>
      <c r="D437" s="25"/>
      <c r="E437" s="25">
        <v>15</v>
      </c>
      <c r="F437" s="25">
        <v>40</v>
      </c>
      <c r="G437" s="26">
        <f t="shared" si="18"/>
        <v>600</v>
      </c>
      <c r="H437" s="27" t="s">
        <v>37</v>
      </c>
      <c r="I437" s="28" t="s">
        <v>847</v>
      </c>
      <c r="J437" s="29">
        <v>40</v>
      </c>
      <c r="K437" s="29">
        <v>2</v>
      </c>
      <c r="L437" s="56" t="s">
        <v>76</v>
      </c>
      <c r="M437" s="31">
        <v>0</v>
      </c>
      <c r="N437" s="31">
        <v>0</v>
      </c>
      <c r="O437" s="31" t="s">
        <v>76</v>
      </c>
      <c r="P437" s="32" t="s">
        <v>139</v>
      </c>
      <c r="Q437" s="33" t="s">
        <v>1250</v>
      </c>
      <c r="R437" s="33" t="s">
        <v>1252</v>
      </c>
      <c r="S437" s="29">
        <v>40</v>
      </c>
      <c r="T437" s="31"/>
      <c r="U437" s="31" t="s">
        <v>895</v>
      </c>
      <c r="V437" s="31" t="s">
        <v>76</v>
      </c>
      <c r="W437" s="50">
        <v>45162</v>
      </c>
      <c r="X437" s="34">
        <v>40</v>
      </c>
      <c r="Y437" s="34">
        <v>0</v>
      </c>
      <c r="Z437" s="34" t="s">
        <v>902</v>
      </c>
      <c r="AA437" s="34">
        <f t="shared" si="19"/>
        <v>0</v>
      </c>
      <c r="AB437" s="34">
        <f t="shared" si="20"/>
        <v>0</v>
      </c>
      <c r="AC437" s="25" t="s">
        <v>689</v>
      </c>
      <c r="AD437" s="469"/>
      <c r="AE437" s="25"/>
      <c r="AF437" s="25"/>
      <c r="AG437" s="25"/>
      <c r="AH437" s="35"/>
    </row>
    <row r="438" spans="1:34" ht="15.6">
      <c r="A438" s="23" t="s">
        <v>178</v>
      </c>
      <c r="B438" s="81">
        <v>6000024497</v>
      </c>
      <c r="C438" s="25" t="s">
        <v>842</v>
      </c>
      <c r="D438" s="25">
        <v>4923095002</v>
      </c>
      <c r="E438" s="25">
        <v>4</v>
      </c>
      <c r="F438" s="25">
        <v>210</v>
      </c>
      <c r="G438" s="26">
        <f t="shared" si="18"/>
        <v>840</v>
      </c>
      <c r="H438" s="27" t="s">
        <v>27</v>
      </c>
      <c r="I438" s="37">
        <v>45160</v>
      </c>
      <c r="J438" s="29">
        <v>210</v>
      </c>
      <c r="K438" s="29">
        <v>5</v>
      </c>
      <c r="L438" s="57">
        <v>45160</v>
      </c>
      <c r="M438" s="31">
        <v>840</v>
      </c>
      <c r="N438" s="31">
        <v>8</v>
      </c>
      <c r="O438" s="31" t="s">
        <v>1348</v>
      </c>
      <c r="P438" s="32" t="s">
        <v>28</v>
      </c>
      <c r="Q438" s="33">
        <v>8500060640</v>
      </c>
      <c r="R438" s="33">
        <v>5000889017</v>
      </c>
      <c r="S438" s="29">
        <v>210</v>
      </c>
      <c r="T438" s="31" t="s">
        <v>87</v>
      </c>
      <c r="U438" s="31">
        <v>8500060639</v>
      </c>
      <c r="V438" s="31">
        <v>5000889018</v>
      </c>
      <c r="W438" s="50">
        <v>45182</v>
      </c>
      <c r="X438" s="34">
        <v>210</v>
      </c>
      <c r="Y438" s="34">
        <v>840</v>
      </c>
      <c r="Z438" s="34" t="s">
        <v>1559</v>
      </c>
      <c r="AA438" s="34">
        <f t="shared" si="19"/>
        <v>0</v>
      </c>
      <c r="AB438" s="34">
        <f t="shared" si="20"/>
        <v>0</v>
      </c>
      <c r="AC438" s="25" t="s">
        <v>689</v>
      </c>
      <c r="AD438" s="25"/>
      <c r="AE438" s="25"/>
      <c r="AF438" s="25"/>
      <c r="AG438" s="25"/>
      <c r="AH438" s="35"/>
    </row>
    <row r="439" spans="1:34" ht="15.6">
      <c r="A439" s="23" t="s">
        <v>178</v>
      </c>
      <c r="B439" s="81"/>
      <c r="C439" s="25"/>
      <c r="D439" s="25"/>
      <c r="E439" s="25">
        <v>4</v>
      </c>
      <c r="F439" s="25">
        <v>600</v>
      </c>
      <c r="G439" s="26">
        <f t="shared" si="18"/>
        <v>2400</v>
      </c>
      <c r="H439" s="27" t="s">
        <v>46</v>
      </c>
      <c r="I439" s="37">
        <v>45160</v>
      </c>
      <c r="J439" s="29">
        <v>600</v>
      </c>
      <c r="K439" s="29">
        <v>9</v>
      </c>
      <c r="L439" s="57">
        <v>45160</v>
      </c>
      <c r="M439" s="31">
        <v>2400</v>
      </c>
      <c r="N439" s="31">
        <v>24</v>
      </c>
      <c r="O439" s="31" t="s">
        <v>1349</v>
      </c>
      <c r="P439" s="32" t="s">
        <v>28</v>
      </c>
      <c r="Q439" s="33">
        <v>8500060640</v>
      </c>
      <c r="R439" s="33">
        <v>5000889017</v>
      </c>
      <c r="S439" s="29">
        <v>600</v>
      </c>
      <c r="T439" s="31" t="s">
        <v>87</v>
      </c>
      <c r="U439" s="31">
        <v>8500060639</v>
      </c>
      <c r="V439" s="31">
        <v>5000889018</v>
      </c>
      <c r="W439" s="50">
        <v>45182</v>
      </c>
      <c r="X439" s="34">
        <v>600</v>
      </c>
      <c r="Y439" s="34">
        <v>2400</v>
      </c>
      <c r="Z439" s="34" t="s">
        <v>1560</v>
      </c>
      <c r="AA439" s="34">
        <f t="shared" si="19"/>
        <v>0</v>
      </c>
      <c r="AB439" s="34">
        <f t="shared" si="20"/>
        <v>0</v>
      </c>
      <c r="AC439" s="25" t="s">
        <v>689</v>
      </c>
      <c r="AD439" s="25"/>
      <c r="AE439" s="25"/>
      <c r="AF439" s="25"/>
      <c r="AG439" s="25"/>
      <c r="AH439" s="35"/>
    </row>
    <row r="440" spans="1:34" ht="31.2">
      <c r="A440" s="23" t="s">
        <v>178</v>
      </c>
      <c r="B440" s="81"/>
      <c r="C440" s="25"/>
      <c r="D440" s="25"/>
      <c r="E440" s="25">
        <v>4</v>
      </c>
      <c r="F440" s="25">
        <v>2100</v>
      </c>
      <c r="G440" s="26">
        <f t="shared" si="18"/>
        <v>8400</v>
      </c>
      <c r="H440" s="27" t="s">
        <v>37</v>
      </c>
      <c r="I440" s="37">
        <v>45160</v>
      </c>
      <c r="J440" s="29">
        <v>2100</v>
      </c>
      <c r="K440" s="29">
        <v>18</v>
      </c>
      <c r="L440" s="57">
        <v>45163</v>
      </c>
      <c r="M440" s="31">
        <v>8400</v>
      </c>
      <c r="N440" s="31">
        <v>84</v>
      </c>
      <c r="O440" s="31" t="s">
        <v>76</v>
      </c>
      <c r="P440" s="32" t="s">
        <v>28</v>
      </c>
      <c r="Q440" s="33">
        <v>8500060640</v>
      </c>
      <c r="R440" s="33">
        <v>5000889017</v>
      </c>
      <c r="S440" s="29">
        <v>2100</v>
      </c>
      <c r="T440" s="31" t="s">
        <v>87</v>
      </c>
      <c r="U440" s="31">
        <v>8500060639</v>
      </c>
      <c r="V440" s="31">
        <v>5000904090</v>
      </c>
      <c r="W440" s="50" t="s">
        <v>1514</v>
      </c>
      <c r="X440" s="34">
        <f>1000+1100</f>
        <v>2100</v>
      </c>
      <c r="Y440" s="34">
        <f>4000+4400</f>
        <v>8400</v>
      </c>
      <c r="Z440" s="34" t="s">
        <v>1515</v>
      </c>
      <c r="AA440" s="34">
        <f t="shared" si="19"/>
        <v>0</v>
      </c>
      <c r="AB440" s="34">
        <f t="shared" si="20"/>
        <v>0</v>
      </c>
      <c r="AC440" s="25" t="s">
        <v>689</v>
      </c>
      <c r="AD440" s="25"/>
      <c r="AE440" s="25"/>
      <c r="AF440" s="25"/>
      <c r="AG440" s="25"/>
      <c r="AH440" s="35"/>
    </row>
    <row r="441" spans="1:34" ht="31.2">
      <c r="A441" s="23" t="s">
        <v>178</v>
      </c>
      <c r="B441" s="81"/>
      <c r="C441" s="25"/>
      <c r="D441" s="25"/>
      <c r="E441" s="25">
        <v>4</v>
      </c>
      <c r="F441" s="25">
        <v>3500</v>
      </c>
      <c r="G441" s="26">
        <f t="shared" si="18"/>
        <v>14000</v>
      </c>
      <c r="H441" s="27" t="s">
        <v>146</v>
      </c>
      <c r="I441" s="37">
        <v>45160</v>
      </c>
      <c r="J441" s="29">
        <v>3500</v>
      </c>
      <c r="K441" s="29">
        <v>38</v>
      </c>
      <c r="L441" s="57" t="s">
        <v>1413</v>
      </c>
      <c r="M441" s="31">
        <f>10579+3421</f>
        <v>14000</v>
      </c>
      <c r="N441" s="31">
        <v>140</v>
      </c>
      <c r="O441" s="31" t="s">
        <v>1414</v>
      </c>
      <c r="P441" s="32" t="s">
        <v>28</v>
      </c>
      <c r="Q441" s="33">
        <v>8500060640</v>
      </c>
      <c r="R441" s="33">
        <v>5000889017</v>
      </c>
      <c r="S441" s="29">
        <v>3500</v>
      </c>
      <c r="T441" s="31" t="s">
        <v>87</v>
      </c>
      <c r="U441" s="31">
        <v>8500060639</v>
      </c>
      <c r="V441" s="31">
        <v>5000897357</v>
      </c>
      <c r="W441" s="50" t="s">
        <v>1514</v>
      </c>
      <c r="X441" s="34">
        <f>1000+2500</f>
        <v>3500</v>
      </c>
      <c r="Y441" s="34">
        <f>4000+10000</f>
        <v>14000</v>
      </c>
      <c r="Z441" s="34" t="s">
        <v>1401</v>
      </c>
      <c r="AA441" s="34">
        <f t="shared" si="19"/>
        <v>0</v>
      </c>
      <c r="AB441" s="34">
        <f t="shared" si="20"/>
        <v>0</v>
      </c>
      <c r="AC441" s="25" t="s">
        <v>689</v>
      </c>
      <c r="AD441" s="25"/>
      <c r="AE441" s="25"/>
      <c r="AF441" s="25"/>
      <c r="AG441" s="25"/>
      <c r="AH441" s="35"/>
    </row>
    <row r="442" spans="1:34" ht="15" customHeight="1">
      <c r="A442" s="23" t="s">
        <v>178</v>
      </c>
      <c r="B442" s="81">
        <v>6000024498</v>
      </c>
      <c r="C442" s="25" t="s">
        <v>842</v>
      </c>
      <c r="D442" s="25">
        <v>4923095003</v>
      </c>
      <c r="E442" s="25">
        <v>4</v>
      </c>
      <c r="F442" s="25">
        <v>210</v>
      </c>
      <c r="G442" s="26">
        <f t="shared" si="18"/>
        <v>840</v>
      </c>
      <c r="H442" s="27" t="s">
        <v>27</v>
      </c>
      <c r="I442" s="37">
        <v>45160</v>
      </c>
      <c r="J442" s="29">
        <v>210</v>
      </c>
      <c r="K442" s="29">
        <v>5</v>
      </c>
      <c r="L442" s="57">
        <v>45160</v>
      </c>
      <c r="M442" s="31">
        <v>840</v>
      </c>
      <c r="N442" s="31">
        <v>8</v>
      </c>
      <c r="O442" s="31" t="s">
        <v>1350</v>
      </c>
      <c r="P442" s="32" t="s">
        <v>28</v>
      </c>
      <c r="Q442" s="33">
        <v>8500060642</v>
      </c>
      <c r="R442" s="33">
        <v>5000889016</v>
      </c>
      <c r="S442" s="29">
        <v>210</v>
      </c>
      <c r="T442" s="31" t="s">
        <v>87</v>
      </c>
      <c r="U442" s="31">
        <v>8500060641</v>
      </c>
      <c r="V442" s="31">
        <v>5000889019</v>
      </c>
      <c r="W442" s="50">
        <v>45183</v>
      </c>
      <c r="X442" s="34">
        <v>210</v>
      </c>
      <c r="Y442" s="34">
        <v>840</v>
      </c>
      <c r="Z442" s="34" t="s">
        <v>1559</v>
      </c>
      <c r="AA442" s="34">
        <f t="shared" si="19"/>
        <v>0</v>
      </c>
      <c r="AB442" s="34">
        <f t="shared" si="20"/>
        <v>0</v>
      </c>
      <c r="AC442" s="25" t="s">
        <v>689</v>
      </c>
      <c r="AD442" s="25"/>
      <c r="AE442" s="25"/>
      <c r="AF442" s="25"/>
      <c r="AG442" s="25"/>
      <c r="AH442" s="35"/>
    </row>
    <row r="443" spans="1:34" ht="15.6">
      <c r="A443" s="23" t="s">
        <v>178</v>
      </c>
      <c r="B443" s="81"/>
      <c r="C443" s="25"/>
      <c r="D443" s="25"/>
      <c r="E443" s="25">
        <v>4</v>
      </c>
      <c r="F443" s="25">
        <v>600</v>
      </c>
      <c r="G443" s="26">
        <f t="shared" si="18"/>
        <v>2400</v>
      </c>
      <c r="H443" s="27" t="s">
        <v>46</v>
      </c>
      <c r="I443" s="37">
        <v>45160</v>
      </c>
      <c r="J443" s="29">
        <v>600</v>
      </c>
      <c r="K443" s="29">
        <v>3</v>
      </c>
      <c r="L443" s="57">
        <v>45160</v>
      </c>
      <c r="M443" s="31">
        <v>2400</v>
      </c>
      <c r="N443" s="31">
        <v>24</v>
      </c>
      <c r="O443" s="31" t="s">
        <v>1351</v>
      </c>
      <c r="P443" s="32" t="s">
        <v>28</v>
      </c>
      <c r="Q443" s="33">
        <v>8500060642</v>
      </c>
      <c r="R443" s="33">
        <v>5000889016</v>
      </c>
      <c r="S443" s="29">
        <v>600</v>
      </c>
      <c r="T443" s="31" t="s">
        <v>87</v>
      </c>
      <c r="U443" s="31">
        <v>8500060641</v>
      </c>
      <c r="V443" s="31">
        <v>5000889019</v>
      </c>
      <c r="W443" s="50">
        <v>45183</v>
      </c>
      <c r="X443" s="34">
        <v>600</v>
      </c>
      <c r="Y443" s="34">
        <v>2400</v>
      </c>
      <c r="Z443" s="34" t="s">
        <v>1560</v>
      </c>
      <c r="AA443" s="34">
        <f t="shared" si="19"/>
        <v>0</v>
      </c>
      <c r="AB443" s="34">
        <f t="shared" si="20"/>
        <v>0</v>
      </c>
      <c r="AC443" s="25" t="s">
        <v>689</v>
      </c>
      <c r="AD443" s="25"/>
      <c r="AE443" s="25"/>
      <c r="AF443" s="25"/>
      <c r="AG443" s="25"/>
      <c r="AH443" s="35"/>
    </row>
    <row r="444" spans="1:34" ht="15.6">
      <c r="A444" s="23" t="s">
        <v>178</v>
      </c>
      <c r="B444" s="81"/>
      <c r="C444" s="25"/>
      <c r="D444" s="25"/>
      <c r="E444" s="25">
        <v>4</v>
      </c>
      <c r="F444" s="25">
        <v>2100</v>
      </c>
      <c r="G444" s="26">
        <f t="shared" si="18"/>
        <v>8400</v>
      </c>
      <c r="H444" s="27" t="s">
        <v>37</v>
      </c>
      <c r="I444" s="37">
        <v>45160</v>
      </c>
      <c r="J444" s="29">
        <v>2100</v>
      </c>
      <c r="K444" s="29">
        <v>22</v>
      </c>
      <c r="L444" s="57">
        <v>45163</v>
      </c>
      <c r="M444" s="31">
        <v>8400</v>
      </c>
      <c r="N444" s="31">
        <v>84</v>
      </c>
      <c r="O444" s="31" t="s">
        <v>76</v>
      </c>
      <c r="P444" s="32" t="s">
        <v>28</v>
      </c>
      <c r="Q444" s="33">
        <v>8500060642</v>
      </c>
      <c r="R444" s="33">
        <v>5000889016</v>
      </c>
      <c r="S444" s="29">
        <v>2100</v>
      </c>
      <c r="T444" s="31" t="s">
        <v>87</v>
      </c>
      <c r="U444" s="31">
        <v>8500060641</v>
      </c>
      <c r="V444" s="31">
        <v>5000904085</v>
      </c>
      <c r="W444" s="50">
        <v>45182</v>
      </c>
      <c r="X444" s="34">
        <v>2100</v>
      </c>
      <c r="Y444" s="34">
        <v>8400</v>
      </c>
      <c r="Z444" s="34" t="s">
        <v>1401</v>
      </c>
      <c r="AA444" s="34">
        <f t="shared" si="19"/>
        <v>0</v>
      </c>
      <c r="AB444" s="34">
        <f t="shared" si="20"/>
        <v>0</v>
      </c>
      <c r="AC444" s="25" t="s">
        <v>689</v>
      </c>
      <c r="AD444" s="25"/>
      <c r="AE444" s="25"/>
      <c r="AF444" s="25"/>
      <c r="AG444" s="25"/>
      <c r="AH444" s="35"/>
    </row>
    <row r="445" spans="1:34" ht="15.6">
      <c r="A445" s="23" t="s">
        <v>178</v>
      </c>
      <c r="B445" s="81"/>
      <c r="C445" s="25"/>
      <c r="D445" s="25"/>
      <c r="E445" s="25">
        <v>4</v>
      </c>
      <c r="F445" s="25">
        <v>3500</v>
      </c>
      <c r="G445" s="26">
        <f t="shared" si="18"/>
        <v>14000</v>
      </c>
      <c r="H445" s="27" t="s">
        <v>146</v>
      </c>
      <c r="I445" s="37">
        <v>45160</v>
      </c>
      <c r="J445" s="29">
        <v>3500</v>
      </c>
      <c r="K445" s="29">
        <v>26</v>
      </c>
      <c r="L445" s="57">
        <v>45161</v>
      </c>
      <c r="M445" s="31">
        <v>14000</v>
      </c>
      <c r="N445" s="31">
        <v>140</v>
      </c>
      <c r="O445" s="31" t="s">
        <v>741</v>
      </c>
      <c r="P445" s="32" t="s">
        <v>28</v>
      </c>
      <c r="Q445" s="33">
        <v>8500060642</v>
      </c>
      <c r="R445" s="33">
        <v>5000889016</v>
      </c>
      <c r="S445" s="29">
        <v>3500</v>
      </c>
      <c r="T445" s="31" t="s">
        <v>87</v>
      </c>
      <c r="U445" s="31">
        <v>8500060641</v>
      </c>
      <c r="V445" s="31">
        <v>5000893076</v>
      </c>
      <c r="W445" s="50">
        <v>45183</v>
      </c>
      <c r="X445" s="34">
        <v>3500</v>
      </c>
      <c r="Y445" s="34">
        <v>14000</v>
      </c>
      <c r="Z445" s="34" t="s">
        <v>1401</v>
      </c>
      <c r="AA445" s="34">
        <f t="shared" si="19"/>
        <v>0</v>
      </c>
      <c r="AB445" s="34">
        <f t="shared" si="20"/>
        <v>0</v>
      </c>
      <c r="AC445" s="25" t="s">
        <v>689</v>
      </c>
      <c r="AD445" s="25"/>
      <c r="AE445" s="25"/>
      <c r="AF445" s="25"/>
      <c r="AG445" s="25"/>
      <c r="AH445" s="35"/>
    </row>
    <row r="446" spans="1:34" ht="31.5" customHeight="1">
      <c r="A446" s="23" t="s">
        <v>178</v>
      </c>
      <c r="B446" s="81">
        <v>6000024499</v>
      </c>
      <c r="C446" s="25" t="s">
        <v>843</v>
      </c>
      <c r="D446" s="25">
        <v>4923095004</v>
      </c>
      <c r="E446" s="25">
        <v>4</v>
      </c>
      <c r="F446" s="25">
        <v>2140</v>
      </c>
      <c r="G446" s="26">
        <f t="shared" si="18"/>
        <v>8560</v>
      </c>
      <c r="H446" s="27" t="s">
        <v>46</v>
      </c>
      <c r="I446" s="37">
        <v>45159</v>
      </c>
      <c r="J446" s="29">
        <v>2140</v>
      </c>
      <c r="K446" s="29">
        <v>15</v>
      </c>
      <c r="L446" s="57">
        <v>45163</v>
      </c>
      <c r="M446" s="31">
        <v>8560</v>
      </c>
      <c r="N446" s="31">
        <v>86</v>
      </c>
      <c r="O446" s="31" t="s">
        <v>876</v>
      </c>
      <c r="P446" s="32" t="s">
        <v>28</v>
      </c>
      <c r="Q446" s="33">
        <v>8500060644</v>
      </c>
      <c r="R446" s="33">
        <v>5000887752</v>
      </c>
      <c r="S446" s="29">
        <v>2140</v>
      </c>
      <c r="T446" s="31" t="s">
        <v>87</v>
      </c>
      <c r="U446" s="31">
        <v>8500060643</v>
      </c>
      <c r="V446" s="31">
        <v>5000904063</v>
      </c>
      <c r="W446" s="50" t="s">
        <v>1466</v>
      </c>
      <c r="X446" s="34">
        <f>1000+148+992</f>
        <v>2140</v>
      </c>
      <c r="Y446" s="34">
        <f>4000+592+3968</f>
        <v>8560</v>
      </c>
      <c r="Z446" s="34" t="s">
        <v>1465</v>
      </c>
      <c r="AA446" s="34">
        <f t="shared" si="19"/>
        <v>0</v>
      </c>
      <c r="AB446" s="34">
        <f t="shared" si="20"/>
        <v>0</v>
      </c>
      <c r="AC446" s="25" t="s">
        <v>689</v>
      </c>
      <c r="AD446" s="25"/>
      <c r="AE446" s="25"/>
      <c r="AF446" s="25"/>
      <c r="AG446" s="25"/>
      <c r="AH446" s="35"/>
    </row>
    <row r="447" spans="1:34" ht="46.8">
      <c r="A447" s="23" t="s">
        <v>178</v>
      </c>
      <c r="B447" s="81"/>
      <c r="C447" s="25"/>
      <c r="D447" s="25"/>
      <c r="E447" s="25">
        <v>4</v>
      </c>
      <c r="F447" s="25">
        <v>2080</v>
      </c>
      <c r="G447" s="26">
        <f t="shared" si="18"/>
        <v>8320</v>
      </c>
      <c r="H447" s="27" t="s">
        <v>37</v>
      </c>
      <c r="I447" s="37">
        <v>45159</v>
      </c>
      <c r="J447" s="29">
        <v>2080</v>
      </c>
      <c r="K447" s="29">
        <v>23</v>
      </c>
      <c r="L447" s="57">
        <v>45162</v>
      </c>
      <c r="M447" s="31">
        <v>8320</v>
      </c>
      <c r="N447" s="31">
        <v>83</v>
      </c>
      <c r="O447" s="31" t="s">
        <v>741</v>
      </c>
      <c r="P447" s="32" t="s">
        <v>28</v>
      </c>
      <c r="Q447" s="33">
        <v>8500060644</v>
      </c>
      <c r="R447" s="33">
        <v>5000887752</v>
      </c>
      <c r="S447" s="29">
        <v>2080</v>
      </c>
      <c r="T447" s="31" t="s">
        <v>87</v>
      </c>
      <c r="U447" s="31">
        <v>8500060643</v>
      </c>
      <c r="V447" s="31">
        <v>5000897351</v>
      </c>
      <c r="W447" s="50" t="s">
        <v>1467</v>
      </c>
      <c r="X447" s="34">
        <f>1000+148+932</f>
        <v>2080</v>
      </c>
      <c r="Y447" s="34">
        <f>4000+592+3728</f>
        <v>8320</v>
      </c>
      <c r="Z447" s="34" t="s">
        <v>1468</v>
      </c>
      <c r="AA447" s="34">
        <f t="shared" si="19"/>
        <v>0</v>
      </c>
      <c r="AB447" s="34">
        <f t="shared" si="20"/>
        <v>0</v>
      </c>
      <c r="AC447" s="25" t="s">
        <v>689</v>
      </c>
      <c r="AD447" s="25"/>
      <c r="AE447" s="25"/>
      <c r="AF447" s="25"/>
      <c r="AG447" s="25"/>
      <c r="AH447" s="35"/>
    </row>
    <row r="448" spans="1:34" ht="32.25" customHeight="1">
      <c r="A448" s="23" t="s">
        <v>178</v>
      </c>
      <c r="B448" s="81"/>
      <c r="C448" s="25"/>
      <c r="D448" s="25"/>
      <c r="E448" s="25">
        <v>4</v>
      </c>
      <c r="F448" s="25">
        <v>2220</v>
      </c>
      <c r="G448" s="26">
        <f t="shared" si="18"/>
        <v>8880</v>
      </c>
      <c r="H448" s="27" t="s">
        <v>146</v>
      </c>
      <c r="I448" s="37">
        <v>45159</v>
      </c>
      <c r="J448" s="29">
        <v>2220</v>
      </c>
      <c r="K448" s="29">
        <v>20</v>
      </c>
      <c r="L448" s="57">
        <v>45164</v>
      </c>
      <c r="M448" s="31">
        <v>8880</v>
      </c>
      <c r="N448" s="31">
        <v>89</v>
      </c>
      <c r="O448" s="31" t="s">
        <v>1411</v>
      </c>
      <c r="P448" s="32" t="s">
        <v>28</v>
      </c>
      <c r="Q448" s="33">
        <v>8500060644</v>
      </c>
      <c r="R448" s="33">
        <v>5000887752</v>
      </c>
      <c r="S448" s="29">
        <v>2220</v>
      </c>
      <c r="T448" s="31" t="s">
        <v>87</v>
      </c>
      <c r="U448" s="31">
        <v>8500060643</v>
      </c>
      <c r="V448" s="31">
        <v>5000911709</v>
      </c>
      <c r="W448" s="50" t="s">
        <v>1469</v>
      </c>
      <c r="X448" s="34">
        <f>216+2004</f>
        <v>2220</v>
      </c>
      <c r="Y448" s="34">
        <f>864+8016</f>
        <v>8880</v>
      </c>
      <c r="Z448" s="34" t="s">
        <v>1470</v>
      </c>
      <c r="AA448" s="34">
        <f t="shared" si="19"/>
        <v>0</v>
      </c>
      <c r="AB448" s="34">
        <f t="shared" si="20"/>
        <v>0</v>
      </c>
      <c r="AC448" s="25" t="s">
        <v>689</v>
      </c>
      <c r="AD448" s="25"/>
      <c r="AE448" s="25"/>
      <c r="AF448" s="25"/>
      <c r="AG448" s="25"/>
      <c r="AH448" s="35"/>
    </row>
    <row r="449" spans="1:34" ht="15.6">
      <c r="A449" s="23" t="s">
        <v>178</v>
      </c>
      <c r="B449" s="81">
        <v>6000024500</v>
      </c>
      <c r="C449" s="25" t="s">
        <v>844</v>
      </c>
      <c r="D449" s="25">
        <v>4923095001</v>
      </c>
      <c r="E449" s="25">
        <v>4</v>
      </c>
      <c r="F449" s="25">
        <v>210</v>
      </c>
      <c r="G449" s="26">
        <f t="shared" si="18"/>
        <v>840</v>
      </c>
      <c r="H449" s="27" t="s">
        <v>46</v>
      </c>
      <c r="I449" s="37">
        <v>45159</v>
      </c>
      <c r="J449" s="29">
        <v>210</v>
      </c>
      <c r="K449" s="29">
        <v>7</v>
      </c>
      <c r="L449" s="57">
        <v>45163</v>
      </c>
      <c r="M449" s="31">
        <v>840</v>
      </c>
      <c r="N449" s="31">
        <v>5</v>
      </c>
      <c r="O449" s="31" t="s">
        <v>1344</v>
      </c>
      <c r="P449" s="32" t="s">
        <v>28</v>
      </c>
      <c r="Q449" s="33">
        <v>8500060688</v>
      </c>
      <c r="R449" s="33">
        <v>5000887754</v>
      </c>
      <c r="S449" s="29">
        <v>210</v>
      </c>
      <c r="T449" s="31" t="s">
        <v>152</v>
      </c>
      <c r="U449" s="31">
        <v>8500060687</v>
      </c>
      <c r="V449" s="31">
        <v>5000903924</v>
      </c>
      <c r="W449" s="50">
        <v>45184</v>
      </c>
      <c r="X449" s="34">
        <v>210</v>
      </c>
      <c r="Y449" s="34">
        <v>840</v>
      </c>
      <c r="Z449" s="34" t="s">
        <v>800</v>
      </c>
      <c r="AA449" s="34">
        <f t="shared" si="19"/>
        <v>0</v>
      </c>
      <c r="AB449" s="34">
        <f t="shared" si="20"/>
        <v>0</v>
      </c>
      <c r="AC449" s="25" t="s">
        <v>689</v>
      </c>
      <c r="AD449" s="25"/>
      <c r="AE449" s="25"/>
      <c r="AF449" s="25"/>
      <c r="AG449" s="25"/>
      <c r="AH449" s="35"/>
    </row>
    <row r="450" spans="1:34" ht="15.6">
      <c r="A450" s="23" t="s">
        <v>178</v>
      </c>
      <c r="B450" s="81"/>
      <c r="C450" s="25"/>
      <c r="D450" s="25"/>
      <c r="E450" s="25">
        <v>4</v>
      </c>
      <c r="F450" s="25">
        <v>105</v>
      </c>
      <c r="G450" s="26">
        <f t="shared" si="18"/>
        <v>420</v>
      </c>
      <c r="H450" s="27" t="s">
        <v>146</v>
      </c>
      <c r="I450" s="37">
        <v>45159</v>
      </c>
      <c r="J450" s="29">
        <v>105</v>
      </c>
      <c r="K450" s="29">
        <v>9</v>
      </c>
      <c r="L450" s="57">
        <v>45163</v>
      </c>
      <c r="M450" s="31">
        <v>420</v>
      </c>
      <c r="N450" s="31">
        <v>3</v>
      </c>
      <c r="O450" s="31" t="s">
        <v>1403</v>
      </c>
      <c r="P450" s="32" t="s">
        <v>28</v>
      </c>
      <c r="Q450" s="33">
        <v>8500060688</v>
      </c>
      <c r="R450" s="33">
        <v>5000887754</v>
      </c>
      <c r="S450" s="29">
        <v>105</v>
      </c>
      <c r="T450" s="31" t="s">
        <v>152</v>
      </c>
      <c r="U450" s="31">
        <v>8500060687</v>
      </c>
      <c r="V450" s="31">
        <v>5000903924</v>
      </c>
      <c r="W450" s="50">
        <v>45184</v>
      </c>
      <c r="X450" s="34">
        <v>105</v>
      </c>
      <c r="Y450" s="34">
        <v>420</v>
      </c>
      <c r="Z450" s="34" t="s">
        <v>800</v>
      </c>
      <c r="AA450" s="34">
        <f t="shared" si="19"/>
        <v>0</v>
      </c>
      <c r="AB450" s="34">
        <f t="shared" si="20"/>
        <v>0</v>
      </c>
      <c r="AC450" s="25" t="s">
        <v>689</v>
      </c>
      <c r="AD450" s="25"/>
      <c r="AE450" s="25"/>
      <c r="AF450" s="25"/>
      <c r="AG450" s="25"/>
      <c r="AH450" s="35"/>
    </row>
    <row r="451" spans="1:34" ht="15.6">
      <c r="A451" s="23" t="s">
        <v>178</v>
      </c>
      <c r="B451" s="81">
        <v>6000024500</v>
      </c>
      <c r="C451" s="25" t="s">
        <v>843</v>
      </c>
      <c r="D451" s="25">
        <v>4923095001</v>
      </c>
      <c r="E451" s="25">
        <v>4</v>
      </c>
      <c r="F451" s="25">
        <v>860</v>
      </c>
      <c r="G451" s="26">
        <f t="shared" si="18"/>
        <v>3440</v>
      </c>
      <c r="H451" s="27" t="s">
        <v>46</v>
      </c>
      <c r="I451" s="37">
        <v>45159</v>
      </c>
      <c r="J451" s="29">
        <v>860</v>
      </c>
      <c r="K451" s="29">
        <v>9</v>
      </c>
      <c r="L451" s="57">
        <v>45162</v>
      </c>
      <c r="M451" s="31">
        <v>3440</v>
      </c>
      <c r="N451" s="31">
        <v>34</v>
      </c>
      <c r="O451" s="31" t="s">
        <v>1386</v>
      </c>
      <c r="P451" s="32" t="s">
        <v>28</v>
      </c>
      <c r="Q451" s="33">
        <v>8500060690</v>
      </c>
      <c r="R451" s="33">
        <v>5000887753</v>
      </c>
      <c r="S451" s="29">
        <v>860</v>
      </c>
      <c r="T451" s="31" t="s">
        <v>87</v>
      </c>
      <c r="U451" s="31">
        <v>8500060689</v>
      </c>
      <c r="V451" s="31">
        <v>5000897354</v>
      </c>
      <c r="W451" s="50">
        <v>45177</v>
      </c>
      <c r="X451" s="34">
        <v>860</v>
      </c>
      <c r="Y451" s="34">
        <v>3440</v>
      </c>
      <c r="Z451" s="34" t="s">
        <v>1500</v>
      </c>
      <c r="AA451" s="34">
        <f t="shared" si="19"/>
        <v>0</v>
      </c>
      <c r="AB451" s="34">
        <f t="shared" si="20"/>
        <v>0</v>
      </c>
      <c r="AC451" s="25" t="s">
        <v>689</v>
      </c>
      <c r="AD451" s="25"/>
      <c r="AE451" s="25"/>
      <c r="AF451" s="25"/>
      <c r="AG451" s="25"/>
      <c r="AH451" s="35"/>
    </row>
    <row r="452" spans="1:34" ht="15.6">
      <c r="A452" s="23" t="s">
        <v>178</v>
      </c>
      <c r="B452" s="81"/>
      <c r="C452" s="25"/>
      <c r="D452" s="25"/>
      <c r="E452" s="25">
        <v>4</v>
      </c>
      <c r="F452" s="25">
        <v>1960</v>
      </c>
      <c r="G452" s="26">
        <f t="shared" si="18"/>
        <v>7840</v>
      </c>
      <c r="H452" s="27" t="s">
        <v>37</v>
      </c>
      <c r="I452" s="37">
        <v>45159</v>
      </c>
      <c r="J452" s="29">
        <v>1960</v>
      </c>
      <c r="K452" s="29">
        <v>22</v>
      </c>
      <c r="L452" s="57">
        <v>45163</v>
      </c>
      <c r="M452" s="31">
        <v>7840</v>
      </c>
      <c r="N452" s="31">
        <v>78</v>
      </c>
      <c r="O452" s="31" t="s">
        <v>76</v>
      </c>
      <c r="P452" s="32" t="s">
        <v>28</v>
      </c>
      <c r="Q452" s="33">
        <v>8500060690</v>
      </c>
      <c r="R452" s="33">
        <v>5000887753</v>
      </c>
      <c r="S452" s="29">
        <v>1960</v>
      </c>
      <c r="T452" s="31" t="s">
        <v>87</v>
      </c>
      <c r="U452" s="31">
        <v>8500060689</v>
      </c>
      <c r="V452" s="31">
        <v>5000904080</v>
      </c>
      <c r="W452" s="50">
        <v>45177</v>
      </c>
      <c r="X452" s="34">
        <v>1960</v>
      </c>
      <c r="Y452" s="34">
        <v>7840</v>
      </c>
      <c r="Z452" s="34" t="s">
        <v>1501</v>
      </c>
      <c r="AA452" s="34">
        <f t="shared" si="19"/>
        <v>0</v>
      </c>
      <c r="AB452" s="34">
        <f t="shared" si="20"/>
        <v>0</v>
      </c>
      <c r="AC452" s="25" t="s">
        <v>689</v>
      </c>
      <c r="AD452" s="25"/>
      <c r="AE452" s="25"/>
      <c r="AF452" s="25"/>
      <c r="AG452" s="25"/>
      <c r="AH452" s="35"/>
    </row>
    <row r="453" spans="1:34" ht="46.8">
      <c r="A453" s="23" t="s">
        <v>178</v>
      </c>
      <c r="B453" s="81"/>
      <c r="C453" s="25"/>
      <c r="D453" s="25"/>
      <c r="E453" s="25">
        <v>4</v>
      </c>
      <c r="F453" s="25">
        <v>3080</v>
      </c>
      <c r="G453" s="26">
        <f t="shared" si="18"/>
        <v>12320</v>
      </c>
      <c r="H453" s="27" t="s">
        <v>146</v>
      </c>
      <c r="I453" s="37">
        <v>45159</v>
      </c>
      <c r="J453" s="29">
        <v>3080</v>
      </c>
      <c r="K453" s="29">
        <v>39</v>
      </c>
      <c r="L453" s="57" t="s">
        <v>1496</v>
      </c>
      <c r="M453" s="31">
        <f>2079+9020+1221</f>
        <v>12320</v>
      </c>
      <c r="N453" s="31">
        <v>123</v>
      </c>
      <c r="O453" s="31" t="s">
        <v>1495</v>
      </c>
      <c r="P453" s="32" t="s">
        <v>28</v>
      </c>
      <c r="Q453" s="33">
        <v>8500060690</v>
      </c>
      <c r="R453" s="33">
        <v>5000887753</v>
      </c>
      <c r="S453" s="29">
        <v>3080</v>
      </c>
      <c r="T453" s="31" t="s">
        <v>87</v>
      </c>
      <c r="U453" s="31">
        <v>8500060689</v>
      </c>
      <c r="V453" s="31">
        <v>5000897354</v>
      </c>
      <c r="W453" s="50">
        <v>45177</v>
      </c>
      <c r="X453" s="34">
        <v>3080</v>
      </c>
      <c r="Y453" s="34">
        <v>12320</v>
      </c>
      <c r="Z453" s="34" t="s">
        <v>1502</v>
      </c>
      <c r="AA453" s="34">
        <f t="shared" si="19"/>
        <v>0</v>
      </c>
      <c r="AB453" s="34">
        <f t="shared" si="20"/>
        <v>0</v>
      </c>
      <c r="AC453" s="25" t="s">
        <v>689</v>
      </c>
      <c r="AD453" s="25"/>
      <c r="AE453" s="25"/>
      <c r="AF453" s="25"/>
      <c r="AG453" s="25"/>
      <c r="AH453" s="35"/>
    </row>
    <row r="454" spans="1:34" ht="15.6">
      <c r="A454" s="23" t="s">
        <v>850</v>
      </c>
      <c r="B454" s="81">
        <v>2000001128</v>
      </c>
      <c r="C454" s="25" t="s">
        <v>708</v>
      </c>
      <c r="D454" s="25">
        <v>2000001128</v>
      </c>
      <c r="E454" s="25">
        <v>10</v>
      </c>
      <c r="F454" s="25">
        <v>100</v>
      </c>
      <c r="G454" s="26">
        <f t="shared" si="18"/>
        <v>1000</v>
      </c>
      <c r="H454" s="27" t="s">
        <v>243</v>
      </c>
      <c r="I454" s="37">
        <v>45162</v>
      </c>
      <c r="J454" s="29">
        <v>100</v>
      </c>
      <c r="K454" s="29">
        <v>3</v>
      </c>
      <c r="L454" s="57">
        <v>45149</v>
      </c>
      <c r="M454" s="31">
        <v>1000</v>
      </c>
      <c r="N454" s="31">
        <v>10</v>
      </c>
      <c r="O454" s="31" t="s">
        <v>853</v>
      </c>
      <c r="P454" s="32" t="s">
        <v>28</v>
      </c>
      <c r="Q454" s="33">
        <v>8500060418</v>
      </c>
      <c r="R454" s="33">
        <v>5000897312</v>
      </c>
      <c r="S454" s="29">
        <v>100</v>
      </c>
      <c r="T454" s="31" t="s">
        <v>1558</v>
      </c>
      <c r="U454" s="31" t="s">
        <v>1253</v>
      </c>
      <c r="V454" s="31" t="s">
        <v>1254</v>
      </c>
      <c r="W454" s="50">
        <v>45187</v>
      </c>
      <c r="X454" s="34">
        <v>100</v>
      </c>
      <c r="Y454" s="34">
        <v>1000</v>
      </c>
      <c r="Z454" s="34" t="s">
        <v>800</v>
      </c>
      <c r="AA454" s="34">
        <f t="shared" si="19"/>
        <v>0</v>
      </c>
      <c r="AB454" s="34">
        <f t="shared" si="20"/>
        <v>0</v>
      </c>
      <c r="AC454" s="25" t="s">
        <v>689</v>
      </c>
      <c r="AD454" s="25"/>
      <c r="AE454" s="25"/>
      <c r="AF454" s="25"/>
      <c r="AG454" s="25"/>
      <c r="AH454" s="35"/>
    </row>
    <row r="455" spans="1:34" ht="15.6">
      <c r="A455" s="23" t="s">
        <v>850</v>
      </c>
      <c r="B455" s="81">
        <v>2000001128</v>
      </c>
      <c r="C455" s="25" t="s">
        <v>708</v>
      </c>
      <c r="D455" s="25" t="s">
        <v>879</v>
      </c>
      <c r="E455" s="25">
        <v>10</v>
      </c>
      <c r="F455" s="25">
        <v>2</v>
      </c>
      <c r="G455" s="26">
        <f t="shared" si="18"/>
        <v>20</v>
      </c>
      <c r="H455" s="27" t="s">
        <v>243</v>
      </c>
      <c r="I455" s="37">
        <v>45162</v>
      </c>
      <c r="J455" s="29">
        <v>2</v>
      </c>
      <c r="K455" s="29">
        <v>1</v>
      </c>
      <c r="L455" s="57">
        <v>45149</v>
      </c>
      <c r="M455" s="31">
        <v>20</v>
      </c>
      <c r="N455" s="31">
        <v>0</v>
      </c>
      <c r="O455" s="31" t="s">
        <v>853</v>
      </c>
      <c r="P455" s="32" t="s">
        <v>28</v>
      </c>
      <c r="Q455" s="33">
        <v>8500060420</v>
      </c>
      <c r="R455" s="33">
        <v>5000897315</v>
      </c>
      <c r="S455" s="29">
        <v>2</v>
      </c>
      <c r="T455" s="31" t="s">
        <v>1558</v>
      </c>
      <c r="U455" s="31" t="s">
        <v>1255</v>
      </c>
      <c r="V455" s="31" t="s">
        <v>1256</v>
      </c>
      <c r="W455" s="50">
        <v>45246</v>
      </c>
      <c r="X455" s="34">
        <v>2</v>
      </c>
      <c r="Y455" s="34">
        <v>20</v>
      </c>
      <c r="Z455" s="34" t="s">
        <v>800</v>
      </c>
      <c r="AA455" s="34">
        <f t="shared" si="19"/>
        <v>0</v>
      </c>
      <c r="AB455" s="34">
        <f t="shared" si="20"/>
        <v>0</v>
      </c>
      <c r="AC455" s="25" t="s">
        <v>689</v>
      </c>
      <c r="AD455" s="25"/>
      <c r="AE455" s="25"/>
      <c r="AF455" s="25"/>
      <c r="AG455" s="25"/>
      <c r="AH455" s="35"/>
    </row>
    <row r="456" spans="1:34" ht="31.2">
      <c r="A456" s="23" t="s">
        <v>855</v>
      </c>
      <c r="B456" s="81">
        <v>6000023913</v>
      </c>
      <c r="C456" s="25" t="s">
        <v>856</v>
      </c>
      <c r="D456" s="25" t="s">
        <v>854</v>
      </c>
      <c r="E456" s="25">
        <v>10</v>
      </c>
      <c r="F456" s="25">
        <v>210</v>
      </c>
      <c r="G456" s="26">
        <f t="shared" si="18"/>
        <v>2100</v>
      </c>
      <c r="H456" s="27" t="s">
        <v>243</v>
      </c>
      <c r="I456" s="28" t="s">
        <v>880</v>
      </c>
      <c r="J456" s="29">
        <v>210</v>
      </c>
      <c r="K456" s="29">
        <v>7</v>
      </c>
      <c r="L456" s="57">
        <v>45150</v>
      </c>
      <c r="M456" s="31">
        <v>2100</v>
      </c>
      <c r="N456" s="31">
        <v>11</v>
      </c>
      <c r="O456" s="31" t="s">
        <v>789</v>
      </c>
      <c r="P456" s="32" t="s">
        <v>28</v>
      </c>
      <c r="Q456" s="33" t="s">
        <v>76</v>
      </c>
      <c r="R456" s="33" t="s">
        <v>1257</v>
      </c>
      <c r="S456" s="29">
        <v>210</v>
      </c>
      <c r="T456" s="31" t="s">
        <v>152</v>
      </c>
      <c r="U456" s="31" t="s">
        <v>1258</v>
      </c>
      <c r="V456" s="31" t="s">
        <v>1259</v>
      </c>
      <c r="W456" s="50">
        <v>45160</v>
      </c>
      <c r="X456" s="34">
        <v>210</v>
      </c>
      <c r="Y456" s="34">
        <v>2100</v>
      </c>
      <c r="Z456" s="34" t="s">
        <v>1356</v>
      </c>
      <c r="AA456" s="34">
        <f t="shared" si="19"/>
        <v>0</v>
      </c>
      <c r="AB456" s="34">
        <f t="shared" si="20"/>
        <v>0</v>
      </c>
      <c r="AC456" s="25" t="s">
        <v>689</v>
      </c>
      <c r="AD456" s="25"/>
      <c r="AE456" s="25"/>
      <c r="AF456" s="25"/>
      <c r="AG456" s="25"/>
      <c r="AH456" s="35"/>
    </row>
    <row r="457" spans="1:34" ht="31.2">
      <c r="A457" s="23" t="s">
        <v>855</v>
      </c>
      <c r="B457" s="81"/>
      <c r="C457" s="25"/>
      <c r="D457" s="25"/>
      <c r="E457" s="25">
        <v>10</v>
      </c>
      <c r="F457" s="25">
        <v>900</v>
      </c>
      <c r="G457" s="26">
        <f t="shared" si="18"/>
        <v>9000</v>
      </c>
      <c r="H457" s="27" t="s">
        <v>27</v>
      </c>
      <c r="I457" s="28" t="s">
        <v>880</v>
      </c>
      <c r="J457" s="29">
        <v>900</v>
      </c>
      <c r="K457" s="29">
        <v>18</v>
      </c>
      <c r="L457" s="57">
        <v>45150</v>
      </c>
      <c r="M457" s="31">
        <v>9000</v>
      </c>
      <c r="N457" s="31">
        <v>45</v>
      </c>
      <c r="O457" s="31" t="s">
        <v>852</v>
      </c>
      <c r="P457" s="32" t="s">
        <v>28</v>
      </c>
      <c r="Q457" s="33" t="s">
        <v>76</v>
      </c>
      <c r="R457" s="33" t="s">
        <v>1257</v>
      </c>
      <c r="S457" s="29">
        <v>900</v>
      </c>
      <c r="T457" s="31" t="s">
        <v>152</v>
      </c>
      <c r="U457" s="31" t="s">
        <v>1258</v>
      </c>
      <c r="V457" s="31" t="s">
        <v>1259</v>
      </c>
      <c r="W457" s="50">
        <v>45160</v>
      </c>
      <c r="X457" s="34">
        <v>900</v>
      </c>
      <c r="Y457" s="34">
        <v>9000</v>
      </c>
      <c r="Z457" s="34" t="s">
        <v>1357</v>
      </c>
      <c r="AA457" s="34">
        <f t="shared" si="19"/>
        <v>0</v>
      </c>
      <c r="AB457" s="34">
        <f t="shared" si="20"/>
        <v>0</v>
      </c>
      <c r="AC457" s="25" t="s">
        <v>689</v>
      </c>
      <c r="AD457" s="25"/>
      <c r="AE457" s="25"/>
      <c r="AF457" s="25"/>
      <c r="AG457" s="25"/>
      <c r="AH457" s="35"/>
    </row>
    <row r="458" spans="1:34" ht="62.4">
      <c r="A458" s="23" t="s">
        <v>855</v>
      </c>
      <c r="B458" s="81"/>
      <c r="C458" s="25"/>
      <c r="D458" s="25"/>
      <c r="E458" s="25">
        <v>10</v>
      </c>
      <c r="F458" s="25">
        <v>420</v>
      </c>
      <c r="G458" s="26">
        <f t="shared" ref="G458:G521" si="21">F458*E458</f>
        <v>4200</v>
      </c>
      <c r="H458" s="27" t="s">
        <v>46</v>
      </c>
      <c r="I458" s="28" t="s">
        <v>1473</v>
      </c>
      <c r="J458" s="29">
        <v>420</v>
      </c>
      <c r="K458" s="29">
        <v>10</v>
      </c>
      <c r="L458" s="57">
        <v>45150</v>
      </c>
      <c r="M458" s="31">
        <v>4200</v>
      </c>
      <c r="N458" s="31">
        <v>21</v>
      </c>
      <c r="O458" s="31" t="s">
        <v>857</v>
      </c>
      <c r="P458" s="32" t="s">
        <v>28</v>
      </c>
      <c r="Q458" s="33" t="s">
        <v>76</v>
      </c>
      <c r="R458" s="33" t="s">
        <v>1260</v>
      </c>
      <c r="S458" s="29">
        <v>420</v>
      </c>
      <c r="T458" s="31" t="s">
        <v>152</v>
      </c>
      <c r="U458" s="31" t="s">
        <v>1258</v>
      </c>
      <c r="V458" s="31" t="s">
        <v>1259</v>
      </c>
      <c r="W458" s="50">
        <v>45166</v>
      </c>
      <c r="X458" s="34">
        <v>420</v>
      </c>
      <c r="Y458" s="34">
        <v>4200</v>
      </c>
      <c r="Z458" s="34" t="s">
        <v>800</v>
      </c>
      <c r="AA458" s="34">
        <f t="shared" si="19"/>
        <v>0</v>
      </c>
      <c r="AB458" s="34">
        <f t="shared" si="20"/>
        <v>0</v>
      </c>
      <c r="AC458" s="25" t="s">
        <v>689</v>
      </c>
      <c r="AD458" s="25"/>
      <c r="AE458" s="25"/>
      <c r="AF458" s="25"/>
      <c r="AG458" s="25"/>
      <c r="AH458" s="35"/>
    </row>
    <row r="459" spans="1:34" ht="62.4">
      <c r="A459" s="23" t="s">
        <v>855</v>
      </c>
      <c r="B459" s="81"/>
      <c r="C459" s="25"/>
      <c r="D459" s="25"/>
      <c r="E459" s="25">
        <v>10</v>
      </c>
      <c r="F459" s="25">
        <v>100</v>
      </c>
      <c r="G459" s="26">
        <f t="shared" si="21"/>
        <v>1000</v>
      </c>
      <c r="H459" s="27" t="s">
        <v>37</v>
      </c>
      <c r="I459" s="28" t="s">
        <v>1473</v>
      </c>
      <c r="J459" s="29">
        <v>100</v>
      </c>
      <c r="K459" s="29">
        <v>10</v>
      </c>
      <c r="L459" s="57">
        <v>45150</v>
      </c>
      <c r="M459" s="31">
        <v>1000</v>
      </c>
      <c r="N459" s="31">
        <v>5</v>
      </c>
      <c r="O459" s="31" t="s">
        <v>858</v>
      </c>
      <c r="P459" s="32" t="s">
        <v>28</v>
      </c>
      <c r="Q459" s="33" t="s">
        <v>76</v>
      </c>
      <c r="R459" s="33" t="s">
        <v>1393</v>
      </c>
      <c r="S459" s="29">
        <v>100</v>
      </c>
      <c r="T459" s="31" t="s">
        <v>152</v>
      </c>
      <c r="U459" s="31" t="s">
        <v>1258</v>
      </c>
      <c r="V459" s="31">
        <v>5000897583</v>
      </c>
      <c r="W459" s="50">
        <v>45166</v>
      </c>
      <c r="X459" s="34">
        <v>100</v>
      </c>
      <c r="Y459" s="34">
        <v>1000</v>
      </c>
      <c r="Z459" s="34" t="s">
        <v>800</v>
      </c>
      <c r="AA459" s="34">
        <f t="shared" si="19"/>
        <v>0</v>
      </c>
      <c r="AB459" s="34">
        <f t="shared" si="20"/>
        <v>0</v>
      </c>
      <c r="AC459" s="25" t="s">
        <v>689</v>
      </c>
      <c r="AD459" s="25"/>
      <c r="AE459" s="25"/>
      <c r="AF459" s="25"/>
      <c r="AG459" s="25"/>
      <c r="AH459" s="35"/>
    </row>
    <row r="460" spans="1:34" ht="31.2">
      <c r="A460" s="23" t="s">
        <v>865</v>
      </c>
      <c r="B460" s="81">
        <v>6000024449</v>
      </c>
      <c r="C460" s="25" t="s">
        <v>866</v>
      </c>
      <c r="D460" s="25">
        <v>6000024449</v>
      </c>
      <c r="E460" s="25">
        <v>20</v>
      </c>
      <c r="F460" s="25">
        <v>255</v>
      </c>
      <c r="G460" s="26">
        <f t="shared" si="21"/>
        <v>5100</v>
      </c>
      <c r="H460" s="27" t="s">
        <v>27</v>
      </c>
      <c r="I460" s="28" t="s">
        <v>859</v>
      </c>
      <c r="J460" s="29">
        <v>255</v>
      </c>
      <c r="K460" s="29">
        <v>4</v>
      </c>
      <c r="L460" s="56" t="s">
        <v>1263</v>
      </c>
      <c r="M460" s="31">
        <v>5100</v>
      </c>
      <c r="N460" s="31">
        <v>51</v>
      </c>
      <c r="O460" s="31" t="s">
        <v>1266</v>
      </c>
      <c r="P460" s="32" t="s">
        <v>28</v>
      </c>
      <c r="Q460" s="33" t="s">
        <v>1261</v>
      </c>
      <c r="R460" s="33" t="s">
        <v>1262</v>
      </c>
      <c r="S460" s="29">
        <v>255</v>
      </c>
      <c r="T460" s="31" t="s">
        <v>87</v>
      </c>
      <c r="U460" s="31" t="s">
        <v>1264</v>
      </c>
      <c r="V460" s="31" t="s">
        <v>1265</v>
      </c>
      <c r="W460" s="50">
        <v>45170</v>
      </c>
      <c r="X460" s="34">
        <v>255</v>
      </c>
      <c r="Y460" s="34">
        <v>5100</v>
      </c>
      <c r="Z460" s="34" t="s">
        <v>801</v>
      </c>
      <c r="AA460" s="34">
        <f t="shared" ref="AA460:AA523" si="22">J460-X460</f>
        <v>0</v>
      </c>
      <c r="AB460" s="34">
        <f t="shared" ref="AB460:AB523" si="23">M460-Y460</f>
        <v>0</v>
      </c>
      <c r="AC460" s="25" t="s">
        <v>689</v>
      </c>
      <c r="AD460" s="25"/>
      <c r="AE460" s="25"/>
      <c r="AF460" s="25"/>
      <c r="AG460" s="25"/>
      <c r="AH460" s="35"/>
    </row>
    <row r="461" spans="1:34" ht="31.2">
      <c r="A461" s="23"/>
      <c r="B461" s="81"/>
      <c r="C461" s="25"/>
      <c r="D461" s="25"/>
      <c r="E461" s="25">
        <v>20</v>
      </c>
      <c r="F461" s="25">
        <v>250</v>
      </c>
      <c r="G461" s="26">
        <f t="shared" si="21"/>
        <v>5000</v>
      </c>
      <c r="H461" s="27" t="s">
        <v>46</v>
      </c>
      <c r="I461" s="28" t="s">
        <v>859</v>
      </c>
      <c r="J461" s="29">
        <v>250</v>
      </c>
      <c r="K461" s="29">
        <v>4</v>
      </c>
      <c r="L461" s="56" t="s">
        <v>889</v>
      </c>
      <c r="M461" s="31">
        <v>5000</v>
      </c>
      <c r="N461" s="31">
        <v>50</v>
      </c>
      <c r="O461" s="31" t="s">
        <v>897</v>
      </c>
      <c r="P461" s="32" t="s">
        <v>28</v>
      </c>
      <c r="Q461" s="33" t="s">
        <v>1261</v>
      </c>
      <c r="R461" s="33" t="s">
        <v>1262</v>
      </c>
      <c r="S461" s="29">
        <v>250</v>
      </c>
      <c r="T461" s="31" t="s">
        <v>87</v>
      </c>
      <c r="U461" s="31" t="s">
        <v>1264</v>
      </c>
      <c r="V461" s="31" t="s">
        <v>1267</v>
      </c>
      <c r="W461" s="50">
        <v>45170</v>
      </c>
      <c r="X461" s="34">
        <v>250</v>
      </c>
      <c r="Y461" s="34">
        <v>5000</v>
      </c>
      <c r="Z461" s="34" t="s">
        <v>802</v>
      </c>
      <c r="AA461" s="34">
        <f t="shared" si="22"/>
        <v>0</v>
      </c>
      <c r="AB461" s="34">
        <f t="shared" si="23"/>
        <v>0</v>
      </c>
      <c r="AC461" s="25" t="s">
        <v>689</v>
      </c>
      <c r="AD461" s="25"/>
      <c r="AE461" s="25"/>
      <c r="AF461" s="25"/>
      <c r="AG461" s="25"/>
      <c r="AH461" s="35"/>
    </row>
    <row r="462" spans="1:34" ht="31.2">
      <c r="A462" s="23"/>
      <c r="B462" s="81"/>
      <c r="C462" s="25"/>
      <c r="D462" s="25"/>
      <c r="E462" s="25">
        <v>20</v>
      </c>
      <c r="F462" s="25">
        <v>50</v>
      </c>
      <c r="G462" s="26">
        <f t="shared" si="21"/>
        <v>1000</v>
      </c>
      <c r="H462" s="27" t="s">
        <v>37</v>
      </c>
      <c r="I462" s="28" t="s">
        <v>859</v>
      </c>
      <c r="J462" s="29">
        <v>50</v>
      </c>
      <c r="K462" s="29">
        <v>1</v>
      </c>
      <c r="L462" s="56" t="s">
        <v>889</v>
      </c>
      <c r="M462" s="31">
        <v>1000</v>
      </c>
      <c r="N462" s="31">
        <v>10</v>
      </c>
      <c r="O462" s="31" t="s">
        <v>898</v>
      </c>
      <c r="P462" s="32" t="s">
        <v>28</v>
      </c>
      <c r="Q462" s="33" t="s">
        <v>1261</v>
      </c>
      <c r="R462" s="33" t="s">
        <v>1262</v>
      </c>
      <c r="S462" s="29">
        <v>50</v>
      </c>
      <c r="T462" s="31" t="s">
        <v>87</v>
      </c>
      <c r="U462" s="31" t="s">
        <v>1264</v>
      </c>
      <c r="V462" s="31" t="s">
        <v>1267</v>
      </c>
      <c r="W462" s="50">
        <v>45170</v>
      </c>
      <c r="X462" s="34">
        <v>50</v>
      </c>
      <c r="Y462" s="34">
        <v>1000</v>
      </c>
      <c r="Z462" s="34" t="s">
        <v>801</v>
      </c>
      <c r="AA462" s="34">
        <f t="shared" si="22"/>
        <v>0</v>
      </c>
      <c r="AB462" s="34">
        <f t="shared" si="23"/>
        <v>0</v>
      </c>
      <c r="AC462" s="25" t="s">
        <v>689</v>
      </c>
      <c r="AD462" s="25"/>
      <c r="AE462" s="25"/>
      <c r="AF462" s="25"/>
      <c r="AG462" s="25"/>
      <c r="AH462" s="35"/>
    </row>
    <row r="463" spans="1:34" ht="31.2">
      <c r="A463" s="23" t="s">
        <v>865</v>
      </c>
      <c r="B463" s="81">
        <v>6000024449</v>
      </c>
      <c r="C463" s="25" t="s">
        <v>867</v>
      </c>
      <c r="D463" s="25">
        <v>6000024449</v>
      </c>
      <c r="E463" s="25">
        <v>20</v>
      </c>
      <c r="F463" s="25">
        <v>90</v>
      </c>
      <c r="G463" s="26">
        <f t="shared" si="21"/>
        <v>1800</v>
      </c>
      <c r="H463" s="27" t="s">
        <v>27</v>
      </c>
      <c r="I463" s="28" t="s">
        <v>859</v>
      </c>
      <c r="J463" s="29">
        <v>90</v>
      </c>
      <c r="K463" s="29">
        <v>3</v>
      </c>
      <c r="L463" s="56" t="s">
        <v>889</v>
      </c>
      <c r="M463" s="31">
        <v>1800</v>
      </c>
      <c r="N463" s="31">
        <v>18</v>
      </c>
      <c r="O463" s="31" t="s">
        <v>899</v>
      </c>
      <c r="P463" s="32" t="s">
        <v>28</v>
      </c>
      <c r="Q463" s="33" t="s">
        <v>1268</v>
      </c>
      <c r="R463" s="33" t="s">
        <v>1269</v>
      </c>
      <c r="S463" s="29">
        <v>90</v>
      </c>
      <c r="T463" s="31" t="s">
        <v>87</v>
      </c>
      <c r="U463" s="31" t="s">
        <v>1270</v>
      </c>
      <c r="V463" s="31" t="s">
        <v>1271</v>
      </c>
      <c r="W463" s="50">
        <v>45173</v>
      </c>
      <c r="X463" s="34">
        <v>90</v>
      </c>
      <c r="Y463" s="34">
        <v>1800</v>
      </c>
      <c r="Z463" s="34" t="s">
        <v>800</v>
      </c>
      <c r="AA463" s="34">
        <f t="shared" si="22"/>
        <v>0</v>
      </c>
      <c r="AB463" s="34">
        <f t="shared" si="23"/>
        <v>0</v>
      </c>
      <c r="AC463" s="25" t="s">
        <v>689</v>
      </c>
      <c r="AD463" s="25"/>
      <c r="AE463" s="25"/>
      <c r="AF463" s="25"/>
      <c r="AG463" s="25"/>
      <c r="AH463" s="35"/>
    </row>
    <row r="464" spans="1:34" ht="31.2">
      <c r="A464" s="23"/>
      <c r="B464" s="81"/>
      <c r="C464" s="25"/>
      <c r="D464" s="25"/>
      <c r="E464" s="25">
        <v>20</v>
      </c>
      <c r="F464" s="25">
        <v>90</v>
      </c>
      <c r="G464" s="26">
        <f t="shared" si="21"/>
        <v>1800</v>
      </c>
      <c r="H464" s="27" t="s">
        <v>46</v>
      </c>
      <c r="I464" s="28" t="s">
        <v>859</v>
      </c>
      <c r="J464" s="29">
        <v>90</v>
      </c>
      <c r="K464" s="29">
        <v>5</v>
      </c>
      <c r="L464" s="56" t="s">
        <v>889</v>
      </c>
      <c r="M464" s="31">
        <v>1800</v>
      </c>
      <c r="N464" s="31">
        <v>18</v>
      </c>
      <c r="O464" s="31" t="s">
        <v>898</v>
      </c>
      <c r="P464" s="32" t="s">
        <v>28</v>
      </c>
      <c r="Q464" s="33" t="s">
        <v>1268</v>
      </c>
      <c r="R464" s="33" t="s">
        <v>1269</v>
      </c>
      <c r="S464" s="29">
        <v>90</v>
      </c>
      <c r="T464" s="31" t="s">
        <v>87</v>
      </c>
      <c r="U464" s="31" t="s">
        <v>1270</v>
      </c>
      <c r="V464" s="31" t="s">
        <v>1271</v>
      </c>
      <c r="W464" s="50">
        <v>45174</v>
      </c>
      <c r="X464" s="34">
        <v>90</v>
      </c>
      <c r="Y464" s="34">
        <v>1800</v>
      </c>
      <c r="Z464" s="34" t="s">
        <v>800</v>
      </c>
      <c r="AA464" s="34">
        <f t="shared" si="22"/>
        <v>0</v>
      </c>
      <c r="AB464" s="34">
        <f t="shared" si="23"/>
        <v>0</v>
      </c>
      <c r="AC464" s="25" t="s">
        <v>689</v>
      </c>
      <c r="AD464" s="25"/>
      <c r="AE464" s="25"/>
      <c r="AF464" s="25"/>
      <c r="AG464" s="25"/>
      <c r="AH464" s="35"/>
    </row>
    <row r="465" spans="1:34" ht="31.2">
      <c r="A465" s="23"/>
      <c r="B465" s="81"/>
      <c r="C465" s="25"/>
      <c r="D465" s="25"/>
      <c r="E465" s="25">
        <v>20</v>
      </c>
      <c r="F465" s="25">
        <v>50</v>
      </c>
      <c r="G465" s="26">
        <f t="shared" si="21"/>
        <v>1000</v>
      </c>
      <c r="H465" s="27" t="s">
        <v>37</v>
      </c>
      <c r="I465" s="28" t="s">
        <v>859</v>
      </c>
      <c r="J465" s="29">
        <v>50</v>
      </c>
      <c r="K465" s="29">
        <v>2</v>
      </c>
      <c r="L465" s="56" t="s">
        <v>889</v>
      </c>
      <c r="M465" s="31">
        <v>1000</v>
      </c>
      <c r="N465" s="31">
        <v>15</v>
      </c>
      <c r="O465" s="31" t="s">
        <v>899</v>
      </c>
      <c r="P465" s="32" t="s">
        <v>28</v>
      </c>
      <c r="Q465" s="33" t="s">
        <v>1268</v>
      </c>
      <c r="R465" s="33" t="s">
        <v>1269</v>
      </c>
      <c r="S465" s="29">
        <v>50</v>
      </c>
      <c r="T465" s="31" t="s">
        <v>87</v>
      </c>
      <c r="U465" s="31" t="s">
        <v>1270</v>
      </c>
      <c r="V465" s="31" t="s">
        <v>1271</v>
      </c>
      <c r="W465" s="50">
        <v>45174</v>
      </c>
      <c r="X465" s="34">
        <v>50</v>
      </c>
      <c r="Y465" s="34">
        <v>1000</v>
      </c>
      <c r="Z465" s="34" t="s">
        <v>800</v>
      </c>
      <c r="AA465" s="34">
        <f t="shared" si="22"/>
        <v>0</v>
      </c>
      <c r="AB465" s="34">
        <f t="shared" si="23"/>
        <v>0</v>
      </c>
      <c r="AC465" s="25" t="s">
        <v>689</v>
      </c>
      <c r="AD465" s="25"/>
      <c r="AE465" s="25"/>
      <c r="AF465" s="25"/>
      <c r="AG465" s="25"/>
      <c r="AH465" s="35"/>
    </row>
    <row r="466" spans="1:34" ht="31.2">
      <c r="A466" s="23" t="s">
        <v>865</v>
      </c>
      <c r="B466" s="81">
        <v>6000024449</v>
      </c>
      <c r="C466" s="25" t="s">
        <v>866</v>
      </c>
      <c r="D466" s="25" t="s">
        <v>244</v>
      </c>
      <c r="E466" s="25">
        <v>2</v>
      </c>
      <c r="F466" s="25">
        <v>10</v>
      </c>
      <c r="G466" s="26">
        <f t="shared" si="21"/>
        <v>20</v>
      </c>
      <c r="H466" s="27" t="s">
        <v>27</v>
      </c>
      <c r="I466" s="28" t="s">
        <v>859</v>
      </c>
      <c r="J466" s="29">
        <v>10</v>
      </c>
      <c r="K466" s="29">
        <v>0</v>
      </c>
      <c r="L466" s="56" t="s">
        <v>889</v>
      </c>
      <c r="M466" s="31">
        <v>20</v>
      </c>
      <c r="N466" s="31">
        <v>0</v>
      </c>
      <c r="O466" s="31" t="s">
        <v>76</v>
      </c>
      <c r="P466" s="32" t="s">
        <v>28</v>
      </c>
      <c r="Q466" s="33" t="s">
        <v>1272</v>
      </c>
      <c r="R466" s="33" t="s">
        <v>1273</v>
      </c>
      <c r="S466" s="29">
        <v>10</v>
      </c>
      <c r="T466" s="31" t="s">
        <v>87</v>
      </c>
      <c r="U466" s="31" t="s">
        <v>1274</v>
      </c>
      <c r="V466" s="31" t="s">
        <v>1275</v>
      </c>
      <c r="W466" s="50">
        <v>45178</v>
      </c>
      <c r="X466" s="34">
        <v>10</v>
      </c>
      <c r="Y466" s="34">
        <v>20</v>
      </c>
      <c r="Z466" s="34" t="s">
        <v>800</v>
      </c>
      <c r="AA466" s="34">
        <f t="shared" si="22"/>
        <v>0</v>
      </c>
      <c r="AB466" s="34">
        <f t="shared" si="23"/>
        <v>0</v>
      </c>
      <c r="AC466" s="25" t="s">
        <v>689</v>
      </c>
      <c r="AD466" s="25"/>
      <c r="AE466" s="25"/>
      <c r="AF466" s="25"/>
      <c r="AG466" s="25"/>
      <c r="AH466" s="35"/>
    </row>
    <row r="467" spans="1:34" ht="31.2">
      <c r="A467" s="23"/>
      <c r="B467" s="81"/>
      <c r="C467" s="25"/>
      <c r="D467" s="25"/>
      <c r="E467" s="25">
        <v>2</v>
      </c>
      <c r="F467" s="25">
        <v>10</v>
      </c>
      <c r="G467" s="26">
        <f t="shared" si="21"/>
        <v>20</v>
      </c>
      <c r="H467" s="27" t="s">
        <v>46</v>
      </c>
      <c r="I467" s="28" t="s">
        <v>859</v>
      </c>
      <c r="J467" s="29">
        <v>10</v>
      </c>
      <c r="K467" s="29">
        <v>0</v>
      </c>
      <c r="L467" s="56" t="s">
        <v>889</v>
      </c>
      <c r="M467" s="31">
        <v>20</v>
      </c>
      <c r="N467" s="31">
        <v>0</v>
      </c>
      <c r="O467" s="31" t="s">
        <v>76</v>
      </c>
      <c r="P467" s="32" t="s">
        <v>28</v>
      </c>
      <c r="Q467" s="33" t="s">
        <v>1272</v>
      </c>
      <c r="R467" s="33" t="s">
        <v>1273</v>
      </c>
      <c r="S467" s="29">
        <v>10</v>
      </c>
      <c r="T467" s="31" t="s">
        <v>87</v>
      </c>
      <c r="U467" s="31" t="s">
        <v>1274</v>
      </c>
      <c r="V467" s="31" t="s">
        <v>1275</v>
      </c>
      <c r="W467" s="50">
        <v>45178</v>
      </c>
      <c r="X467" s="34">
        <v>10</v>
      </c>
      <c r="Y467" s="34">
        <v>20</v>
      </c>
      <c r="Z467" s="34" t="s">
        <v>800</v>
      </c>
      <c r="AA467" s="34">
        <f t="shared" si="22"/>
        <v>0</v>
      </c>
      <c r="AB467" s="34">
        <f t="shared" si="23"/>
        <v>0</v>
      </c>
      <c r="AC467" s="25" t="s">
        <v>689</v>
      </c>
      <c r="AD467" s="25"/>
      <c r="AE467" s="25"/>
      <c r="AF467" s="25"/>
      <c r="AG467" s="25"/>
      <c r="AH467" s="35"/>
    </row>
    <row r="468" spans="1:34" ht="31.2">
      <c r="A468" s="23"/>
      <c r="B468" s="81"/>
      <c r="C468" s="25"/>
      <c r="D468" s="25"/>
      <c r="E468" s="25">
        <v>2</v>
      </c>
      <c r="F468" s="25">
        <v>10</v>
      </c>
      <c r="G468" s="26">
        <f t="shared" si="21"/>
        <v>20</v>
      </c>
      <c r="H468" s="27" t="s">
        <v>37</v>
      </c>
      <c r="I468" s="28" t="s">
        <v>859</v>
      </c>
      <c r="J468" s="29">
        <v>10</v>
      </c>
      <c r="K468" s="29">
        <v>0</v>
      </c>
      <c r="L468" s="56" t="s">
        <v>889</v>
      </c>
      <c r="M468" s="31">
        <v>20</v>
      </c>
      <c r="N468" s="31">
        <v>0</v>
      </c>
      <c r="O468" s="31" t="s">
        <v>76</v>
      </c>
      <c r="P468" s="32" t="s">
        <v>28</v>
      </c>
      <c r="Q468" s="33" t="s">
        <v>1272</v>
      </c>
      <c r="R468" s="33" t="s">
        <v>1273</v>
      </c>
      <c r="S468" s="29">
        <v>10</v>
      </c>
      <c r="T468" s="31" t="s">
        <v>87</v>
      </c>
      <c r="U468" s="31" t="s">
        <v>1274</v>
      </c>
      <c r="V468" s="31" t="s">
        <v>1275</v>
      </c>
      <c r="W468" s="50">
        <v>45178</v>
      </c>
      <c r="X468" s="34">
        <v>10</v>
      </c>
      <c r="Y468" s="34">
        <v>20</v>
      </c>
      <c r="Z468" s="34" t="s">
        <v>800</v>
      </c>
      <c r="AA468" s="34">
        <f t="shared" si="22"/>
        <v>0</v>
      </c>
      <c r="AB468" s="34">
        <f t="shared" si="23"/>
        <v>0</v>
      </c>
      <c r="AC468" s="25" t="s">
        <v>689</v>
      </c>
      <c r="AD468" s="25"/>
      <c r="AE468" s="25"/>
      <c r="AF468" s="25"/>
      <c r="AG468" s="25"/>
      <c r="AH468" s="35"/>
    </row>
    <row r="469" spans="1:34" ht="31.2">
      <c r="A469" s="23" t="s">
        <v>865</v>
      </c>
      <c r="B469" s="81">
        <v>6000024449</v>
      </c>
      <c r="C469" s="25" t="s">
        <v>867</v>
      </c>
      <c r="D469" s="25" t="s">
        <v>244</v>
      </c>
      <c r="E469" s="25">
        <v>4</v>
      </c>
      <c r="F469" s="25">
        <v>5</v>
      </c>
      <c r="G469" s="26">
        <f t="shared" si="21"/>
        <v>20</v>
      </c>
      <c r="H469" s="27" t="s">
        <v>27</v>
      </c>
      <c r="I469" s="28" t="s">
        <v>859</v>
      </c>
      <c r="J469" s="29">
        <v>5</v>
      </c>
      <c r="K469" s="29">
        <v>0</v>
      </c>
      <c r="L469" s="56" t="s">
        <v>889</v>
      </c>
      <c r="M469" s="31">
        <v>20</v>
      </c>
      <c r="N469" s="31">
        <v>0</v>
      </c>
      <c r="O469" s="31" t="s">
        <v>76</v>
      </c>
      <c r="P469" s="32" t="s">
        <v>28</v>
      </c>
      <c r="Q469" s="33" t="s">
        <v>1276</v>
      </c>
      <c r="R469" s="33" t="s">
        <v>1277</v>
      </c>
      <c r="S469" s="29">
        <v>5</v>
      </c>
      <c r="T469" s="31" t="s">
        <v>87</v>
      </c>
      <c r="U469" s="31">
        <v>8500060373</v>
      </c>
      <c r="V469" s="31">
        <v>5000915870</v>
      </c>
      <c r="W469" s="50">
        <v>45178</v>
      </c>
      <c r="X469" s="34">
        <v>5</v>
      </c>
      <c r="Y469" s="34">
        <v>20</v>
      </c>
      <c r="Z469" s="34" t="s">
        <v>800</v>
      </c>
      <c r="AA469" s="34">
        <f t="shared" si="22"/>
        <v>0</v>
      </c>
      <c r="AB469" s="34">
        <f t="shared" si="23"/>
        <v>0</v>
      </c>
      <c r="AC469" s="25" t="s">
        <v>689</v>
      </c>
      <c r="AD469" s="25"/>
      <c r="AE469" s="25"/>
      <c r="AF469" s="25"/>
      <c r="AG469" s="25"/>
      <c r="AH469" s="35"/>
    </row>
    <row r="470" spans="1:34" ht="31.2">
      <c r="A470" s="23"/>
      <c r="B470" s="81"/>
      <c r="C470" s="25"/>
      <c r="D470" s="25"/>
      <c r="E470" s="25">
        <v>4</v>
      </c>
      <c r="F470" s="25">
        <v>5</v>
      </c>
      <c r="G470" s="26">
        <f t="shared" si="21"/>
        <v>20</v>
      </c>
      <c r="H470" s="27" t="s">
        <v>46</v>
      </c>
      <c r="I470" s="28" t="s">
        <v>859</v>
      </c>
      <c r="J470" s="29">
        <v>5</v>
      </c>
      <c r="K470" s="29">
        <v>0</v>
      </c>
      <c r="L470" s="56" t="s">
        <v>889</v>
      </c>
      <c r="M470" s="31">
        <v>20</v>
      </c>
      <c r="N470" s="31">
        <v>0</v>
      </c>
      <c r="O470" s="31" t="s">
        <v>76</v>
      </c>
      <c r="P470" s="32" t="s">
        <v>28</v>
      </c>
      <c r="Q470" s="33" t="s">
        <v>1276</v>
      </c>
      <c r="R470" s="33" t="s">
        <v>1277</v>
      </c>
      <c r="S470" s="29">
        <v>5</v>
      </c>
      <c r="T470" s="31" t="s">
        <v>87</v>
      </c>
      <c r="U470" s="31">
        <v>8500060373</v>
      </c>
      <c r="V470" s="31">
        <v>5000915870</v>
      </c>
      <c r="W470" s="50">
        <v>45178</v>
      </c>
      <c r="X470" s="34">
        <v>5</v>
      </c>
      <c r="Y470" s="34">
        <v>20</v>
      </c>
      <c r="Z470" s="34" t="s">
        <v>800</v>
      </c>
      <c r="AA470" s="34">
        <f t="shared" si="22"/>
        <v>0</v>
      </c>
      <c r="AB470" s="34">
        <f t="shared" si="23"/>
        <v>0</v>
      </c>
      <c r="AC470" s="25" t="s">
        <v>689</v>
      </c>
      <c r="AD470" s="25"/>
      <c r="AE470" s="25"/>
      <c r="AF470" s="25"/>
      <c r="AG470" s="25"/>
      <c r="AH470" s="35"/>
    </row>
    <row r="471" spans="1:34" ht="31.2">
      <c r="A471" s="23"/>
      <c r="B471" s="81"/>
      <c r="C471" s="25"/>
      <c r="D471" s="25"/>
      <c r="E471" s="25">
        <v>4</v>
      </c>
      <c r="F471" s="25">
        <v>5</v>
      </c>
      <c r="G471" s="26">
        <f t="shared" si="21"/>
        <v>20</v>
      </c>
      <c r="H471" s="27" t="s">
        <v>37</v>
      </c>
      <c r="I471" s="28" t="s">
        <v>859</v>
      </c>
      <c r="J471" s="29">
        <v>5</v>
      </c>
      <c r="K471" s="29">
        <v>0</v>
      </c>
      <c r="L471" s="56" t="s">
        <v>889</v>
      </c>
      <c r="M471" s="31">
        <v>20</v>
      </c>
      <c r="N471" s="31">
        <v>0</v>
      </c>
      <c r="O471" s="31" t="s">
        <v>76</v>
      </c>
      <c r="P471" s="32" t="s">
        <v>28</v>
      </c>
      <c r="Q471" s="33" t="s">
        <v>1276</v>
      </c>
      <c r="R471" s="33" t="s">
        <v>1277</v>
      </c>
      <c r="S471" s="29">
        <v>5</v>
      </c>
      <c r="T471" s="31" t="s">
        <v>87</v>
      </c>
      <c r="U471" s="31">
        <v>8500060373</v>
      </c>
      <c r="V471" s="31">
        <v>5000915870</v>
      </c>
      <c r="W471" s="50">
        <v>45178</v>
      </c>
      <c r="X471" s="34">
        <v>5</v>
      </c>
      <c r="Y471" s="34">
        <v>20</v>
      </c>
      <c r="Z471" s="34" t="s">
        <v>800</v>
      </c>
      <c r="AA471" s="34">
        <f t="shared" si="22"/>
        <v>0</v>
      </c>
      <c r="AB471" s="34">
        <f t="shared" si="23"/>
        <v>0</v>
      </c>
      <c r="AC471" s="25" t="s">
        <v>689</v>
      </c>
      <c r="AD471" s="25"/>
      <c r="AE471" s="25"/>
      <c r="AF471" s="25"/>
      <c r="AG471" s="25"/>
      <c r="AH471" s="35"/>
    </row>
    <row r="472" spans="1:34" ht="15.6">
      <c r="A472" s="23" t="s">
        <v>868</v>
      </c>
      <c r="B472" s="207">
        <v>6000024364</v>
      </c>
      <c r="C472" s="25" t="s">
        <v>869</v>
      </c>
      <c r="D472" s="25">
        <v>6000024364</v>
      </c>
      <c r="E472" s="25">
        <v>20</v>
      </c>
      <c r="F472" s="25">
        <v>400</v>
      </c>
      <c r="G472" s="26">
        <f t="shared" si="21"/>
        <v>8000</v>
      </c>
      <c r="H472" s="27" t="s">
        <v>27</v>
      </c>
      <c r="I472" s="28" t="s">
        <v>76</v>
      </c>
      <c r="J472" s="29">
        <v>0</v>
      </c>
      <c r="K472" s="29">
        <v>0</v>
      </c>
      <c r="L472" s="56" t="s">
        <v>76</v>
      </c>
      <c r="M472" s="31">
        <v>0</v>
      </c>
      <c r="N472" s="31">
        <v>0</v>
      </c>
      <c r="O472" s="31" t="s">
        <v>76</v>
      </c>
      <c r="P472" s="32" t="s">
        <v>76</v>
      </c>
      <c r="Q472" s="33" t="s">
        <v>76</v>
      </c>
      <c r="R472" s="33" t="s">
        <v>76</v>
      </c>
      <c r="S472" s="29">
        <v>0</v>
      </c>
      <c r="T472" s="31" t="s">
        <v>76</v>
      </c>
      <c r="U472" s="31" t="s">
        <v>76</v>
      </c>
      <c r="V472" s="31" t="s">
        <v>76</v>
      </c>
      <c r="W472" s="50" t="s">
        <v>76</v>
      </c>
      <c r="X472" s="34">
        <v>0</v>
      </c>
      <c r="Y472" s="34">
        <v>0</v>
      </c>
      <c r="Z472" s="34" t="s">
        <v>76</v>
      </c>
      <c r="AA472" s="34">
        <f t="shared" si="22"/>
        <v>0</v>
      </c>
      <c r="AB472" s="34">
        <f t="shared" si="23"/>
        <v>0</v>
      </c>
      <c r="AC472" s="25" t="s">
        <v>689</v>
      </c>
      <c r="AD472" s="25"/>
      <c r="AE472" s="25"/>
      <c r="AF472" s="25"/>
      <c r="AG472" s="25"/>
      <c r="AH472" s="35"/>
    </row>
    <row r="473" spans="1:34" ht="31.2">
      <c r="A473" s="23" t="s">
        <v>868</v>
      </c>
      <c r="B473" s="207">
        <v>6000024364</v>
      </c>
      <c r="C473" s="25" t="s">
        <v>869</v>
      </c>
      <c r="D473" s="25">
        <v>6000024364</v>
      </c>
      <c r="E473" s="25">
        <v>20</v>
      </c>
      <c r="F473" s="25">
        <v>830</v>
      </c>
      <c r="G473" s="26">
        <f t="shared" si="21"/>
        <v>16600</v>
      </c>
      <c r="H473" s="27" t="s">
        <v>46</v>
      </c>
      <c r="I473" s="28" t="s">
        <v>859</v>
      </c>
      <c r="J473" s="29">
        <v>830</v>
      </c>
      <c r="K473" s="29">
        <v>9</v>
      </c>
      <c r="L473" s="56" t="s">
        <v>76</v>
      </c>
      <c r="M473" s="31">
        <v>0</v>
      </c>
      <c r="N473" s="31">
        <v>0</v>
      </c>
      <c r="O473" s="31" t="s">
        <v>76</v>
      </c>
      <c r="P473" s="32" t="s">
        <v>28</v>
      </c>
      <c r="Q473" s="33" t="s">
        <v>76</v>
      </c>
      <c r="R473" s="33" t="s">
        <v>76</v>
      </c>
      <c r="S473" s="29">
        <v>830</v>
      </c>
      <c r="T473" s="31" t="s">
        <v>76</v>
      </c>
      <c r="U473" s="31" t="s">
        <v>76</v>
      </c>
      <c r="V473" s="31" t="s">
        <v>76</v>
      </c>
      <c r="W473" s="50" t="s">
        <v>1417</v>
      </c>
      <c r="X473" s="34">
        <f>400+430</f>
        <v>830</v>
      </c>
      <c r="Y473" s="34">
        <v>0</v>
      </c>
      <c r="Z473" s="34" t="s">
        <v>902</v>
      </c>
      <c r="AA473" s="34">
        <f t="shared" si="22"/>
        <v>0</v>
      </c>
      <c r="AB473" s="34">
        <f t="shared" si="23"/>
        <v>0</v>
      </c>
      <c r="AC473" s="25" t="s">
        <v>689</v>
      </c>
      <c r="AD473" s="25"/>
      <c r="AE473" s="25"/>
      <c r="AF473" s="25"/>
      <c r="AG473" s="25"/>
      <c r="AH473" s="35"/>
    </row>
    <row r="474" spans="1:34" ht="15.6">
      <c r="A474" s="23" t="s">
        <v>868</v>
      </c>
      <c r="B474" s="207">
        <v>6000024364</v>
      </c>
      <c r="C474" s="25" t="s">
        <v>869</v>
      </c>
      <c r="D474" s="25">
        <v>6000024364</v>
      </c>
      <c r="E474" s="25">
        <v>20</v>
      </c>
      <c r="F474" s="25">
        <v>350</v>
      </c>
      <c r="G474" s="26">
        <f t="shared" si="21"/>
        <v>7000</v>
      </c>
      <c r="H474" s="27" t="s">
        <v>37</v>
      </c>
      <c r="I474" s="28" t="s">
        <v>76</v>
      </c>
      <c r="J474" s="29">
        <v>0</v>
      </c>
      <c r="K474" s="29">
        <v>0</v>
      </c>
      <c r="L474" s="56" t="s">
        <v>76</v>
      </c>
      <c r="M474" s="31">
        <v>0</v>
      </c>
      <c r="N474" s="31">
        <v>0</v>
      </c>
      <c r="O474" s="31" t="s">
        <v>76</v>
      </c>
      <c r="P474" s="32" t="s">
        <v>76</v>
      </c>
      <c r="Q474" s="33" t="s">
        <v>76</v>
      </c>
      <c r="R474" s="33" t="s">
        <v>76</v>
      </c>
      <c r="S474" s="29">
        <v>0</v>
      </c>
      <c r="T474" s="31" t="s">
        <v>76</v>
      </c>
      <c r="U474" s="31" t="s">
        <v>76</v>
      </c>
      <c r="V474" s="31" t="s">
        <v>76</v>
      </c>
      <c r="W474" s="50"/>
      <c r="X474" s="34">
        <v>0</v>
      </c>
      <c r="Y474" s="34">
        <v>0</v>
      </c>
      <c r="Z474" s="34" t="s">
        <v>76</v>
      </c>
      <c r="AA474" s="34">
        <f t="shared" si="22"/>
        <v>0</v>
      </c>
      <c r="AB474" s="34">
        <f t="shared" si="23"/>
        <v>0</v>
      </c>
      <c r="AC474" s="25" t="s">
        <v>689</v>
      </c>
      <c r="AD474" s="25"/>
      <c r="AE474" s="25"/>
      <c r="AF474" s="25"/>
      <c r="AG474" s="25"/>
      <c r="AH474" s="35"/>
    </row>
    <row r="475" spans="1:34" ht="31.2">
      <c r="A475" s="23" t="s">
        <v>868</v>
      </c>
      <c r="B475" s="207">
        <v>6000024365</v>
      </c>
      <c r="C475" s="25" t="s">
        <v>869</v>
      </c>
      <c r="D475" s="25">
        <v>6000024365</v>
      </c>
      <c r="E475" s="25">
        <v>20</v>
      </c>
      <c r="F475" s="25">
        <v>50</v>
      </c>
      <c r="G475" s="26">
        <f t="shared" si="21"/>
        <v>1000</v>
      </c>
      <c r="H475" s="27" t="s">
        <v>243</v>
      </c>
      <c r="I475" s="28" t="s">
        <v>859</v>
      </c>
      <c r="J475" s="29">
        <v>50</v>
      </c>
      <c r="K475" s="29">
        <v>1</v>
      </c>
      <c r="L475" s="56" t="s">
        <v>76</v>
      </c>
      <c r="M475" s="31">
        <v>0</v>
      </c>
      <c r="N475" s="31">
        <v>0</v>
      </c>
      <c r="O475" s="31" t="s">
        <v>76</v>
      </c>
      <c r="P475" s="32" t="s">
        <v>28</v>
      </c>
      <c r="Q475" s="33" t="s">
        <v>76</v>
      </c>
      <c r="R475" s="33" t="s">
        <v>76</v>
      </c>
      <c r="S475" s="29">
        <v>50</v>
      </c>
      <c r="T475" s="31" t="s">
        <v>76</v>
      </c>
      <c r="U475" s="31" t="s">
        <v>76</v>
      </c>
      <c r="V475" s="31" t="s">
        <v>76</v>
      </c>
      <c r="W475" s="50">
        <v>45163</v>
      </c>
      <c r="X475" s="34">
        <v>50</v>
      </c>
      <c r="Y475" s="34">
        <v>0</v>
      </c>
      <c r="Z475" s="34" t="s">
        <v>902</v>
      </c>
      <c r="AA475" s="34">
        <f t="shared" si="22"/>
        <v>0</v>
      </c>
      <c r="AB475" s="34">
        <f t="shared" si="23"/>
        <v>0</v>
      </c>
      <c r="AC475" s="25" t="s">
        <v>689</v>
      </c>
      <c r="AD475" s="25"/>
      <c r="AE475" s="25"/>
      <c r="AF475" s="25"/>
      <c r="AG475" s="25"/>
      <c r="AH475" s="35"/>
    </row>
    <row r="476" spans="1:34" ht="31.2">
      <c r="A476" s="23" t="s">
        <v>868</v>
      </c>
      <c r="B476" s="207">
        <v>6000024365</v>
      </c>
      <c r="C476" s="25" t="s">
        <v>869</v>
      </c>
      <c r="D476" s="25">
        <v>6000024365</v>
      </c>
      <c r="E476" s="25">
        <v>20</v>
      </c>
      <c r="F476" s="25">
        <v>400</v>
      </c>
      <c r="G476" s="26">
        <f t="shared" si="21"/>
        <v>8000</v>
      </c>
      <c r="H476" s="27" t="s">
        <v>27</v>
      </c>
      <c r="I476" s="28" t="s">
        <v>859</v>
      </c>
      <c r="J476" s="29">
        <v>400</v>
      </c>
      <c r="K476" s="29">
        <v>3</v>
      </c>
      <c r="L476" s="56" t="s">
        <v>76</v>
      </c>
      <c r="M476" s="31">
        <v>0</v>
      </c>
      <c r="N476" s="31">
        <v>0</v>
      </c>
      <c r="O476" s="31" t="s">
        <v>76</v>
      </c>
      <c r="P476" s="32" t="s">
        <v>28</v>
      </c>
      <c r="Q476" s="33" t="s">
        <v>76</v>
      </c>
      <c r="R476" s="33" t="s">
        <v>76</v>
      </c>
      <c r="S476" s="29">
        <v>400</v>
      </c>
      <c r="T476" s="31" t="s">
        <v>76</v>
      </c>
      <c r="U476" s="31" t="s">
        <v>76</v>
      </c>
      <c r="V476" s="31" t="s">
        <v>76</v>
      </c>
      <c r="W476" s="50">
        <v>45164</v>
      </c>
      <c r="X476" s="34">
        <v>400</v>
      </c>
      <c r="Y476" s="34">
        <v>0</v>
      </c>
      <c r="Z476" s="34" t="s">
        <v>902</v>
      </c>
      <c r="AA476" s="34">
        <f t="shared" si="22"/>
        <v>0</v>
      </c>
      <c r="AB476" s="34">
        <f t="shared" si="23"/>
        <v>0</v>
      </c>
      <c r="AC476" s="25" t="s">
        <v>689</v>
      </c>
      <c r="AD476" s="25"/>
      <c r="AE476" s="25"/>
      <c r="AF476" s="25"/>
      <c r="AG476" s="25"/>
      <c r="AH476" s="35"/>
    </row>
    <row r="477" spans="1:34" ht="31.2">
      <c r="A477" s="23" t="s">
        <v>868</v>
      </c>
      <c r="B477" s="207">
        <v>6000024365</v>
      </c>
      <c r="C477" s="25" t="s">
        <v>869</v>
      </c>
      <c r="D477" s="25">
        <v>6000024365</v>
      </c>
      <c r="E477" s="25">
        <v>20</v>
      </c>
      <c r="F477" s="25">
        <v>880</v>
      </c>
      <c r="G477" s="26">
        <f t="shared" si="21"/>
        <v>17600</v>
      </c>
      <c r="H477" s="27" t="s">
        <v>46</v>
      </c>
      <c r="I477" s="28" t="s">
        <v>859</v>
      </c>
      <c r="J477" s="29">
        <v>880</v>
      </c>
      <c r="K477" s="29">
        <v>10</v>
      </c>
      <c r="L477" s="56" t="s">
        <v>76</v>
      </c>
      <c r="M477" s="31">
        <v>0</v>
      </c>
      <c r="N477" s="31">
        <v>0</v>
      </c>
      <c r="O477" s="31" t="s">
        <v>76</v>
      </c>
      <c r="P477" s="32" t="s">
        <v>28</v>
      </c>
      <c r="Q477" s="33" t="s">
        <v>76</v>
      </c>
      <c r="R477" s="33" t="s">
        <v>76</v>
      </c>
      <c r="S477" s="29">
        <v>880</v>
      </c>
      <c r="T477" s="31" t="s">
        <v>76</v>
      </c>
      <c r="U477" s="31" t="s">
        <v>76</v>
      </c>
      <c r="V477" s="31" t="s">
        <v>76</v>
      </c>
      <c r="W477" s="50">
        <v>45164</v>
      </c>
      <c r="X477" s="34">
        <v>880</v>
      </c>
      <c r="Y477" s="34">
        <v>0</v>
      </c>
      <c r="Z477" s="34" t="s">
        <v>902</v>
      </c>
      <c r="AA477" s="34">
        <f t="shared" si="22"/>
        <v>0</v>
      </c>
      <c r="AB477" s="34">
        <f t="shared" si="23"/>
        <v>0</v>
      </c>
      <c r="AC477" s="25" t="s">
        <v>689</v>
      </c>
      <c r="AD477" s="25"/>
      <c r="AE477" s="25"/>
      <c r="AF477" s="25"/>
      <c r="AG477" s="25"/>
      <c r="AH477" s="35"/>
    </row>
    <row r="478" spans="1:34" ht="31.2">
      <c r="A478" s="23" t="s">
        <v>868</v>
      </c>
      <c r="B478" s="207">
        <v>6000024365</v>
      </c>
      <c r="C478" s="25" t="s">
        <v>869</v>
      </c>
      <c r="D478" s="25">
        <v>6000024365</v>
      </c>
      <c r="E478" s="25">
        <v>20</v>
      </c>
      <c r="F478" s="25">
        <v>250</v>
      </c>
      <c r="G478" s="26">
        <f t="shared" si="21"/>
        <v>5000</v>
      </c>
      <c r="H478" s="27" t="s">
        <v>37</v>
      </c>
      <c r="I478" s="28" t="s">
        <v>859</v>
      </c>
      <c r="J478" s="29">
        <v>250</v>
      </c>
      <c r="K478" s="29">
        <v>3</v>
      </c>
      <c r="L478" s="56" t="s">
        <v>76</v>
      </c>
      <c r="M478" s="31">
        <v>0</v>
      </c>
      <c r="N478" s="31">
        <v>0</v>
      </c>
      <c r="O478" s="31" t="s">
        <v>76</v>
      </c>
      <c r="P478" s="32" t="s">
        <v>28</v>
      </c>
      <c r="Q478" s="33" t="s">
        <v>76</v>
      </c>
      <c r="R478" s="33" t="s">
        <v>76</v>
      </c>
      <c r="S478" s="29">
        <v>250</v>
      </c>
      <c r="T478" s="31" t="s">
        <v>76</v>
      </c>
      <c r="U478" s="31" t="s">
        <v>76</v>
      </c>
      <c r="V478" s="31" t="s">
        <v>76</v>
      </c>
      <c r="W478" s="50">
        <v>45163</v>
      </c>
      <c r="X478" s="34">
        <v>250</v>
      </c>
      <c r="Y478" s="34">
        <v>0</v>
      </c>
      <c r="Z478" s="34" t="s">
        <v>902</v>
      </c>
      <c r="AA478" s="34">
        <f t="shared" si="22"/>
        <v>0</v>
      </c>
      <c r="AB478" s="34">
        <f t="shared" si="23"/>
        <v>0</v>
      </c>
      <c r="AC478" s="25" t="s">
        <v>689</v>
      </c>
      <c r="AD478" s="25"/>
      <c r="AE478" s="25"/>
      <c r="AF478" s="25"/>
      <c r="AG478" s="25"/>
      <c r="AH478" s="35"/>
    </row>
    <row r="479" spans="1:34" ht="31.2">
      <c r="A479" s="23" t="s">
        <v>240</v>
      </c>
      <c r="B479" s="81">
        <v>6000024194</v>
      </c>
      <c r="C479" s="25" t="s">
        <v>882</v>
      </c>
      <c r="D479" s="25" t="s">
        <v>881</v>
      </c>
      <c r="E479" s="25">
        <v>10</v>
      </c>
      <c r="F479" s="25">
        <v>420</v>
      </c>
      <c r="G479" s="26">
        <f t="shared" si="21"/>
        <v>4200</v>
      </c>
      <c r="H479" s="27" t="s">
        <v>243</v>
      </c>
      <c r="I479" s="28" t="s">
        <v>880</v>
      </c>
      <c r="J479" s="29">
        <v>420</v>
      </c>
      <c r="K479" s="29">
        <v>11</v>
      </c>
      <c r="L479" s="56" t="s">
        <v>1138</v>
      </c>
      <c r="M479" s="31">
        <v>4200</v>
      </c>
      <c r="N479" s="31">
        <v>42</v>
      </c>
      <c r="O479" s="31" t="s">
        <v>1281</v>
      </c>
      <c r="P479" s="32" t="s">
        <v>28</v>
      </c>
      <c r="Q479" s="33" t="s">
        <v>1200</v>
      </c>
      <c r="R479" s="33" t="s">
        <v>1278</v>
      </c>
      <c r="S479" s="29">
        <v>420</v>
      </c>
      <c r="T479" s="31" t="s">
        <v>890</v>
      </c>
      <c r="U479" s="31" t="s">
        <v>1279</v>
      </c>
      <c r="V479" s="31" t="s">
        <v>1280</v>
      </c>
      <c r="W479" s="50" t="s">
        <v>1425</v>
      </c>
      <c r="X479" s="34">
        <f>240+180</f>
        <v>420</v>
      </c>
      <c r="Y479" s="34">
        <f>2400+1800</f>
        <v>4200</v>
      </c>
      <c r="Z479" s="34" t="s">
        <v>802</v>
      </c>
      <c r="AA479" s="34">
        <f t="shared" si="22"/>
        <v>0</v>
      </c>
      <c r="AB479" s="34">
        <f t="shared" si="23"/>
        <v>0</v>
      </c>
      <c r="AC479" s="25" t="s">
        <v>36</v>
      </c>
      <c r="AD479" s="25" t="s">
        <v>894</v>
      </c>
      <c r="AE479" s="25"/>
      <c r="AF479" s="25"/>
      <c r="AG479" s="25"/>
      <c r="AH479" s="35"/>
    </row>
    <row r="480" spans="1:34" ht="31.2">
      <c r="A480" s="23"/>
      <c r="B480" s="81"/>
      <c r="C480" s="25"/>
      <c r="D480" s="25"/>
      <c r="E480" s="25">
        <v>10</v>
      </c>
      <c r="F480" s="25">
        <v>420</v>
      </c>
      <c r="G480" s="26">
        <f t="shared" si="21"/>
        <v>4200</v>
      </c>
      <c r="H480" s="27" t="s">
        <v>27</v>
      </c>
      <c r="I480" s="28" t="s">
        <v>880</v>
      </c>
      <c r="J480" s="29">
        <v>420</v>
      </c>
      <c r="K480" s="29">
        <v>10</v>
      </c>
      <c r="L480" s="56" t="s">
        <v>1138</v>
      </c>
      <c r="M480" s="31">
        <v>4200</v>
      </c>
      <c r="N480" s="31">
        <v>42</v>
      </c>
      <c r="O480" s="31" t="s">
        <v>1282</v>
      </c>
      <c r="P480" s="32" t="s">
        <v>28</v>
      </c>
      <c r="Q480" s="33" t="s">
        <v>1200</v>
      </c>
      <c r="R480" s="33" t="s">
        <v>1278</v>
      </c>
      <c r="S480" s="29">
        <v>420</v>
      </c>
      <c r="T480" s="31" t="s">
        <v>890</v>
      </c>
      <c r="U480" s="31" t="s">
        <v>1279</v>
      </c>
      <c r="V480" s="31" t="s">
        <v>1280</v>
      </c>
      <c r="W480" s="50" t="s">
        <v>1435</v>
      </c>
      <c r="X480" s="34">
        <f>245+175</f>
        <v>420</v>
      </c>
      <c r="Y480" s="34">
        <f>2450+1750</f>
        <v>4200</v>
      </c>
      <c r="Z480" s="34" t="s">
        <v>801</v>
      </c>
      <c r="AA480" s="34">
        <f t="shared" si="22"/>
        <v>0</v>
      </c>
      <c r="AB480" s="34">
        <f t="shared" si="23"/>
        <v>0</v>
      </c>
      <c r="AC480" s="25" t="s">
        <v>36</v>
      </c>
      <c r="AD480" s="25"/>
      <c r="AE480" s="25"/>
      <c r="AF480" s="25"/>
      <c r="AG480" s="25"/>
      <c r="AH480" s="35"/>
    </row>
    <row r="481" spans="1:34" ht="31.2">
      <c r="A481" s="23"/>
      <c r="B481" s="81"/>
      <c r="C481" s="25"/>
      <c r="D481" s="25"/>
      <c r="E481" s="25">
        <v>10</v>
      </c>
      <c r="F481" s="25">
        <v>140</v>
      </c>
      <c r="G481" s="26">
        <f t="shared" si="21"/>
        <v>1400</v>
      </c>
      <c r="H481" s="27" t="s">
        <v>46</v>
      </c>
      <c r="I481" s="28" t="s">
        <v>880</v>
      </c>
      <c r="J481" s="29">
        <v>140</v>
      </c>
      <c r="K481" s="29">
        <v>8</v>
      </c>
      <c r="L481" s="56" t="s">
        <v>889</v>
      </c>
      <c r="M481" s="31">
        <v>1400</v>
      </c>
      <c r="N481" s="31">
        <v>14</v>
      </c>
      <c r="O481" s="31" t="s">
        <v>892</v>
      </c>
      <c r="P481" s="32" t="s">
        <v>28</v>
      </c>
      <c r="Q481" s="33" t="s">
        <v>1200</v>
      </c>
      <c r="R481" s="33" t="s">
        <v>1278</v>
      </c>
      <c r="S481" s="29">
        <v>140</v>
      </c>
      <c r="T481" s="31" t="s">
        <v>890</v>
      </c>
      <c r="U481" s="31" t="s">
        <v>1283</v>
      </c>
      <c r="V481" s="31" t="s">
        <v>1284</v>
      </c>
      <c r="W481" s="50" t="s">
        <v>1503</v>
      </c>
      <c r="X481" s="34">
        <f>20+120</f>
        <v>140</v>
      </c>
      <c r="Y481" s="34">
        <f>200+1200</f>
        <v>1400</v>
      </c>
      <c r="Z481" s="34" t="s">
        <v>802</v>
      </c>
      <c r="AA481" s="34">
        <f t="shared" si="22"/>
        <v>0</v>
      </c>
      <c r="AB481" s="34">
        <f t="shared" si="23"/>
        <v>0</v>
      </c>
      <c r="AC481" s="25" t="s">
        <v>36</v>
      </c>
      <c r="AD481" s="25"/>
      <c r="AE481" s="25"/>
      <c r="AF481" s="25"/>
      <c r="AG481" s="25"/>
      <c r="AH481" s="35"/>
    </row>
    <row r="482" spans="1:34" ht="31.2">
      <c r="A482" s="23"/>
      <c r="B482" s="81"/>
      <c r="C482" s="25"/>
      <c r="D482" s="25"/>
      <c r="E482" s="25">
        <v>10</v>
      </c>
      <c r="F482" s="25">
        <v>70</v>
      </c>
      <c r="G482" s="26">
        <f t="shared" si="21"/>
        <v>700</v>
      </c>
      <c r="H482" s="27" t="s">
        <v>37</v>
      </c>
      <c r="I482" s="28" t="s">
        <v>880</v>
      </c>
      <c r="J482" s="29">
        <v>70</v>
      </c>
      <c r="K482" s="29">
        <v>8</v>
      </c>
      <c r="L482" s="56" t="s">
        <v>889</v>
      </c>
      <c r="M482" s="31">
        <v>700</v>
      </c>
      <c r="N482" s="31">
        <v>7</v>
      </c>
      <c r="O482" s="31" t="s">
        <v>893</v>
      </c>
      <c r="P482" s="32" t="s">
        <v>28</v>
      </c>
      <c r="Q482" s="33" t="s">
        <v>1200</v>
      </c>
      <c r="R482" s="33" t="s">
        <v>1278</v>
      </c>
      <c r="S482" s="29">
        <v>70</v>
      </c>
      <c r="T482" s="31" t="s">
        <v>890</v>
      </c>
      <c r="U482" s="31" t="s">
        <v>1283</v>
      </c>
      <c r="V482" s="31" t="s">
        <v>1284</v>
      </c>
      <c r="W482" s="50">
        <v>45173</v>
      </c>
      <c r="X482" s="34">
        <v>70</v>
      </c>
      <c r="Y482" s="34">
        <v>700</v>
      </c>
      <c r="Z482" s="34" t="s">
        <v>801</v>
      </c>
      <c r="AA482" s="34">
        <f t="shared" si="22"/>
        <v>0</v>
      </c>
      <c r="AB482" s="34">
        <f t="shared" si="23"/>
        <v>0</v>
      </c>
      <c r="AC482" s="25" t="s">
        <v>36</v>
      </c>
      <c r="AD482" s="25"/>
      <c r="AE482" s="25"/>
      <c r="AF482" s="25"/>
      <c r="AG482" s="25"/>
      <c r="AH482" s="35"/>
    </row>
    <row r="483" spans="1:34" ht="31.2">
      <c r="A483" s="23" t="s">
        <v>240</v>
      </c>
      <c r="B483" s="81">
        <v>6000024194</v>
      </c>
      <c r="C483" s="25" t="s">
        <v>882</v>
      </c>
      <c r="D483" s="25" t="s">
        <v>244</v>
      </c>
      <c r="E483" s="25">
        <v>1.5</v>
      </c>
      <c r="F483" s="25">
        <v>10</v>
      </c>
      <c r="G483" s="26">
        <f t="shared" si="21"/>
        <v>15</v>
      </c>
      <c r="H483" s="27" t="s">
        <v>243</v>
      </c>
      <c r="I483" s="28" t="s">
        <v>880</v>
      </c>
      <c r="J483" s="29">
        <v>10</v>
      </c>
      <c r="K483" s="29">
        <v>0</v>
      </c>
      <c r="L483" s="56" t="s">
        <v>889</v>
      </c>
      <c r="M483" s="31">
        <v>15</v>
      </c>
      <c r="N483" s="31">
        <v>0</v>
      </c>
      <c r="O483" s="31" t="s">
        <v>76</v>
      </c>
      <c r="P483" s="32" t="s">
        <v>28</v>
      </c>
      <c r="Q483" s="33" t="s">
        <v>1285</v>
      </c>
      <c r="R483" s="33" t="s">
        <v>1286</v>
      </c>
      <c r="S483" s="29">
        <v>10</v>
      </c>
      <c r="T483" s="31" t="s">
        <v>890</v>
      </c>
      <c r="U483" s="31" t="s">
        <v>1287</v>
      </c>
      <c r="V483" s="31" t="s">
        <v>1288</v>
      </c>
      <c r="W483" s="50">
        <v>45176</v>
      </c>
      <c r="X483" s="34">
        <v>10</v>
      </c>
      <c r="Y483" s="34">
        <v>15</v>
      </c>
      <c r="Z483" s="34" t="s">
        <v>800</v>
      </c>
      <c r="AA483" s="34">
        <f t="shared" si="22"/>
        <v>0</v>
      </c>
      <c r="AB483" s="34">
        <f t="shared" si="23"/>
        <v>0</v>
      </c>
      <c r="AC483" s="25" t="s">
        <v>36</v>
      </c>
      <c r="AD483" s="25"/>
      <c r="AE483" s="25"/>
      <c r="AF483" s="25"/>
      <c r="AG483" s="25"/>
      <c r="AH483" s="35"/>
    </row>
    <row r="484" spans="1:34" ht="31.2">
      <c r="A484" s="23"/>
      <c r="B484" s="81"/>
      <c r="C484" s="25"/>
      <c r="D484" s="25"/>
      <c r="E484" s="25">
        <v>1.5</v>
      </c>
      <c r="F484" s="25">
        <v>10</v>
      </c>
      <c r="G484" s="26">
        <f t="shared" si="21"/>
        <v>15</v>
      </c>
      <c r="H484" s="27" t="s">
        <v>27</v>
      </c>
      <c r="I484" s="28" t="s">
        <v>880</v>
      </c>
      <c r="J484" s="29">
        <v>10</v>
      </c>
      <c r="K484" s="29">
        <v>1</v>
      </c>
      <c r="L484" s="56" t="s">
        <v>889</v>
      </c>
      <c r="M484" s="31">
        <v>15</v>
      </c>
      <c r="N484" s="31">
        <v>0</v>
      </c>
      <c r="O484" s="31" t="s">
        <v>76</v>
      </c>
      <c r="P484" s="32" t="s">
        <v>28</v>
      </c>
      <c r="Q484" s="33" t="s">
        <v>1285</v>
      </c>
      <c r="R484" s="33" t="s">
        <v>1286</v>
      </c>
      <c r="S484" s="29">
        <v>10</v>
      </c>
      <c r="T484" s="31" t="s">
        <v>890</v>
      </c>
      <c r="U484" s="31" t="s">
        <v>1287</v>
      </c>
      <c r="V484" s="31" t="s">
        <v>1288</v>
      </c>
      <c r="W484" s="50">
        <v>45176</v>
      </c>
      <c r="X484" s="34">
        <v>10</v>
      </c>
      <c r="Y484" s="34">
        <v>15</v>
      </c>
      <c r="Z484" s="34" t="s">
        <v>800</v>
      </c>
      <c r="AA484" s="34">
        <f t="shared" si="22"/>
        <v>0</v>
      </c>
      <c r="AB484" s="34">
        <f t="shared" si="23"/>
        <v>0</v>
      </c>
      <c r="AC484" s="25" t="s">
        <v>36</v>
      </c>
      <c r="AD484" s="25"/>
      <c r="AE484" s="25"/>
      <c r="AF484" s="25"/>
      <c r="AG484" s="25"/>
      <c r="AH484" s="35"/>
    </row>
    <row r="485" spans="1:34" ht="31.2">
      <c r="A485" s="23"/>
      <c r="B485" s="81"/>
      <c r="C485" s="25"/>
      <c r="D485" s="25"/>
      <c r="E485" s="25">
        <v>1.5</v>
      </c>
      <c r="F485" s="25">
        <v>10</v>
      </c>
      <c r="G485" s="26">
        <f t="shared" si="21"/>
        <v>15</v>
      </c>
      <c r="H485" s="27" t="s">
        <v>46</v>
      </c>
      <c r="I485" s="28" t="s">
        <v>880</v>
      </c>
      <c r="J485" s="29">
        <v>10</v>
      </c>
      <c r="K485" s="29">
        <v>1</v>
      </c>
      <c r="L485" s="56" t="s">
        <v>889</v>
      </c>
      <c r="M485" s="31">
        <v>15</v>
      </c>
      <c r="N485" s="31">
        <v>0</v>
      </c>
      <c r="O485" s="31" t="s">
        <v>76</v>
      </c>
      <c r="P485" s="32" t="s">
        <v>28</v>
      </c>
      <c r="Q485" s="33" t="s">
        <v>1285</v>
      </c>
      <c r="R485" s="33" t="s">
        <v>1286</v>
      </c>
      <c r="S485" s="29">
        <v>10</v>
      </c>
      <c r="T485" s="31" t="s">
        <v>890</v>
      </c>
      <c r="U485" s="31" t="s">
        <v>1287</v>
      </c>
      <c r="V485" s="31" t="s">
        <v>1288</v>
      </c>
      <c r="W485" s="50">
        <v>45176</v>
      </c>
      <c r="X485" s="34">
        <v>10</v>
      </c>
      <c r="Y485" s="34">
        <v>15</v>
      </c>
      <c r="Z485" s="34" t="s">
        <v>800</v>
      </c>
      <c r="AA485" s="34">
        <f t="shared" si="22"/>
        <v>0</v>
      </c>
      <c r="AB485" s="34">
        <f t="shared" si="23"/>
        <v>0</v>
      </c>
      <c r="AC485" s="25" t="s">
        <v>36</v>
      </c>
      <c r="AD485" s="25"/>
      <c r="AE485" s="25"/>
      <c r="AF485" s="25"/>
      <c r="AG485" s="25"/>
      <c r="AH485" s="35"/>
    </row>
    <row r="486" spans="1:34" ht="31.2">
      <c r="A486" s="23"/>
      <c r="B486" s="81"/>
      <c r="C486" s="25"/>
      <c r="D486" s="25"/>
      <c r="E486" s="25">
        <v>1.5</v>
      </c>
      <c r="F486" s="25">
        <v>10</v>
      </c>
      <c r="G486" s="26">
        <f t="shared" si="21"/>
        <v>15</v>
      </c>
      <c r="H486" s="27" t="s">
        <v>37</v>
      </c>
      <c r="I486" s="28" t="s">
        <v>880</v>
      </c>
      <c r="J486" s="29">
        <v>10</v>
      </c>
      <c r="K486" s="29">
        <v>1</v>
      </c>
      <c r="L486" s="56" t="s">
        <v>889</v>
      </c>
      <c r="M486" s="31">
        <v>15</v>
      </c>
      <c r="N486" s="31">
        <v>0</v>
      </c>
      <c r="O486" s="31" t="s">
        <v>76</v>
      </c>
      <c r="P486" s="32" t="s">
        <v>28</v>
      </c>
      <c r="Q486" s="33" t="s">
        <v>1285</v>
      </c>
      <c r="R486" s="33" t="s">
        <v>1286</v>
      </c>
      <c r="S486" s="29">
        <v>10</v>
      </c>
      <c r="T486" s="31" t="s">
        <v>890</v>
      </c>
      <c r="U486" s="31" t="s">
        <v>1287</v>
      </c>
      <c r="V486" s="31" t="s">
        <v>1288</v>
      </c>
      <c r="W486" s="50">
        <v>45176</v>
      </c>
      <c r="X486" s="34">
        <v>10</v>
      </c>
      <c r="Y486" s="34">
        <v>15</v>
      </c>
      <c r="Z486" s="34" t="s">
        <v>800</v>
      </c>
      <c r="AA486" s="34">
        <f t="shared" si="22"/>
        <v>0</v>
      </c>
      <c r="AB486" s="34">
        <f t="shared" si="23"/>
        <v>0</v>
      </c>
      <c r="AC486" s="25" t="s">
        <v>36</v>
      </c>
      <c r="AD486" s="25"/>
      <c r="AE486" s="25"/>
      <c r="AF486" s="25"/>
      <c r="AG486" s="25"/>
      <c r="AH486" s="35"/>
    </row>
    <row r="487" spans="1:34" ht="31.2">
      <c r="A487" s="23" t="s">
        <v>279</v>
      </c>
      <c r="B487" s="81">
        <v>6000024631</v>
      </c>
      <c r="C487" s="25" t="s">
        <v>907</v>
      </c>
      <c r="D487" s="25" t="s">
        <v>906</v>
      </c>
      <c r="E487" s="25">
        <v>10</v>
      </c>
      <c r="F487" s="25">
        <v>2380</v>
      </c>
      <c r="G487" s="26">
        <f t="shared" si="21"/>
        <v>23800</v>
      </c>
      <c r="H487" s="27" t="s">
        <v>27</v>
      </c>
      <c r="I487" s="28" t="s">
        <v>912</v>
      </c>
      <c r="J487" s="29">
        <v>2380</v>
      </c>
      <c r="K487" s="29">
        <v>34</v>
      </c>
      <c r="L487" s="56" t="s">
        <v>920</v>
      </c>
      <c r="M487" s="31">
        <v>23800</v>
      </c>
      <c r="N487" s="31">
        <v>253</v>
      </c>
      <c r="O487" s="31" t="s">
        <v>76</v>
      </c>
      <c r="P487" s="32" t="s">
        <v>28</v>
      </c>
      <c r="Q487" s="33" t="s">
        <v>1289</v>
      </c>
      <c r="R487" s="33" t="s">
        <v>1290</v>
      </c>
      <c r="S487" s="29">
        <v>2380</v>
      </c>
      <c r="T487" s="31" t="s">
        <v>87</v>
      </c>
      <c r="U487" s="31" t="s">
        <v>1291</v>
      </c>
      <c r="V487" s="31" t="s">
        <v>1292</v>
      </c>
      <c r="W487" s="50" t="s">
        <v>1585</v>
      </c>
      <c r="X487" s="34">
        <f>1000+1380</f>
        <v>2380</v>
      </c>
      <c r="Y487" s="34">
        <f>10000+13800</f>
        <v>23800</v>
      </c>
      <c r="Z487" s="34" t="s">
        <v>1537</v>
      </c>
      <c r="AA487" s="34">
        <f t="shared" si="22"/>
        <v>0</v>
      </c>
      <c r="AB487" s="34">
        <f t="shared" si="23"/>
        <v>0</v>
      </c>
      <c r="AC487" s="25" t="s">
        <v>689</v>
      </c>
      <c r="AD487" s="25"/>
      <c r="AE487" s="25"/>
      <c r="AF487" s="25"/>
      <c r="AG487" s="25"/>
      <c r="AH487" s="35"/>
    </row>
    <row r="488" spans="1:34" ht="15.6">
      <c r="A488" s="23"/>
      <c r="B488" s="81"/>
      <c r="C488" s="25"/>
      <c r="D488" s="25"/>
      <c r="E488" s="25">
        <v>10</v>
      </c>
      <c r="F488" s="25">
        <v>160</v>
      </c>
      <c r="G488" s="26">
        <f t="shared" si="21"/>
        <v>1600</v>
      </c>
      <c r="H488" s="27" t="s">
        <v>46</v>
      </c>
      <c r="I488" s="37">
        <v>45159</v>
      </c>
      <c r="J488" s="29">
        <v>160</v>
      </c>
      <c r="K488" s="29">
        <f>2+10</f>
        <v>12</v>
      </c>
      <c r="L488" s="56" t="s">
        <v>920</v>
      </c>
      <c r="M488" s="31">
        <v>1600</v>
      </c>
      <c r="N488" s="31">
        <v>31</v>
      </c>
      <c r="O488" s="31" t="s">
        <v>921</v>
      </c>
      <c r="P488" s="32" t="s">
        <v>28</v>
      </c>
      <c r="Q488" s="33">
        <v>8500060684</v>
      </c>
      <c r="R488" s="33">
        <v>5000888375</v>
      </c>
      <c r="S488" s="29">
        <v>160</v>
      </c>
      <c r="T488" s="31" t="s">
        <v>87</v>
      </c>
      <c r="U488" s="31" t="s">
        <v>1291</v>
      </c>
      <c r="V488" s="31" t="s">
        <v>1293</v>
      </c>
      <c r="W488" s="50">
        <v>45187</v>
      </c>
      <c r="X488" s="34">
        <v>160</v>
      </c>
      <c r="Y488" s="34">
        <v>1600</v>
      </c>
      <c r="Z488" s="34" t="s">
        <v>901</v>
      </c>
      <c r="AA488" s="34">
        <f t="shared" si="22"/>
        <v>0</v>
      </c>
      <c r="AB488" s="34">
        <f t="shared" si="23"/>
        <v>0</v>
      </c>
      <c r="AC488" s="25" t="s">
        <v>689</v>
      </c>
      <c r="AD488" s="25"/>
      <c r="AE488" s="25"/>
      <c r="AF488" s="25"/>
      <c r="AG488" s="25"/>
      <c r="AH488" s="35"/>
    </row>
    <row r="489" spans="1:34" ht="15.6">
      <c r="A489" s="23"/>
      <c r="B489" s="81"/>
      <c r="C489" s="25"/>
      <c r="D489" s="25"/>
      <c r="E489" s="25">
        <v>10</v>
      </c>
      <c r="F489" s="25">
        <v>784</v>
      </c>
      <c r="G489" s="26">
        <f t="shared" si="21"/>
        <v>7840</v>
      </c>
      <c r="H489" s="27" t="s">
        <v>37</v>
      </c>
      <c r="I489" s="37">
        <v>45159</v>
      </c>
      <c r="J489" s="29">
        <v>784</v>
      </c>
      <c r="K489" s="29">
        <f>8+10</f>
        <v>18</v>
      </c>
      <c r="L489" s="56" t="s">
        <v>920</v>
      </c>
      <c r="M489" s="31">
        <v>7840</v>
      </c>
      <c r="N489" s="31">
        <v>93</v>
      </c>
      <c r="O489" s="31" t="s">
        <v>76</v>
      </c>
      <c r="P489" s="32" t="s">
        <v>28</v>
      </c>
      <c r="Q489" s="33">
        <v>8500060684</v>
      </c>
      <c r="R489" s="33">
        <v>5000888375</v>
      </c>
      <c r="S489" s="29">
        <v>784</v>
      </c>
      <c r="T489" s="31" t="s">
        <v>87</v>
      </c>
      <c r="U489" s="31" t="s">
        <v>1291</v>
      </c>
      <c r="V489" s="31" t="s">
        <v>1292</v>
      </c>
      <c r="W489" s="50">
        <v>45180</v>
      </c>
      <c r="X489" s="34">
        <v>784</v>
      </c>
      <c r="Y489" s="34">
        <v>7840</v>
      </c>
      <c r="Z489" s="34" t="s">
        <v>1450</v>
      </c>
      <c r="AA489" s="34">
        <f t="shared" si="22"/>
        <v>0</v>
      </c>
      <c r="AB489" s="34">
        <f t="shared" si="23"/>
        <v>0</v>
      </c>
      <c r="AC489" s="25" t="s">
        <v>689</v>
      </c>
      <c r="AD489" s="25"/>
      <c r="AE489" s="25"/>
      <c r="AF489" s="25"/>
      <c r="AG489" s="25"/>
      <c r="AH489" s="35"/>
    </row>
    <row r="490" spans="1:34" ht="31.2">
      <c r="A490" s="23" t="s">
        <v>279</v>
      </c>
      <c r="B490" s="81">
        <v>6000024632</v>
      </c>
      <c r="C490" s="25" t="s">
        <v>907</v>
      </c>
      <c r="D490" s="25" t="s">
        <v>908</v>
      </c>
      <c r="E490" s="25">
        <v>10</v>
      </c>
      <c r="F490" s="25">
        <v>2380</v>
      </c>
      <c r="G490" s="26">
        <f t="shared" si="21"/>
        <v>23800</v>
      </c>
      <c r="H490" s="27" t="s">
        <v>46</v>
      </c>
      <c r="I490" s="28" t="s">
        <v>920</v>
      </c>
      <c r="J490" s="29">
        <v>2380</v>
      </c>
      <c r="K490" s="29">
        <v>28</v>
      </c>
      <c r="L490" s="56" t="s">
        <v>920</v>
      </c>
      <c r="M490" s="31">
        <v>23800</v>
      </c>
      <c r="N490" s="31">
        <v>253</v>
      </c>
      <c r="O490" s="31" t="s">
        <v>76</v>
      </c>
      <c r="P490" s="32" t="s">
        <v>28</v>
      </c>
      <c r="Q490" s="33" t="s">
        <v>1294</v>
      </c>
      <c r="R490" s="33" t="s">
        <v>1295</v>
      </c>
      <c r="S490" s="29">
        <v>2380</v>
      </c>
      <c r="T490" s="31" t="s">
        <v>87</v>
      </c>
      <c r="U490" s="31" t="s">
        <v>1296</v>
      </c>
      <c r="V490" s="31" t="s">
        <v>1297</v>
      </c>
      <c r="W490" s="50" t="s">
        <v>1534</v>
      </c>
      <c r="X490" s="34">
        <f>1000+1380</f>
        <v>2380</v>
      </c>
      <c r="Y490" s="34">
        <f>10000+13800</f>
        <v>23800</v>
      </c>
      <c r="Z490" s="34" t="s">
        <v>1535</v>
      </c>
      <c r="AA490" s="34">
        <f t="shared" si="22"/>
        <v>0</v>
      </c>
      <c r="AB490" s="34">
        <f t="shared" si="23"/>
        <v>0</v>
      </c>
      <c r="AC490" s="25" t="s">
        <v>689</v>
      </c>
      <c r="AD490" s="25"/>
      <c r="AE490" s="25"/>
      <c r="AF490" s="25"/>
      <c r="AG490" s="25"/>
      <c r="AH490" s="35"/>
    </row>
    <row r="491" spans="1:34" ht="31.2">
      <c r="A491" s="23"/>
      <c r="B491" s="81"/>
      <c r="C491" s="25"/>
      <c r="D491" s="25"/>
      <c r="E491" s="25">
        <v>10</v>
      </c>
      <c r="F491" s="25">
        <v>160</v>
      </c>
      <c r="G491" s="26">
        <f t="shared" si="21"/>
        <v>1600</v>
      </c>
      <c r="H491" s="27" t="s">
        <v>37</v>
      </c>
      <c r="I491" s="28" t="s">
        <v>920</v>
      </c>
      <c r="J491" s="29">
        <v>160</v>
      </c>
      <c r="K491" s="29">
        <v>14</v>
      </c>
      <c r="L491" s="56" t="s">
        <v>920</v>
      </c>
      <c r="M491" s="31">
        <v>1600</v>
      </c>
      <c r="N491" s="31">
        <v>31</v>
      </c>
      <c r="O491" s="31" t="s">
        <v>922</v>
      </c>
      <c r="P491" s="32" t="s">
        <v>28</v>
      </c>
      <c r="Q491" s="33" t="s">
        <v>1294</v>
      </c>
      <c r="R491" s="33" t="s">
        <v>1295</v>
      </c>
      <c r="S491" s="29">
        <v>160</v>
      </c>
      <c r="T491" s="31" t="s">
        <v>87</v>
      </c>
      <c r="U491" s="31" t="s">
        <v>1296</v>
      </c>
      <c r="V491" s="31" t="s">
        <v>1298</v>
      </c>
      <c r="W491" s="50">
        <v>45180</v>
      </c>
      <c r="X491" s="34">
        <v>160</v>
      </c>
      <c r="Y491" s="34">
        <v>1600</v>
      </c>
      <c r="Z491" s="34" t="s">
        <v>1450</v>
      </c>
      <c r="AA491" s="34">
        <f t="shared" si="22"/>
        <v>0</v>
      </c>
      <c r="AB491" s="34">
        <f t="shared" si="23"/>
        <v>0</v>
      </c>
      <c r="AC491" s="25" t="s">
        <v>689</v>
      </c>
      <c r="AD491" s="25"/>
      <c r="AE491" s="25"/>
      <c r="AF491" s="25"/>
      <c r="AG491" s="25"/>
      <c r="AH491" s="35"/>
    </row>
    <row r="492" spans="1:34" ht="31.2">
      <c r="A492" s="23"/>
      <c r="B492" s="81"/>
      <c r="C492" s="25"/>
      <c r="D492" s="25"/>
      <c r="E492" s="25">
        <v>10</v>
      </c>
      <c r="F492" s="25">
        <v>784</v>
      </c>
      <c r="G492" s="26">
        <f t="shared" si="21"/>
        <v>7840</v>
      </c>
      <c r="H492" s="27" t="s">
        <v>146</v>
      </c>
      <c r="I492" s="28" t="s">
        <v>920</v>
      </c>
      <c r="J492" s="29">
        <v>784</v>
      </c>
      <c r="K492" s="29">
        <v>19</v>
      </c>
      <c r="L492" s="56" t="s">
        <v>920</v>
      </c>
      <c r="M492" s="31">
        <v>7840</v>
      </c>
      <c r="N492" s="31">
        <v>93</v>
      </c>
      <c r="O492" s="31" t="s">
        <v>76</v>
      </c>
      <c r="P492" s="32" t="s">
        <v>28</v>
      </c>
      <c r="Q492" s="33" t="s">
        <v>1294</v>
      </c>
      <c r="R492" s="33" t="s">
        <v>1295</v>
      </c>
      <c r="S492" s="29">
        <v>784</v>
      </c>
      <c r="T492" s="31" t="s">
        <v>87</v>
      </c>
      <c r="U492" s="31" t="s">
        <v>1296</v>
      </c>
      <c r="V492" s="31" t="s">
        <v>1298</v>
      </c>
      <c r="W492" s="50">
        <v>45180</v>
      </c>
      <c r="X492" s="34">
        <v>784</v>
      </c>
      <c r="Y492" s="34">
        <v>7840</v>
      </c>
      <c r="Z492" s="34" t="s">
        <v>1536</v>
      </c>
      <c r="AA492" s="34">
        <f t="shared" si="22"/>
        <v>0</v>
      </c>
      <c r="AB492" s="34">
        <f t="shared" si="23"/>
        <v>0</v>
      </c>
      <c r="AC492" s="25" t="s">
        <v>689</v>
      </c>
      <c r="AD492" s="25"/>
      <c r="AE492" s="25"/>
      <c r="AF492" s="25"/>
      <c r="AG492" s="25"/>
      <c r="AH492" s="35"/>
    </row>
    <row r="493" spans="1:34" ht="124.8">
      <c r="A493" s="23" t="s">
        <v>279</v>
      </c>
      <c r="B493" s="81">
        <v>6000024633</v>
      </c>
      <c r="C493" s="25" t="s">
        <v>907</v>
      </c>
      <c r="D493" s="25" t="s">
        <v>909</v>
      </c>
      <c r="E493" s="25">
        <v>10</v>
      </c>
      <c r="F493" s="25">
        <v>2380</v>
      </c>
      <c r="G493" s="26">
        <f t="shared" si="21"/>
        <v>23800</v>
      </c>
      <c r="H493" s="27" t="s">
        <v>46</v>
      </c>
      <c r="I493" s="37">
        <v>45159</v>
      </c>
      <c r="J493" s="29">
        <v>2380</v>
      </c>
      <c r="K493" s="29">
        <f>25+10</f>
        <v>35</v>
      </c>
      <c r="L493" s="56" t="s">
        <v>912</v>
      </c>
      <c r="M493" s="31">
        <v>23800</v>
      </c>
      <c r="N493" s="31">
        <v>253</v>
      </c>
      <c r="O493" s="31" t="s">
        <v>797</v>
      </c>
      <c r="P493" s="32" t="s">
        <v>28</v>
      </c>
      <c r="Q493" s="33">
        <v>8500060714</v>
      </c>
      <c r="R493" s="33">
        <v>5000888378</v>
      </c>
      <c r="S493" s="29">
        <v>2380</v>
      </c>
      <c r="T493" s="31" t="s">
        <v>87</v>
      </c>
      <c r="U493" s="31" t="s">
        <v>1299</v>
      </c>
      <c r="V493" s="31" t="s">
        <v>1300</v>
      </c>
      <c r="W493" s="50" t="s">
        <v>1645</v>
      </c>
      <c r="X493" s="34">
        <f>500+1880</f>
        <v>2380</v>
      </c>
      <c r="Y493" s="34">
        <f>5000+18800</f>
        <v>23800</v>
      </c>
      <c r="Z493" s="34" t="s">
        <v>918</v>
      </c>
      <c r="AA493" s="34">
        <f t="shared" si="22"/>
        <v>0</v>
      </c>
      <c r="AB493" s="34">
        <f t="shared" si="23"/>
        <v>0</v>
      </c>
      <c r="AC493" s="25" t="s">
        <v>689</v>
      </c>
      <c r="AD493" s="36" t="s">
        <v>1867</v>
      </c>
      <c r="AE493" s="25"/>
      <c r="AF493" s="25"/>
      <c r="AG493" s="25"/>
      <c r="AH493" s="35"/>
    </row>
    <row r="494" spans="1:34" ht="15.6">
      <c r="A494" s="23"/>
      <c r="B494" s="81"/>
      <c r="C494" s="25"/>
      <c r="D494" s="25"/>
      <c r="E494" s="25">
        <v>10</v>
      </c>
      <c r="F494" s="25">
        <v>160</v>
      </c>
      <c r="G494" s="26">
        <f t="shared" si="21"/>
        <v>1600</v>
      </c>
      <c r="H494" s="27" t="s">
        <v>37</v>
      </c>
      <c r="I494" s="37">
        <v>45159</v>
      </c>
      <c r="J494" s="29">
        <v>160</v>
      </c>
      <c r="K494" s="29">
        <f>4+10</f>
        <v>14</v>
      </c>
      <c r="L494" s="56" t="s">
        <v>920</v>
      </c>
      <c r="M494" s="31">
        <v>1600</v>
      </c>
      <c r="N494" s="31">
        <v>31</v>
      </c>
      <c r="O494" s="31" t="s">
        <v>788</v>
      </c>
      <c r="P494" s="32" t="s">
        <v>28</v>
      </c>
      <c r="Q494" s="33">
        <v>8500060714</v>
      </c>
      <c r="R494" s="33">
        <v>5000888378</v>
      </c>
      <c r="S494" s="29">
        <v>160</v>
      </c>
      <c r="T494" s="31" t="s">
        <v>87</v>
      </c>
      <c r="U494" s="31" t="s">
        <v>1299</v>
      </c>
      <c r="V494" s="31" t="s">
        <v>1301</v>
      </c>
      <c r="W494" s="50">
        <v>45185</v>
      </c>
      <c r="X494" s="34">
        <v>160</v>
      </c>
      <c r="Y494" s="34">
        <v>1600</v>
      </c>
      <c r="Z494" s="34" t="s">
        <v>1450</v>
      </c>
      <c r="AA494" s="34">
        <f t="shared" si="22"/>
        <v>0</v>
      </c>
      <c r="AB494" s="34">
        <f t="shared" si="23"/>
        <v>0</v>
      </c>
      <c r="AC494" s="25" t="s">
        <v>689</v>
      </c>
      <c r="AD494" s="25"/>
      <c r="AE494" s="25"/>
      <c r="AF494" s="25"/>
      <c r="AG494" s="25"/>
      <c r="AH494" s="35"/>
    </row>
    <row r="495" spans="1:34" ht="15.6">
      <c r="A495" s="23"/>
      <c r="B495" s="81"/>
      <c r="C495" s="25"/>
      <c r="D495" s="25"/>
      <c r="E495" s="25">
        <v>10</v>
      </c>
      <c r="F495" s="25">
        <v>784</v>
      </c>
      <c r="G495" s="26">
        <f t="shared" si="21"/>
        <v>7840</v>
      </c>
      <c r="H495" s="27" t="s">
        <v>146</v>
      </c>
      <c r="I495" s="37">
        <v>45159</v>
      </c>
      <c r="J495" s="29">
        <v>784</v>
      </c>
      <c r="K495" s="29">
        <f>9+10</f>
        <v>19</v>
      </c>
      <c r="L495" s="56" t="s">
        <v>920</v>
      </c>
      <c r="M495" s="31">
        <v>7840</v>
      </c>
      <c r="N495" s="31">
        <v>93</v>
      </c>
      <c r="O495" s="31" t="s">
        <v>76</v>
      </c>
      <c r="P495" s="32" t="s">
        <v>28</v>
      </c>
      <c r="Q495" s="33">
        <v>8500060714</v>
      </c>
      <c r="R495" s="33">
        <v>5000887626</v>
      </c>
      <c r="S495" s="29">
        <v>784</v>
      </c>
      <c r="T495" s="31" t="s">
        <v>87</v>
      </c>
      <c r="U495" s="31" t="s">
        <v>1299</v>
      </c>
      <c r="V495" s="31" t="s">
        <v>1302</v>
      </c>
      <c r="W495" s="50">
        <v>45182</v>
      </c>
      <c r="X495" s="34">
        <v>784</v>
      </c>
      <c r="Y495" s="34">
        <v>7840</v>
      </c>
      <c r="Z495" s="34" t="s">
        <v>1536</v>
      </c>
      <c r="AA495" s="34">
        <f t="shared" si="22"/>
        <v>0</v>
      </c>
      <c r="AB495" s="34">
        <f t="shared" si="23"/>
        <v>0</v>
      </c>
      <c r="AC495" s="25" t="s">
        <v>689</v>
      </c>
      <c r="AD495" s="25"/>
      <c r="AE495" s="25"/>
      <c r="AF495" s="25"/>
      <c r="AG495" s="25"/>
      <c r="AH495" s="35"/>
    </row>
    <row r="496" spans="1:34" ht="31.2">
      <c r="A496" s="23" t="s">
        <v>279</v>
      </c>
      <c r="B496" s="81">
        <v>6000024634</v>
      </c>
      <c r="C496" s="25" t="s">
        <v>907</v>
      </c>
      <c r="D496" s="25" t="s">
        <v>909</v>
      </c>
      <c r="E496" s="25">
        <v>10</v>
      </c>
      <c r="F496" s="25">
        <v>2148</v>
      </c>
      <c r="G496" s="26">
        <f t="shared" si="21"/>
        <v>21480</v>
      </c>
      <c r="H496" s="27" t="s">
        <v>27</v>
      </c>
      <c r="I496" s="28" t="s">
        <v>920</v>
      </c>
      <c r="J496" s="29">
        <v>2148</v>
      </c>
      <c r="K496" s="29">
        <v>32</v>
      </c>
      <c r="L496" s="56" t="s">
        <v>920</v>
      </c>
      <c r="M496" s="31">
        <v>21480</v>
      </c>
      <c r="N496" s="31">
        <v>230</v>
      </c>
      <c r="O496" s="31" t="s">
        <v>76</v>
      </c>
      <c r="P496" s="32" t="s">
        <v>28</v>
      </c>
      <c r="Q496" s="33" t="s">
        <v>1303</v>
      </c>
      <c r="R496" s="33" t="s">
        <v>1304</v>
      </c>
      <c r="S496" s="29">
        <v>2148</v>
      </c>
      <c r="T496" s="31" t="s">
        <v>87</v>
      </c>
      <c r="U496" s="31" t="s">
        <v>1305</v>
      </c>
      <c r="V496" s="31" t="s">
        <v>1306</v>
      </c>
      <c r="W496" s="50">
        <v>45170</v>
      </c>
      <c r="X496" s="34">
        <v>2148</v>
      </c>
      <c r="Y496" s="34">
        <v>21480</v>
      </c>
      <c r="Z496" s="34" t="s">
        <v>338</v>
      </c>
      <c r="AA496" s="34">
        <f t="shared" si="22"/>
        <v>0</v>
      </c>
      <c r="AB496" s="34">
        <f t="shared" si="23"/>
        <v>0</v>
      </c>
      <c r="AC496" s="25" t="s">
        <v>689</v>
      </c>
      <c r="AD496" s="25"/>
      <c r="AE496" s="25"/>
      <c r="AF496" s="25"/>
      <c r="AG496" s="25"/>
      <c r="AH496" s="35"/>
    </row>
    <row r="497" spans="1:34" ht="31.2">
      <c r="A497" s="23"/>
      <c r="B497" s="81"/>
      <c r="C497" s="25"/>
      <c r="D497" s="25"/>
      <c r="E497" s="25">
        <v>10</v>
      </c>
      <c r="F497" s="25">
        <v>1176</v>
      </c>
      <c r="G497" s="26">
        <f t="shared" si="21"/>
        <v>11760</v>
      </c>
      <c r="H497" s="27" t="s">
        <v>46</v>
      </c>
      <c r="I497" s="28" t="s">
        <v>912</v>
      </c>
      <c r="J497" s="29">
        <v>1176</v>
      </c>
      <c r="K497" s="29">
        <v>23</v>
      </c>
      <c r="L497" s="56" t="s">
        <v>920</v>
      </c>
      <c r="M497" s="31">
        <v>11760</v>
      </c>
      <c r="N497" s="31">
        <v>133</v>
      </c>
      <c r="O497" s="31" t="s">
        <v>76</v>
      </c>
      <c r="P497" s="32" t="s">
        <v>28</v>
      </c>
      <c r="Q497" s="33" t="s">
        <v>1303</v>
      </c>
      <c r="R497" s="33" t="s">
        <v>1307</v>
      </c>
      <c r="S497" s="29">
        <v>1176</v>
      </c>
      <c r="T497" s="31" t="s">
        <v>87</v>
      </c>
      <c r="U497" s="31" t="s">
        <v>1305</v>
      </c>
      <c r="V497" s="31" t="s">
        <v>1308</v>
      </c>
      <c r="W497" s="50">
        <v>45169</v>
      </c>
      <c r="X497" s="34">
        <v>1176</v>
      </c>
      <c r="Y497" s="34">
        <v>11760</v>
      </c>
      <c r="Z497" s="34" t="s">
        <v>338</v>
      </c>
      <c r="AA497" s="34">
        <f t="shared" si="22"/>
        <v>0</v>
      </c>
      <c r="AB497" s="34">
        <f t="shared" si="23"/>
        <v>0</v>
      </c>
      <c r="AC497" s="25" t="s">
        <v>689</v>
      </c>
      <c r="AD497" s="25"/>
      <c r="AE497" s="25"/>
      <c r="AF497" s="25"/>
      <c r="AG497" s="25"/>
      <c r="AH497" s="35"/>
    </row>
    <row r="498" spans="1:34" ht="15.6">
      <c r="A498" s="23" t="s">
        <v>279</v>
      </c>
      <c r="B498" s="81">
        <v>6000024635</v>
      </c>
      <c r="C498" s="25" t="s">
        <v>414</v>
      </c>
      <c r="D498" s="25" t="s">
        <v>910</v>
      </c>
      <c r="E498" s="25">
        <v>10</v>
      </c>
      <c r="F498" s="25">
        <v>210</v>
      </c>
      <c r="G498" s="26">
        <f t="shared" si="21"/>
        <v>2100</v>
      </c>
      <c r="H498" s="27" t="s">
        <v>243</v>
      </c>
      <c r="I498" s="37">
        <v>45159</v>
      </c>
      <c r="J498" s="29">
        <v>210</v>
      </c>
      <c r="K498" s="29">
        <f>4+10</f>
        <v>14</v>
      </c>
      <c r="L498" s="57">
        <v>45162</v>
      </c>
      <c r="M498" s="31">
        <v>2100</v>
      </c>
      <c r="N498" s="31">
        <v>36</v>
      </c>
      <c r="O498" s="31" t="s">
        <v>1390</v>
      </c>
      <c r="P498" s="32" t="s">
        <v>28</v>
      </c>
      <c r="Q498" s="33" t="s">
        <v>1309</v>
      </c>
      <c r="R498" s="33">
        <v>5000887628</v>
      </c>
      <c r="S498" s="29">
        <v>210</v>
      </c>
      <c r="T498" s="31" t="s">
        <v>87</v>
      </c>
      <c r="U498" s="31">
        <v>8500060723</v>
      </c>
      <c r="V498" s="31">
        <v>5000897393</v>
      </c>
      <c r="W498" s="50">
        <v>45173</v>
      </c>
      <c r="X498" s="34">
        <v>210</v>
      </c>
      <c r="Y498" s="34">
        <v>2100</v>
      </c>
      <c r="Z498" s="34" t="s">
        <v>1450</v>
      </c>
      <c r="AA498" s="34">
        <f t="shared" si="22"/>
        <v>0</v>
      </c>
      <c r="AB498" s="34">
        <f t="shared" si="23"/>
        <v>0</v>
      </c>
      <c r="AC498" s="25" t="s">
        <v>689</v>
      </c>
      <c r="AD498" s="25"/>
      <c r="AE498" s="25"/>
      <c r="AF498" s="25"/>
      <c r="AG498" s="25"/>
      <c r="AH498" s="35"/>
    </row>
    <row r="499" spans="1:34" ht="31.2">
      <c r="A499" s="23"/>
      <c r="B499" s="81"/>
      <c r="C499" s="25"/>
      <c r="D499" s="25"/>
      <c r="E499" s="25">
        <v>10</v>
      </c>
      <c r="F499" s="25">
        <v>1400</v>
      </c>
      <c r="G499" s="26">
        <f t="shared" si="21"/>
        <v>14000</v>
      </c>
      <c r="H499" s="27" t="s">
        <v>27</v>
      </c>
      <c r="I499" s="28" t="s">
        <v>912</v>
      </c>
      <c r="J499" s="29">
        <v>1400</v>
      </c>
      <c r="K499" s="29">
        <v>27</v>
      </c>
      <c r="L499" s="57">
        <v>45159</v>
      </c>
      <c r="M499" s="31">
        <v>14000</v>
      </c>
      <c r="N499" s="31">
        <v>155</v>
      </c>
      <c r="O499" s="31" t="s">
        <v>876</v>
      </c>
      <c r="P499" s="32" t="s">
        <v>28</v>
      </c>
      <c r="Q499" s="33" t="s">
        <v>1309</v>
      </c>
      <c r="R499" s="33" t="s">
        <v>1310</v>
      </c>
      <c r="S499" s="29">
        <v>1400</v>
      </c>
      <c r="T499" s="31" t="s">
        <v>87</v>
      </c>
      <c r="U499" s="31">
        <v>8500060723</v>
      </c>
      <c r="V499" s="31">
        <v>5000887757</v>
      </c>
      <c r="W499" s="50">
        <v>45173</v>
      </c>
      <c r="X499" s="34">
        <v>1400</v>
      </c>
      <c r="Y499" s="34">
        <v>14000</v>
      </c>
      <c r="Z499" s="34" t="s">
        <v>759</v>
      </c>
      <c r="AA499" s="34">
        <f t="shared" si="22"/>
        <v>0</v>
      </c>
      <c r="AB499" s="34">
        <f t="shared" si="23"/>
        <v>0</v>
      </c>
      <c r="AC499" s="25" t="s">
        <v>689</v>
      </c>
      <c r="AD499" s="25"/>
      <c r="AE499" s="25"/>
      <c r="AF499" s="25"/>
      <c r="AG499" s="25"/>
      <c r="AH499" s="35"/>
    </row>
    <row r="500" spans="1:34" ht="15.6">
      <c r="A500" s="23"/>
      <c r="B500" s="81"/>
      <c r="C500" s="25"/>
      <c r="D500" s="25"/>
      <c r="E500" s="25">
        <v>10</v>
      </c>
      <c r="F500" s="25">
        <v>560</v>
      </c>
      <c r="G500" s="26">
        <f t="shared" si="21"/>
        <v>5600</v>
      </c>
      <c r="H500" s="27" t="s">
        <v>46</v>
      </c>
      <c r="I500" s="37">
        <v>45159</v>
      </c>
      <c r="J500" s="29">
        <v>560</v>
      </c>
      <c r="K500" s="29">
        <f>7+10</f>
        <v>17</v>
      </c>
      <c r="L500" s="57">
        <v>45159</v>
      </c>
      <c r="M500" s="31">
        <v>5600</v>
      </c>
      <c r="N500" s="31">
        <v>71</v>
      </c>
      <c r="O500" s="31" t="s">
        <v>1342</v>
      </c>
      <c r="P500" s="32" t="s">
        <v>28</v>
      </c>
      <c r="Q500" s="33" t="s">
        <v>1309</v>
      </c>
      <c r="R500" s="33">
        <v>5000888644</v>
      </c>
      <c r="S500" s="29">
        <v>560</v>
      </c>
      <c r="T500" s="31" t="s">
        <v>87</v>
      </c>
      <c r="U500" s="31">
        <v>8500060723</v>
      </c>
      <c r="V500" s="31">
        <v>5000887757</v>
      </c>
      <c r="W500" s="50">
        <v>45173</v>
      </c>
      <c r="X500" s="34">
        <f>200+360</f>
        <v>560</v>
      </c>
      <c r="Y500" s="34">
        <f>2000+3600</f>
        <v>5600</v>
      </c>
      <c r="Z500" s="34" t="s">
        <v>1459</v>
      </c>
      <c r="AA500" s="34">
        <f t="shared" si="22"/>
        <v>0</v>
      </c>
      <c r="AB500" s="34">
        <f t="shared" si="23"/>
        <v>0</v>
      </c>
      <c r="AC500" s="25" t="s">
        <v>689</v>
      </c>
      <c r="AD500" s="25"/>
      <c r="AE500" s="25"/>
      <c r="AF500" s="25"/>
      <c r="AG500" s="25"/>
      <c r="AH500" s="35"/>
    </row>
    <row r="501" spans="1:34" ht="15.6">
      <c r="A501" s="23"/>
      <c r="B501" s="81"/>
      <c r="C501" s="25"/>
      <c r="D501" s="25"/>
      <c r="E501" s="25">
        <v>10</v>
      </c>
      <c r="F501" s="25">
        <v>350</v>
      </c>
      <c r="G501" s="26">
        <f t="shared" si="21"/>
        <v>3500</v>
      </c>
      <c r="H501" s="27" t="s">
        <v>37</v>
      </c>
      <c r="I501" s="37">
        <v>45159</v>
      </c>
      <c r="J501" s="29">
        <v>350</v>
      </c>
      <c r="K501" s="29">
        <f>6+10</f>
        <v>16</v>
      </c>
      <c r="L501" s="57">
        <v>45159</v>
      </c>
      <c r="M501" s="31">
        <v>3500</v>
      </c>
      <c r="N501" s="31">
        <v>50</v>
      </c>
      <c r="O501" s="31" t="s">
        <v>791</v>
      </c>
      <c r="P501" s="32" t="s">
        <v>28</v>
      </c>
      <c r="Q501" s="33" t="s">
        <v>1309</v>
      </c>
      <c r="R501" s="33">
        <v>5000888644</v>
      </c>
      <c r="S501" s="29">
        <v>350</v>
      </c>
      <c r="T501" s="31" t="s">
        <v>87</v>
      </c>
      <c r="U501" s="31">
        <v>8500060723</v>
      </c>
      <c r="V501" s="31">
        <v>5000887757</v>
      </c>
      <c r="W501" s="50">
        <v>45173</v>
      </c>
      <c r="X501" s="34">
        <v>350</v>
      </c>
      <c r="Y501" s="34">
        <v>3500</v>
      </c>
      <c r="Z501" s="34" t="s">
        <v>800</v>
      </c>
      <c r="AA501" s="34">
        <f t="shared" si="22"/>
        <v>0</v>
      </c>
      <c r="AB501" s="34">
        <f t="shared" si="23"/>
        <v>0</v>
      </c>
      <c r="AC501" s="25" t="s">
        <v>689</v>
      </c>
      <c r="AD501" s="25"/>
      <c r="AE501" s="25"/>
      <c r="AF501" s="25"/>
      <c r="AG501" s="25"/>
      <c r="AH501" s="35"/>
    </row>
    <row r="502" spans="1:34" ht="15.6">
      <c r="A502" s="23" t="s">
        <v>279</v>
      </c>
      <c r="B502" s="81">
        <v>6000024636</v>
      </c>
      <c r="C502" s="25" t="s">
        <v>414</v>
      </c>
      <c r="D502" s="25" t="s">
        <v>911</v>
      </c>
      <c r="E502" s="25">
        <v>10</v>
      </c>
      <c r="F502" s="25">
        <v>210</v>
      </c>
      <c r="G502" s="26">
        <f t="shared" si="21"/>
        <v>2100</v>
      </c>
      <c r="H502" s="27" t="s">
        <v>243</v>
      </c>
      <c r="I502" s="37">
        <v>45159</v>
      </c>
      <c r="J502" s="29">
        <v>210</v>
      </c>
      <c r="K502" s="29">
        <f>2+10</f>
        <v>12</v>
      </c>
      <c r="L502" s="57">
        <v>45162</v>
      </c>
      <c r="M502" s="31">
        <v>2100</v>
      </c>
      <c r="N502" s="31">
        <v>36</v>
      </c>
      <c r="O502" s="31" t="s">
        <v>858</v>
      </c>
      <c r="P502" s="32" t="s">
        <v>28</v>
      </c>
      <c r="Q502" s="33" t="s">
        <v>1311</v>
      </c>
      <c r="R502" s="33">
        <v>5000887629</v>
      </c>
      <c r="S502" s="29">
        <v>210</v>
      </c>
      <c r="T502" s="31" t="s">
        <v>87</v>
      </c>
      <c r="U502" s="31">
        <v>8500060667</v>
      </c>
      <c r="V502" s="31">
        <v>5000897395</v>
      </c>
      <c r="W502" s="50">
        <v>45170</v>
      </c>
      <c r="X502" s="34">
        <v>210</v>
      </c>
      <c r="Y502" s="34">
        <v>2100</v>
      </c>
      <c r="Z502" s="34" t="s">
        <v>338</v>
      </c>
      <c r="AA502" s="34">
        <f t="shared" si="22"/>
        <v>0</v>
      </c>
      <c r="AB502" s="34">
        <f t="shared" si="23"/>
        <v>0</v>
      </c>
      <c r="AC502" s="25" t="s">
        <v>689</v>
      </c>
      <c r="AD502" s="25"/>
      <c r="AE502" s="25"/>
      <c r="AF502" s="25"/>
      <c r="AG502" s="25"/>
      <c r="AH502" s="35"/>
    </row>
    <row r="503" spans="1:34" ht="31.2">
      <c r="A503" s="23"/>
      <c r="B503" s="81"/>
      <c r="C503" s="25"/>
      <c r="D503" s="25"/>
      <c r="E503" s="25">
        <v>10</v>
      </c>
      <c r="F503" s="25">
        <v>1400</v>
      </c>
      <c r="G503" s="26">
        <f t="shared" si="21"/>
        <v>14000</v>
      </c>
      <c r="H503" s="27" t="s">
        <v>27</v>
      </c>
      <c r="I503" s="28" t="s">
        <v>912</v>
      </c>
      <c r="J503" s="29">
        <v>1400</v>
      </c>
      <c r="K503" s="29">
        <v>24</v>
      </c>
      <c r="L503" s="57">
        <v>45159</v>
      </c>
      <c r="M503" s="31">
        <v>14000</v>
      </c>
      <c r="N503" s="31">
        <v>155</v>
      </c>
      <c r="O503" s="31" t="s">
        <v>76</v>
      </c>
      <c r="P503" s="32" t="s">
        <v>28</v>
      </c>
      <c r="Q503" s="33" t="s">
        <v>1311</v>
      </c>
      <c r="R503" s="33" t="s">
        <v>1312</v>
      </c>
      <c r="S503" s="29">
        <v>1400</v>
      </c>
      <c r="T503" s="31" t="s">
        <v>87</v>
      </c>
      <c r="U503" s="31">
        <v>8500060667</v>
      </c>
      <c r="V503" s="31">
        <v>5000887758</v>
      </c>
      <c r="W503" s="50">
        <v>45168</v>
      </c>
      <c r="X503" s="34">
        <v>1400</v>
      </c>
      <c r="Y503" s="34">
        <v>14000</v>
      </c>
      <c r="Z503" s="34" t="s">
        <v>423</v>
      </c>
      <c r="AA503" s="34">
        <f t="shared" si="22"/>
        <v>0</v>
      </c>
      <c r="AB503" s="34">
        <f t="shared" si="23"/>
        <v>0</v>
      </c>
      <c r="AC503" s="25" t="s">
        <v>689</v>
      </c>
      <c r="AD503" s="25"/>
      <c r="AE503" s="25"/>
      <c r="AF503" s="25"/>
      <c r="AG503" s="25"/>
      <c r="AH503" s="35"/>
    </row>
    <row r="504" spans="1:34" ht="15.6">
      <c r="A504" s="23"/>
      <c r="B504" s="81"/>
      <c r="C504" s="25"/>
      <c r="D504" s="25"/>
      <c r="E504" s="25">
        <v>10</v>
      </c>
      <c r="F504" s="25">
        <v>560</v>
      </c>
      <c r="G504" s="26">
        <f t="shared" si="21"/>
        <v>5600</v>
      </c>
      <c r="H504" s="27" t="s">
        <v>46</v>
      </c>
      <c r="I504" s="37">
        <v>45159</v>
      </c>
      <c r="J504" s="29">
        <v>560</v>
      </c>
      <c r="K504" s="29">
        <f>7+10</f>
        <v>17</v>
      </c>
      <c r="L504" s="57">
        <v>45159</v>
      </c>
      <c r="M504" s="31">
        <v>5600</v>
      </c>
      <c r="N504" s="31">
        <v>71</v>
      </c>
      <c r="O504" s="31" t="s">
        <v>1343</v>
      </c>
      <c r="P504" s="32" t="s">
        <v>28</v>
      </c>
      <c r="Q504" s="33">
        <v>5000888382</v>
      </c>
      <c r="R504" s="33">
        <v>5000888382</v>
      </c>
      <c r="S504" s="29">
        <v>560</v>
      </c>
      <c r="T504" s="31" t="s">
        <v>87</v>
      </c>
      <c r="U504" s="31">
        <v>8500060667</v>
      </c>
      <c r="V504" s="31">
        <v>5000887758</v>
      </c>
      <c r="W504" s="50">
        <v>45170</v>
      </c>
      <c r="X504" s="34">
        <v>560</v>
      </c>
      <c r="Y504" s="34">
        <v>5600</v>
      </c>
      <c r="Z504" s="34" t="s">
        <v>1452</v>
      </c>
      <c r="AA504" s="34">
        <f t="shared" si="22"/>
        <v>0</v>
      </c>
      <c r="AB504" s="34">
        <f t="shared" si="23"/>
        <v>0</v>
      </c>
      <c r="AC504" s="25" t="s">
        <v>689</v>
      </c>
      <c r="AD504" s="25"/>
      <c r="AE504" s="25"/>
      <c r="AF504" s="25"/>
      <c r="AG504" s="25"/>
      <c r="AH504" s="35"/>
    </row>
    <row r="505" spans="1:34" ht="31.2">
      <c r="A505" s="23"/>
      <c r="B505" s="81"/>
      <c r="C505" s="25"/>
      <c r="D505" s="25"/>
      <c r="E505" s="25">
        <v>10</v>
      </c>
      <c r="F505" s="25">
        <v>350</v>
      </c>
      <c r="G505" s="26">
        <f t="shared" si="21"/>
        <v>3500</v>
      </c>
      <c r="H505" s="27" t="s">
        <v>37</v>
      </c>
      <c r="I505" s="28" t="s">
        <v>912</v>
      </c>
      <c r="J505" s="29">
        <v>350</v>
      </c>
      <c r="K505" s="29">
        <v>16</v>
      </c>
      <c r="L505" s="57">
        <v>45159</v>
      </c>
      <c r="M505" s="31">
        <v>3500</v>
      </c>
      <c r="N505" s="31">
        <v>50</v>
      </c>
      <c r="O505" s="31" t="s">
        <v>864</v>
      </c>
      <c r="P505" s="32" t="s">
        <v>28</v>
      </c>
      <c r="Q505" s="33" t="s">
        <v>1311</v>
      </c>
      <c r="R505" s="33" t="s">
        <v>1312</v>
      </c>
      <c r="S505" s="29">
        <v>350</v>
      </c>
      <c r="T505" s="31" t="s">
        <v>87</v>
      </c>
      <c r="U505" s="31">
        <v>8500060667</v>
      </c>
      <c r="V505" s="31">
        <v>5000887758</v>
      </c>
      <c r="W505" s="50">
        <v>45169</v>
      </c>
      <c r="X505" s="34">
        <v>350</v>
      </c>
      <c r="Y505" s="34">
        <v>3500</v>
      </c>
      <c r="Z505" s="34" t="s">
        <v>901</v>
      </c>
      <c r="AA505" s="34">
        <f t="shared" si="22"/>
        <v>0</v>
      </c>
      <c r="AB505" s="34">
        <f t="shared" si="23"/>
        <v>0</v>
      </c>
      <c r="AC505" s="25" t="s">
        <v>689</v>
      </c>
      <c r="AD505" s="25"/>
      <c r="AE505" s="25"/>
      <c r="AF505" s="25"/>
      <c r="AG505" s="25"/>
      <c r="AH505" s="35"/>
    </row>
    <row r="506" spans="1:34" ht="15.6">
      <c r="A506" s="23" t="s">
        <v>279</v>
      </c>
      <c r="B506" s="81">
        <v>6000024637</v>
      </c>
      <c r="C506" s="25" t="s">
        <v>414</v>
      </c>
      <c r="D506" s="25" t="s">
        <v>911</v>
      </c>
      <c r="E506" s="25">
        <v>10</v>
      </c>
      <c r="F506" s="25">
        <v>140</v>
      </c>
      <c r="G506" s="26">
        <f t="shared" si="21"/>
        <v>1400</v>
      </c>
      <c r="H506" s="27" t="s">
        <v>243</v>
      </c>
      <c r="I506" s="37">
        <v>45159</v>
      </c>
      <c r="J506" s="29">
        <v>140</v>
      </c>
      <c r="K506" s="29">
        <f>1+10</f>
        <v>11</v>
      </c>
      <c r="L506" s="57">
        <v>45162</v>
      </c>
      <c r="M506" s="31">
        <v>1400</v>
      </c>
      <c r="N506" s="31">
        <v>29</v>
      </c>
      <c r="O506" s="31" t="s">
        <v>1390</v>
      </c>
      <c r="P506" s="32" t="s">
        <v>28</v>
      </c>
      <c r="Q506" s="33" t="s">
        <v>1313</v>
      </c>
      <c r="R506" s="33">
        <v>5000887751</v>
      </c>
      <c r="S506" s="29">
        <v>140</v>
      </c>
      <c r="T506" s="31" t="s">
        <v>87</v>
      </c>
      <c r="U506" s="31">
        <v>8500060669</v>
      </c>
      <c r="V506" s="31">
        <v>5000897391</v>
      </c>
      <c r="W506" s="50">
        <v>45169</v>
      </c>
      <c r="X506" s="34">
        <v>140</v>
      </c>
      <c r="Y506" s="34">
        <v>1400</v>
      </c>
      <c r="Z506" s="34" t="s">
        <v>1450</v>
      </c>
      <c r="AA506" s="34">
        <f t="shared" si="22"/>
        <v>0</v>
      </c>
      <c r="AB506" s="34">
        <f t="shared" si="23"/>
        <v>0</v>
      </c>
      <c r="AC506" s="25" t="s">
        <v>689</v>
      </c>
      <c r="AD506" s="25"/>
      <c r="AE506" s="25"/>
      <c r="AF506" s="25"/>
      <c r="AG506" s="25"/>
      <c r="AH506" s="35"/>
    </row>
    <row r="507" spans="1:34" ht="31.2">
      <c r="A507" s="23"/>
      <c r="B507" s="81"/>
      <c r="C507" s="25"/>
      <c r="D507" s="25"/>
      <c r="E507" s="25">
        <v>10</v>
      </c>
      <c r="F507" s="25">
        <v>1330</v>
      </c>
      <c r="G507" s="26">
        <f t="shared" si="21"/>
        <v>13300</v>
      </c>
      <c r="H507" s="27" t="s">
        <v>27</v>
      </c>
      <c r="I507" s="28" t="s">
        <v>912</v>
      </c>
      <c r="J507" s="29">
        <v>1330</v>
      </c>
      <c r="K507" s="29">
        <v>27</v>
      </c>
      <c r="L507" s="57">
        <v>45159</v>
      </c>
      <c r="M507" s="31">
        <v>13300</v>
      </c>
      <c r="N507" s="31">
        <v>148</v>
      </c>
      <c r="O507" s="31" t="s">
        <v>76</v>
      </c>
      <c r="P507" s="32" t="s">
        <v>28</v>
      </c>
      <c r="Q507" s="33" t="s">
        <v>1313</v>
      </c>
      <c r="R507" s="33" t="s">
        <v>1314</v>
      </c>
      <c r="S507" s="29">
        <v>1330</v>
      </c>
      <c r="T507" s="31" t="s">
        <v>87</v>
      </c>
      <c r="U507" s="31">
        <v>8500060669</v>
      </c>
      <c r="V507" s="31">
        <v>5000887870</v>
      </c>
      <c r="W507" s="50">
        <v>45161</v>
      </c>
      <c r="X507" s="34">
        <v>1330</v>
      </c>
      <c r="Y507" s="34">
        <v>13300</v>
      </c>
      <c r="Z507" s="34" t="s">
        <v>423</v>
      </c>
      <c r="AA507" s="34">
        <f t="shared" si="22"/>
        <v>0</v>
      </c>
      <c r="AB507" s="34">
        <f t="shared" si="23"/>
        <v>0</v>
      </c>
      <c r="AC507" s="25" t="s">
        <v>689</v>
      </c>
      <c r="AD507" s="25"/>
      <c r="AE507" s="25"/>
      <c r="AF507" s="25"/>
      <c r="AG507" s="25"/>
      <c r="AH507" s="35"/>
    </row>
    <row r="508" spans="1:34" ht="31.2">
      <c r="A508" s="23"/>
      <c r="B508" s="81"/>
      <c r="C508" s="25"/>
      <c r="D508" s="25"/>
      <c r="E508" s="25">
        <v>10</v>
      </c>
      <c r="F508" s="25">
        <v>560</v>
      </c>
      <c r="G508" s="26">
        <f t="shared" si="21"/>
        <v>5600</v>
      </c>
      <c r="H508" s="27" t="s">
        <v>46</v>
      </c>
      <c r="I508" s="28" t="s">
        <v>912</v>
      </c>
      <c r="J508" s="29">
        <v>560</v>
      </c>
      <c r="K508" s="29">
        <v>18</v>
      </c>
      <c r="L508" s="57">
        <v>45159</v>
      </c>
      <c r="M508" s="31">
        <v>5600</v>
      </c>
      <c r="N508" s="31">
        <v>71</v>
      </c>
      <c r="O508" s="31" t="s">
        <v>846</v>
      </c>
      <c r="P508" s="32" t="s">
        <v>28</v>
      </c>
      <c r="Q508" s="33" t="s">
        <v>1313</v>
      </c>
      <c r="R508" s="33" t="s">
        <v>1314</v>
      </c>
      <c r="S508" s="29">
        <v>560</v>
      </c>
      <c r="T508" s="31" t="s">
        <v>87</v>
      </c>
      <c r="U508" s="31">
        <v>8500060669</v>
      </c>
      <c r="V508" s="31">
        <v>5000887870</v>
      </c>
      <c r="W508" s="50">
        <v>45170</v>
      </c>
      <c r="X508" s="34">
        <v>560</v>
      </c>
      <c r="Y508" s="34">
        <v>5600</v>
      </c>
      <c r="Z508" s="34" t="s">
        <v>1452</v>
      </c>
      <c r="AA508" s="34">
        <f t="shared" si="22"/>
        <v>0</v>
      </c>
      <c r="AB508" s="34">
        <f t="shared" si="23"/>
        <v>0</v>
      </c>
      <c r="AC508" s="25" t="s">
        <v>689</v>
      </c>
      <c r="AD508" s="25"/>
      <c r="AE508" s="25"/>
      <c r="AF508" s="25"/>
      <c r="AG508" s="25"/>
      <c r="AH508" s="35"/>
    </row>
    <row r="509" spans="1:34" ht="15.6">
      <c r="A509" s="23"/>
      <c r="B509" s="81"/>
      <c r="C509" s="25"/>
      <c r="D509" s="25"/>
      <c r="E509" s="25">
        <v>10</v>
      </c>
      <c r="F509" s="25">
        <v>490</v>
      </c>
      <c r="G509" s="26">
        <f t="shared" si="21"/>
        <v>4900</v>
      </c>
      <c r="H509" s="27" t="s">
        <v>37</v>
      </c>
      <c r="I509" s="37">
        <v>48447</v>
      </c>
      <c r="J509" s="29">
        <v>490</v>
      </c>
      <c r="K509" s="29">
        <f>8+10</f>
        <v>18</v>
      </c>
      <c r="L509" s="57">
        <v>45159</v>
      </c>
      <c r="M509" s="31">
        <v>4900</v>
      </c>
      <c r="N509" s="31">
        <v>64</v>
      </c>
      <c r="O509" s="31" t="s">
        <v>1344</v>
      </c>
      <c r="P509" s="32" t="s">
        <v>28</v>
      </c>
      <c r="Q509" s="33" t="s">
        <v>1313</v>
      </c>
      <c r="R509" s="33">
        <v>5000888664</v>
      </c>
      <c r="S509" s="29">
        <v>490</v>
      </c>
      <c r="T509" s="31" t="s">
        <v>87</v>
      </c>
      <c r="U509" s="31">
        <v>8500060669</v>
      </c>
      <c r="V509" s="31">
        <v>5000887870</v>
      </c>
      <c r="W509" s="50">
        <v>45163</v>
      </c>
      <c r="X509" s="34">
        <v>490</v>
      </c>
      <c r="Y509" s="34">
        <v>4900</v>
      </c>
      <c r="Z509" s="34" t="s">
        <v>901</v>
      </c>
      <c r="AA509" s="34">
        <f t="shared" si="22"/>
        <v>0</v>
      </c>
      <c r="AB509" s="34">
        <f t="shared" si="23"/>
        <v>0</v>
      </c>
      <c r="AC509" s="25" t="s">
        <v>689</v>
      </c>
      <c r="AD509" s="25"/>
      <c r="AE509" s="25"/>
      <c r="AF509" s="25"/>
      <c r="AG509" s="25"/>
      <c r="AH509" s="35"/>
    </row>
    <row r="510" spans="1:34" ht="15.6">
      <c r="A510" s="23" t="s">
        <v>525</v>
      </c>
      <c r="B510" s="81">
        <v>6000024129</v>
      </c>
      <c r="C510" s="25" t="s">
        <v>548</v>
      </c>
      <c r="D510" s="25">
        <v>6000024129</v>
      </c>
      <c r="E510" s="25">
        <v>8</v>
      </c>
      <c r="F510" s="25">
        <v>300</v>
      </c>
      <c r="G510" s="26">
        <f t="shared" si="21"/>
        <v>2400</v>
      </c>
      <c r="H510" s="27" t="s">
        <v>27</v>
      </c>
      <c r="I510" s="37">
        <v>45159</v>
      </c>
      <c r="J510" s="29">
        <v>300</v>
      </c>
      <c r="K510" s="29">
        <f>5+2</f>
        <v>7</v>
      </c>
      <c r="L510" s="56" t="s">
        <v>912</v>
      </c>
      <c r="M510" s="31">
        <v>2400</v>
      </c>
      <c r="N510" s="31">
        <v>24</v>
      </c>
      <c r="O510" s="31" t="s">
        <v>734</v>
      </c>
      <c r="P510" s="32" t="s">
        <v>160</v>
      </c>
      <c r="Q510" s="33">
        <v>8500060632</v>
      </c>
      <c r="R510" s="33">
        <v>5000884958</v>
      </c>
      <c r="S510" s="29">
        <v>300</v>
      </c>
      <c r="T510" s="31" t="s">
        <v>1558</v>
      </c>
      <c r="U510" s="31" t="s">
        <v>1315</v>
      </c>
      <c r="V510" s="31" t="s">
        <v>1316</v>
      </c>
      <c r="W510" s="50">
        <v>45240</v>
      </c>
      <c r="X510" s="34">
        <v>300</v>
      </c>
      <c r="Y510" s="34">
        <v>2400</v>
      </c>
      <c r="Z510" s="34" t="s">
        <v>800</v>
      </c>
      <c r="AA510" s="34">
        <f t="shared" si="22"/>
        <v>0</v>
      </c>
      <c r="AB510" s="34">
        <f t="shared" si="23"/>
        <v>0</v>
      </c>
      <c r="AC510" s="25" t="s">
        <v>689</v>
      </c>
      <c r="AD510" s="25"/>
      <c r="AE510" s="25"/>
      <c r="AF510" s="25"/>
      <c r="AG510" s="25"/>
      <c r="AH510" s="35"/>
    </row>
    <row r="511" spans="1:34" ht="15.6">
      <c r="A511" s="23"/>
      <c r="B511" s="81"/>
      <c r="C511" s="25"/>
      <c r="D511" s="25"/>
      <c r="E511" s="25">
        <v>8</v>
      </c>
      <c r="F511" s="25">
        <v>650</v>
      </c>
      <c r="G511" s="26">
        <f t="shared" si="21"/>
        <v>5200</v>
      </c>
      <c r="H511" s="27" t="s">
        <v>46</v>
      </c>
      <c r="I511" s="37">
        <v>45159</v>
      </c>
      <c r="J511" s="29">
        <v>650</v>
      </c>
      <c r="K511" s="29">
        <f>7+3</f>
        <v>10</v>
      </c>
      <c r="L511" s="56" t="s">
        <v>912</v>
      </c>
      <c r="M511" s="31">
        <v>5200</v>
      </c>
      <c r="N511" s="31">
        <v>52</v>
      </c>
      <c r="O511" s="31" t="s">
        <v>913</v>
      </c>
      <c r="P511" s="32" t="s">
        <v>160</v>
      </c>
      <c r="Q511" s="33">
        <v>8500060632</v>
      </c>
      <c r="R511" s="33">
        <v>5000884958</v>
      </c>
      <c r="S511" s="29">
        <v>650</v>
      </c>
      <c r="T511" s="31" t="s">
        <v>1558</v>
      </c>
      <c r="U511" s="31" t="s">
        <v>1315</v>
      </c>
      <c r="V511" s="31" t="s">
        <v>1316</v>
      </c>
      <c r="W511" s="50">
        <v>45241</v>
      </c>
      <c r="X511" s="34">
        <v>650</v>
      </c>
      <c r="Y511" s="34">
        <v>5200</v>
      </c>
      <c r="Z511" s="34" t="s">
        <v>800</v>
      </c>
      <c r="AA511" s="34">
        <f t="shared" si="22"/>
        <v>0</v>
      </c>
      <c r="AB511" s="34">
        <f t="shared" si="23"/>
        <v>0</v>
      </c>
      <c r="AC511" s="25" t="s">
        <v>689</v>
      </c>
      <c r="AD511" s="25"/>
      <c r="AE511" s="25"/>
      <c r="AF511" s="25"/>
      <c r="AG511" s="25"/>
      <c r="AH511" s="35"/>
    </row>
    <row r="512" spans="1:34" ht="15.6">
      <c r="A512" s="23"/>
      <c r="B512" s="81"/>
      <c r="C512" s="25"/>
      <c r="D512" s="25"/>
      <c r="E512" s="25">
        <v>8</v>
      </c>
      <c r="F512" s="25">
        <v>350</v>
      </c>
      <c r="G512" s="26">
        <f t="shared" si="21"/>
        <v>2800</v>
      </c>
      <c r="H512" s="27" t="s">
        <v>37</v>
      </c>
      <c r="I512" s="37">
        <v>45160</v>
      </c>
      <c r="J512" s="29">
        <v>350</v>
      </c>
      <c r="K512" s="29">
        <f>5+13</f>
        <v>18</v>
      </c>
      <c r="L512" s="56" t="s">
        <v>912</v>
      </c>
      <c r="M512" s="31">
        <v>2800</v>
      </c>
      <c r="N512" s="31">
        <v>28</v>
      </c>
      <c r="O512" s="31" t="s">
        <v>914</v>
      </c>
      <c r="P512" s="32" t="s">
        <v>160</v>
      </c>
      <c r="Q512" s="33">
        <v>8500060632</v>
      </c>
      <c r="R512" s="33">
        <v>5000889138</v>
      </c>
      <c r="S512" s="29">
        <v>350</v>
      </c>
      <c r="T512" s="31" t="s">
        <v>1558</v>
      </c>
      <c r="U512" s="31" t="s">
        <v>1315</v>
      </c>
      <c r="V512" s="31" t="s">
        <v>1316</v>
      </c>
      <c r="W512" s="50">
        <v>45245</v>
      </c>
      <c r="X512" s="34">
        <v>350</v>
      </c>
      <c r="Y512" s="34">
        <v>2800</v>
      </c>
      <c r="Z512" s="34" t="s">
        <v>800</v>
      </c>
      <c r="AA512" s="34">
        <f t="shared" si="22"/>
        <v>0</v>
      </c>
      <c r="AB512" s="34">
        <f t="shared" si="23"/>
        <v>0</v>
      </c>
      <c r="AC512" s="25" t="s">
        <v>689</v>
      </c>
      <c r="AD512" s="25"/>
      <c r="AE512" s="25"/>
      <c r="AF512" s="25"/>
      <c r="AG512" s="25"/>
      <c r="AH512" s="35"/>
    </row>
    <row r="513" spans="1:34" ht="15.6">
      <c r="A513" s="23"/>
      <c r="B513" s="81"/>
      <c r="C513" s="25"/>
      <c r="D513" s="25"/>
      <c r="E513" s="25">
        <v>8</v>
      </c>
      <c r="F513" s="25">
        <v>100</v>
      </c>
      <c r="G513" s="26">
        <f t="shared" si="21"/>
        <v>800</v>
      </c>
      <c r="H513" s="27" t="s">
        <v>146</v>
      </c>
      <c r="I513" s="37">
        <v>45159</v>
      </c>
      <c r="J513" s="29">
        <v>100</v>
      </c>
      <c r="K513" s="29">
        <f>2+1</f>
        <v>3</v>
      </c>
      <c r="L513" s="56" t="s">
        <v>912</v>
      </c>
      <c r="M513" s="31">
        <v>800</v>
      </c>
      <c r="N513" s="31">
        <v>8</v>
      </c>
      <c r="O513" s="31" t="s">
        <v>915</v>
      </c>
      <c r="P513" s="32" t="s">
        <v>160</v>
      </c>
      <c r="Q513" s="33">
        <v>8500060634</v>
      </c>
      <c r="R513" s="33">
        <v>5000884970</v>
      </c>
      <c r="S513" s="29">
        <v>100</v>
      </c>
      <c r="T513" s="31" t="s">
        <v>1558</v>
      </c>
      <c r="U513" s="31" t="s">
        <v>1317</v>
      </c>
      <c r="V513" s="31" t="s">
        <v>1318</v>
      </c>
      <c r="W513" s="50">
        <v>45245</v>
      </c>
      <c r="X513" s="34">
        <v>100</v>
      </c>
      <c r="Y513" s="34">
        <v>800</v>
      </c>
      <c r="Z513" s="34" t="s">
        <v>800</v>
      </c>
      <c r="AA513" s="34">
        <f t="shared" si="22"/>
        <v>0</v>
      </c>
      <c r="AB513" s="34">
        <f t="shared" si="23"/>
        <v>0</v>
      </c>
      <c r="AC513" s="25" t="s">
        <v>689</v>
      </c>
      <c r="AD513" s="25"/>
      <c r="AE513" s="25"/>
      <c r="AF513" s="25"/>
      <c r="AG513" s="25"/>
      <c r="AH513" s="35"/>
    </row>
    <row r="514" spans="1:34" ht="15.6">
      <c r="A514" s="23" t="s">
        <v>525</v>
      </c>
      <c r="B514" s="81">
        <v>6000024130</v>
      </c>
      <c r="C514" s="25" t="s">
        <v>548</v>
      </c>
      <c r="D514" s="25">
        <v>6000024130</v>
      </c>
      <c r="E514" s="25">
        <v>8</v>
      </c>
      <c r="F514" s="25">
        <v>100</v>
      </c>
      <c r="G514" s="26">
        <f t="shared" si="21"/>
        <v>800</v>
      </c>
      <c r="H514" s="27" t="s">
        <v>27</v>
      </c>
      <c r="I514" s="37">
        <v>45159</v>
      </c>
      <c r="J514" s="29">
        <v>100</v>
      </c>
      <c r="K514" s="29">
        <f>2+2</f>
        <v>4</v>
      </c>
      <c r="L514" s="57">
        <v>45181</v>
      </c>
      <c r="M514" s="31">
        <v>800</v>
      </c>
      <c r="N514" s="31">
        <v>4</v>
      </c>
      <c r="O514" s="31" t="s">
        <v>899</v>
      </c>
      <c r="P514" s="32" t="s">
        <v>160</v>
      </c>
      <c r="Q514" s="33">
        <v>8500060636</v>
      </c>
      <c r="R514" s="33">
        <v>5000883973</v>
      </c>
      <c r="S514" s="29">
        <v>100</v>
      </c>
      <c r="T514" s="31" t="s">
        <v>152</v>
      </c>
      <c r="U514" s="31">
        <v>8500060635</v>
      </c>
      <c r="V514" s="31">
        <v>5000971662</v>
      </c>
      <c r="W514" s="50">
        <v>45247</v>
      </c>
      <c r="X514" s="34">
        <v>100</v>
      </c>
      <c r="Y514" s="34">
        <v>800</v>
      </c>
      <c r="Z514" s="34" t="s">
        <v>800</v>
      </c>
      <c r="AA514" s="34">
        <f t="shared" si="22"/>
        <v>0</v>
      </c>
      <c r="AB514" s="34">
        <f t="shared" si="23"/>
        <v>0</v>
      </c>
      <c r="AC514" s="25" t="s">
        <v>689</v>
      </c>
      <c r="AD514" s="25"/>
      <c r="AE514" s="25"/>
      <c r="AF514" s="25"/>
      <c r="AG514" s="25"/>
      <c r="AH514" s="35"/>
    </row>
    <row r="515" spans="1:34" ht="15.6">
      <c r="A515" s="23"/>
      <c r="B515" s="81"/>
      <c r="C515" s="25"/>
      <c r="D515" s="25"/>
      <c r="E515" s="25">
        <v>8</v>
      </c>
      <c r="F515" s="25">
        <v>650</v>
      </c>
      <c r="G515" s="26">
        <f t="shared" si="21"/>
        <v>5200</v>
      </c>
      <c r="H515" s="27" t="s">
        <v>46</v>
      </c>
      <c r="I515" s="37">
        <v>45159</v>
      </c>
      <c r="J515" s="29">
        <v>650</v>
      </c>
      <c r="K515" s="29">
        <f>8+2</f>
        <v>10</v>
      </c>
      <c r="L515" s="57">
        <v>45181</v>
      </c>
      <c r="M515" s="31">
        <v>5200</v>
      </c>
      <c r="N515" s="31">
        <v>26</v>
      </c>
      <c r="O515" s="31" t="s">
        <v>1547</v>
      </c>
      <c r="P515" s="32" t="s">
        <v>160</v>
      </c>
      <c r="Q515" s="33">
        <v>8500060636</v>
      </c>
      <c r="R515" s="33">
        <v>5000883973</v>
      </c>
      <c r="S515" s="29">
        <v>650</v>
      </c>
      <c r="T515" s="31" t="s">
        <v>152</v>
      </c>
      <c r="U515" s="31">
        <v>8500060635</v>
      </c>
      <c r="V515" s="31">
        <v>5000971662</v>
      </c>
      <c r="W515" s="50">
        <v>45250</v>
      </c>
      <c r="X515" s="34">
        <v>650</v>
      </c>
      <c r="Y515" s="34">
        <v>5200</v>
      </c>
      <c r="Z515" s="34" t="s">
        <v>800</v>
      </c>
      <c r="AA515" s="34">
        <f t="shared" si="22"/>
        <v>0</v>
      </c>
      <c r="AB515" s="34">
        <f t="shared" si="23"/>
        <v>0</v>
      </c>
      <c r="AC515" s="25" t="s">
        <v>689</v>
      </c>
      <c r="AD515" s="25"/>
      <c r="AE515" s="25"/>
      <c r="AF515" s="25"/>
      <c r="AG515" s="25"/>
      <c r="AH515" s="35"/>
    </row>
    <row r="516" spans="1:34" ht="15.6">
      <c r="A516" s="23"/>
      <c r="B516" s="81"/>
      <c r="C516" s="25"/>
      <c r="D516" s="25"/>
      <c r="E516" s="25">
        <v>8</v>
      </c>
      <c r="F516" s="25">
        <v>450</v>
      </c>
      <c r="G516" s="26">
        <f t="shared" si="21"/>
        <v>3600</v>
      </c>
      <c r="H516" s="27" t="s">
        <v>37</v>
      </c>
      <c r="I516" s="37">
        <v>45159</v>
      </c>
      <c r="J516" s="29">
        <v>450</v>
      </c>
      <c r="K516" s="29">
        <f>7+3</f>
        <v>10</v>
      </c>
      <c r="L516" s="57">
        <v>45181</v>
      </c>
      <c r="M516" s="31">
        <v>3600</v>
      </c>
      <c r="N516" s="31">
        <v>18</v>
      </c>
      <c r="O516" s="31" t="s">
        <v>899</v>
      </c>
      <c r="P516" s="32" t="s">
        <v>160</v>
      </c>
      <c r="Q516" s="33">
        <v>8500060636</v>
      </c>
      <c r="R516" s="33">
        <v>5000883973</v>
      </c>
      <c r="S516" s="29">
        <v>450</v>
      </c>
      <c r="T516" s="31" t="s">
        <v>152</v>
      </c>
      <c r="U516" s="31">
        <v>8500060635</v>
      </c>
      <c r="V516" s="31">
        <v>5000971662</v>
      </c>
      <c r="W516" s="50">
        <v>45248</v>
      </c>
      <c r="X516" s="34">
        <v>450</v>
      </c>
      <c r="Y516" s="34">
        <v>3600</v>
      </c>
      <c r="Z516" s="34" t="s">
        <v>800</v>
      </c>
      <c r="AA516" s="34">
        <f t="shared" si="22"/>
        <v>0</v>
      </c>
      <c r="AB516" s="34">
        <f t="shared" si="23"/>
        <v>0</v>
      </c>
      <c r="AC516" s="25" t="s">
        <v>689</v>
      </c>
      <c r="AD516" s="25"/>
      <c r="AE516" s="25"/>
      <c r="AF516" s="25"/>
      <c r="AG516" s="25"/>
      <c r="AH516" s="35"/>
    </row>
    <row r="517" spans="1:34" ht="15.6">
      <c r="A517" s="23"/>
      <c r="B517" s="81"/>
      <c r="C517" s="25"/>
      <c r="D517" s="25"/>
      <c r="E517" s="25">
        <v>8</v>
      </c>
      <c r="F517" s="25">
        <v>200</v>
      </c>
      <c r="G517" s="26">
        <f t="shared" si="21"/>
        <v>1600</v>
      </c>
      <c r="H517" s="27" t="s">
        <v>146</v>
      </c>
      <c r="I517" s="37">
        <v>45159</v>
      </c>
      <c r="J517" s="29">
        <v>200</v>
      </c>
      <c r="K517" s="29">
        <f>3+2</f>
        <v>5</v>
      </c>
      <c r="L517" s="57">
        <v>45181</v>
      </c>
      <c r="M517" s="31">
        <v>1600</v>
      </c>
      <c r="N517" s="31">
        <v>8</v>
      </c>
      <c r="O517" s="31" t="s">
        <v>1548</v>
      </c>
      <c r="P517" s="32" t="s">
        <v>160</v>
      </c>
      <c r="Q517" s="33">
        <v>8500060638</v>
      </c>
      <c r="R517" s="33">
        <v>5000883980</v>
      </c>
      <c r="S517" s="29">
        <v>200</v>
      </c>
      <c r="T517" s="31" t="s">
        <v>152</v>
      </c>
      <c r="U517" s="31">
        <v>8500060637</v>
      </c>
      <c r="V517" s="31">
        <v>5000971664</v>
      </c>
      <c r="W517" s="50">
        <v>45247</v>
      </c>
      <c r="X517" s="34">
        <v>200</v>
      </c>
      <c r="Y517" s="34">
        <v>1600</v>
      </c>
      <c r="Z517" s="34" t="s">
        <v>800</v>
      </c>
      <c r="AA517" s="34">
        <f t="shared" si="22"/>
        <v>0</v>
      </c>
      <c r="AB517" s="34">
        <f t="shared" si="23"/>
        <v>0</v>
      </c>
      <c r="AC517" s="25" t="s">
        <v>689</v>
      </c>
      <c r="AD517" s="25"/>
      <c r="AE517" s="25"/>
      <c r="AF517" s="25"/>
      <c r="AG517" s="25"/>
      <c r="AH517" s="35"/>
    </row>
    <row r="518" spans="1:34" ht="31.2">
      <c r="A518" s="23" t="s">
        <v>715</v>
      </c>
      <c r="B518" s="81">
        <v>6000024394</v>
      </c>
      <c r="C518" s="25" t="s">
        <v>716</v>
      </c>
      <c r="D518" s="25">
        <v>6000024394</v>
      </c>
      <c r="E518" s="25">
        <v>10</v>
      </c>
      <c r="F518" s="25">
        <v>210</v>
      </c>
      <c r="G518" s="26">
        <f t="shared" si="21"/>
        <v>2100</v>
      </c>
      <c r="H518" s="27" t="s">
        <v>46</v>
      </c>
      <c r="I518" s="28" t="s">
        <v>920</v>
      </c>
      <c r="J518" s="29">
        <v>210</v>
      </c>
      <c r="K518" s="29">
        <v>10</v>
      </c>
      <c r="L518" s="57">
        <v>45161</v>
      </c>
      <c r="M518" s="31">
        <v>2100</v>
      </c>
      <c r="N518" s="31">
        <v>26</v>
      </c>
      <c r="O518" s="31" t="s">
        <v>1362</v>
      </c>
      <c r="P518" s="32" t="s">
        <v>924</v>
      </c>
      <c r="Q518" s="33">
        <v>8500060778</v>
      </c>
      <c r="R518" s="33">
        <v>5000883691</v>
      </c>
      <c r="S518" s="29">
        <v>210</v>
      </c>
      <c r="T518" s="31" t="s">
        <v>87</v>
      </c>
      <c r="U518" s="31">
        <v>8500060777</v>
      </c>
      <c r="V518" s="31">
        <v>5000893111</v>
      </c>
      <c r="W518" s="50">
        <v>45178</v>
      </c>
      <c r="X518" s="34">
        <v>210</v>
      </c>
      <c r="Y518" s="34">
        <v>2100</v>
      </c>
      <c r="Z518" s="34" t="s">
        <v>800</v>
      </c>
      <c r="AA518" s="34">
        <f t="shared" si="22"/>
        <v>0</v>
      </c>
      <c r="AB518" s="34">
        <f t="shared" si="23"/>
        <v>0</v>
      </c>
      <c r="AC518" s="25" t="s">
        <v>689</v>
      </c>
      <c r="AD518" s="25"/>
      <c r="AE518" s="25"/>
      <c r="AF518" s="25"/>
      <c r="AG518" s="25"/>
      <c r="AH518" s="35"/>
    </row>
    <row r="519" spans="1:34" ht="31.2">
      <c r="A519" s="23"/>
      <c r="B519" s="81"/>
      <c r="C519" s="25"/>
      <c r="D519" s="25"/>
      <c r="E519" s="25">
        <v>10</v>
      </c>
      <c r="F519" s="25">
        <v>210</v>
      </c>
      <c r="G519" s="26">
        <f t="shared" si="21"/>
        <v>2100</v>
      </c>
      <c r="H519" s="27" t="s">
        <v>37</v>
      </c>
      <c r="I519" s="28" t="s">
        <v>920</v>
      </c>
      <c r="J519" s="29">
        <v>210</v>
      </c>
      <c r="K519" s="29">
        <v>10</v>
      </c>
      <c r="L519" s="57">
        <v>45161</v>
      </c>
      <c r="M519" s="31">
        <v>2100</v>
      </c>
      <c r="N519" s="31">
        <v>21</v>
      </c>
      <c r="O519" s="31" t="s">
        <v>1363</v>
      </c>
      <c r="P519" s="32" t="s">
        <v>924</v>
      </c>
      <c r="Q519" s="33">
        <v>8500060778</v>
      </c>
      <c r="R519" s="33">
        <v>5000883691</v>
      </c>
      <c r="S519" s="29">
        <v>210</v>
      </c>
      <c r="T519" s="31" t="s">
        <v>87</v>
      </c>
      <c r="U519" s="31">
        <v>8500060777</v>
      </c>
      <c r="V519" s="31">
        <v>5000893111</v>
      </c>
      <c r="W519" s="50">
        <v>45178</v>
      </c>
      <c r="X519" s="34">
        <v>210</v>
      </c>
      <c r="Y519" s="34">
        <v>2100</v>
      </c>
      <c r="Z519" s="34" t="s">
        <v>800</v>
      </c>
      <c r="AA519" s="34">
        <f t="shared" si="22"/>
        <v>0</v>
      </c>
      <c r="AB519" s="34">
        <f t="shared" si="23"/>
        <v>0</v>
      </c>
      <c r="AC519" s="25" t="s">
        <v>689</v>
      </c>
      <c r="AD519" s="25"/>
      <c r="AE519" s="25"/>
      <c r="AF519" s="25"/>
      <c r="AG519" s="25"/>
      <c r="AH519" s="35"/>
    </row>
    <row r="520" spans="1:34" ht="31.2">
      <c r="A520" s="23"/>
      <c r="B520" s="81"/>
      <c r="C520" s="25"/>
      <c r="D520" s="25" t="s">
        <v>923</v>
      </c>
      <c r="E520" s="25"/>
      <c r="F520" s="25">
        <v>420</v>
      </c>
      <c r="G520" s="26">
        <f t="shared" si="21"/>
        <v>0</v>
      </c>
      <c r="H520" s="27"/>
      <c r="I520" s="28" t="s">
        <v>920</v>
      </c>
      <c r="J520" s="29">
        <v>420</v>
      </c>
      <c r="K520" s="29"/>
      <c r="L520" s="56"/>
      <c r="M520" s="31"/>
      <c r="N520" s="31"/>
      <c r="O520" s="31"/>
      <c r="P520" s="32" t="s">
        <v>924</v>
      </c>
      <c r="Q520" s="33"/>
      <c r="R520" s="33"/>
      <c r="S520" s="29">
        <v>420</v>
      </c>
      <c r="T520" s="31"/>
      <c r="U520" s="31"/>
      <c r="V520" s="31"/>
      <c r="W520" s="50"/>
      <c r="X520" s="34">
        <v>420</v>
      </c>
      <c r="Y520" s="34"/>
      <c r="Z520" s="34" t="s">
        <v>800</v>
      </c>
      <c r="AA520" s="34">
        <f t="shared" si="22"/>
        <v>0</v>
      </c>
      <c r="AB520" s="34">
        <f t="shared" si="23"/>
        <v>0</v>
      </c>
      <c r="AC520" s="25" t="s">
        <v>689</v>
      </c>
      <c r="AD520" s="25"/>
      <c r="AE520" s="25"/>
      <c r="AF520" s="25"/>
      <c r="AG520" s="25"/>
      <c r="AH520" s="35"/>
    </row>
    <row r="521" spans="1:34" ht="21.75" customHeight="1">
      <c r="A521" s="23" t="s">
        <v>715</v>
      </c>
      <c r="B521" s="81">
        <v>6000024394</v>
      </c>
      <c r="C521" s="25" t="s">
        <v>717</v>
      </c>
      <c r="D521" s="25">
        <v>6000024394</v>
      </c>
      <c r="E521" s="25">
        <v>10</v>
      </c>
      <c r="F521" s="25">
        <v>405</v>
      </c>
      <c r="G521" s="26">
        <f t="shared" si="21"/>
        <v>4050</v>
      </c>
      <c r="H521" s="27" t="s">
        <v>46</v>
      </c>
      <c r="I521" s="28" t="s">
        <v>920</v>
      </c>
      <c r="J521" s="29">
        <v>405</v>
      </c>
      <c r="K521" s="29">
        <v>15</v>
      </c>
      <c r="L521" s="57">
        <v>45161</v>
      </c>
      <c r="M521" s="31">
        <v>4050</v>
      </c>
      <c r="N521" s="31">
        <v>41</v>
      </c>
      <c r="O521" s="31"/>
      <c r="P521" s="32" t="s">
        <v>924</v>
      </c>
      <c r="Q521" s="33">
        <v>8500060780</v>
      </c>
      <c r="R521" s="33">
        <v>5000883692</v>
      </c>
      <c r="S521" s="29">
        <v>405</v>
      </c>
      <c r="T521" s="31" t="s">
        <v>87</v>
      </c>
      <c r="U521" s="31">
        <v>8500060779</v>
      </c>
      <c r="V521" s="31">
        <v>5000893114</v>
      </c>
      <c r="W521" s="50">
        <v>45191</v>
      </c>
      <c r="X521" s="34">
        <v>405</v>
      </c>
      <c r="Y521" s="34">
        <v>4050</v>
      </c>
      <c r="Z521" s="34" t="s">
        <v>800</v>
      </c>
      <c r="AA521" s="34">
        <f t="shared" si="22"/>
        <v>0</v>
      </c>
      <c r="AB521" s="34">
        <f t="shared" si="23"/>
        <v>0</v>
      </c>
      <c r="AC521" s="25" t="s">
        <v>689</v>
      </c>
      <c r="AD521" s="25"/>
      <c r="AE521" s="25"/>
      <c r="AF521" s="25"/>
      <c r="AG521" s="25"/>
      <c r="AH521" s="35"/>
    </row>
    <row r="522" spans="1:34" ht="21.75" customHeight="1">
      <c r="A522" s="23"/>
      <c r="B522" s="81"/>
      <c r="C522" s="25"/>
      <c r="D522" s="25"/>
      <c r="E522" s="25">
        <v>10</v>
      </c>
      <c r="F522" s="25">
        <v>405</v>
      </c>
      <c r="G522" s="26">
        <f t="shared" ref="G522:G584" si="24">F522*E522</f>
        <v>4050</v>
      </c>
      <c r="H522" s="27" t="s">
        <v>37</v>
      </c>
      <c r="I522" s="28" t="s">
        <v>920</v>
      </c>
      <c r="J522" s="29">
        <v>405</v>
      </c>
      <c r="K522" s="29">
        <v>15</v>
      </c>
      <c r="L522" s="57">
        <v>45161</v>
      </c>
      <c r="M522" s="31">
        <v>4050</v>
      </c>
      <c r="N522" s="31">
        <v>41</v>
      </c>
      <c r="O522" s="31"/>
      <c r="P522" s="32" t="s">
        <v>924</v>
      </c>
      <c r="Q522" s="33">
        <v>8500060780</v>
      </c>
      <c r="R522" s="33">
        <v>5000883692</v>
      </c>
      <c r="S522" s="29">
        <v>405</v>
      </c>
      <c r="T522" s="31" t="s">
        <v>87</v>
      </c>
      <c r="U522" s="31">
        <v>8500060779</v>
      </c>
      <c r="V522" s="31">
        <v>5000893114</v>
      </c>
      <c r="W522" s="50">
        <v>45191</v>
      </c>
      <c r="X522" s="34">
        <v>405</v>
      </c>
      <c r="Y522" s="34">
        <v>4050</v>
      </c>
      <c r="Z522" s="34" t="s">
        <v>800</v>
      </c>
      <c r="AA522" s="34">
        <f t="shared" si="22"/>
        <v>0</v>
      </c>
      <c r="AB522" s="34">
        <f t="shared" si="23"/>
        <v>0</v>
      </c>
      <c r="AC522" s="25" t="s">
        <v>689</v>
      </c>
      <c r="AD522" s="25"/>
      <c r="AE522" s="25"/>
      <c r="AF522" s="25"/>
      <c r="AG522" s="25"/>
      <c r="AH522" s="35"/>
    </row>
    <row r="523" spans="1:34" ht="21.75" customHeight="1">
      <c r="A523" s="23"/>
      <c r="B523" s="81"/>
      <c r="C523" s="25"/>
      <c r="D523" s="25" t="s">
        <v>923</v>
      </c>
      <c r="E523" s="25"/>
      <c r="F523" s="25">
        <v>810</v>
      </c>
      <c r="G523" s="26">
        <f t="shared" si="24"/>
        <v>0</v>
      </c>
      <c r="H523" s="27"/>
      <c r="I523" s="28" t="s">
        <v>920</v>
      </c>
      <c r="J523" s="29">
        <v>810</v>
      </c>
      <c r="K523" s="29">
        <v>10</v>
      </c>
      <c r="L523" s="56"/>
      <c r="M523" s="31"/>
      <c r="N523" s="31"/>
      <c r="O523" s="31"/>
      <c r="P523" s="32" t="s">
        <v>924</v>
      </c>
      <c r="Q523" s="33" t="s">
        <v>343</v>
      </c>
      <c r="R523" s="33"/>
      <c r="S523" s="29">
        <v>810</v>
      </c>
      <c r="T523" s="31"/>
      <c r="U523" s="31"/>
      <c r="V523" s="31"/>
      <c r="W523" s="50"/>
      <c r="X523" s="34">
        <v>810</v>
      </c>
      <c r="Y523" s="34"/>
      <c r="Z523" s="34"/>
      <c r="AA523" s="34">
        <f t="shared" si="22"/>
        <v>0</v>
      </c>
      <c r="AB523" s="34">
        <f t="shared" si="23"/>
        <v>0</v>
      </c>
      <c r="AC523" s="25" t="s">
        <v>689</v>
      </c>
      <c r="AD523" s="25"/>
      <c r="AE523" s="25"/>
      <c r="AF523" s="25"/>
      <c r="AG523" s="25"/>
      <c r="AH523" s="35"/>
    </row>
    <row r="524" spans="1:34" ht="28.5" customHeight="1">
      <c r="A524" s="23" t="s">
        <v>645</v>
      </c>
      <c r="B524" s="81">
        <v>6000024422</v>
      </c>
      <c r="C524" s="40" t="s">
        <v>1332</v>
      </c>
      <c r="D524" s="40" t="s">
        <v>1334</v>
      </c>
      <c r="E524" s="25">
        <v>10</v>
      </c>
      <c r="F524" s="25">
        <v>100</v>
      </c>
      <c r="G524" s="26">
        <f t="shared" si="24"/>
        <v>1000</v>
      </c>
      <c r="H524" s="27" t="s">
        <v>27</v>
      </c>
      <c r="I524" s="37">
        <v>45167</v>
      </c>
      <c r="J524" s="29">
        <v>100</v>
      </c>
      <c r="K524" s="29">
        <f>6+3</f>
        <v>9</v>
      </c>
      <c r="L524" s="57">
        <v>45159</v>
      </c>
      <c r="M524" s="31">
        <v>1000</v>
      </c>
      <c r="N524" s="31">
        <f>10+8</f>
        <v>18</v>
      </c>
      <c r="O524" s="31" t="s">
        <v>891</v>
      </c>
      <c r="P524" s="32" t="s">
        <v>160</v>
      </c>
      <c r="Q524" s="33">
        <v>8500060774</v>
      </c>
      <c r="R524" s="33">
        <v>5000916005</v>
      </c>
      <c r="S524" s="29">
        <v>100</v>
      </c>
      <c r="T524" s="31" t="s">
        <v>1558</v>
      </c>
      <c r="U524" s="31">
        <v>8500060773</v>
      </c>
      <c r="V524" s="31">
        <v>5000884876</v>
      </c>
      <c r="W524" s="50">
        <v>45174</v>
      </c>
      <c r="X524" s="34">
        <v>100</v>
      </c>
      <c r="Y524" s="34">
        <v>1000</v>
      </c>
      <c r="Z524" s="34" t="s">
        <v>800</v>
      </c>
      <c r="AA524" s="34">
        <f t="shared" ref="AA524:AA587" si="25">J524-X524</f>
        <v>0</v>
      </c>
      <c r="AB524" s="34">
        <f t="shared" ref="AB524:AB543" si="26">M524-Y524</f>
        <v>0</v>
      </c>
      <c r="AC524" s="25" t="s">
        <v>689</v>
      </c>
      <c r="AD524" s="25"/>
      <c r="AE524" s="25"/>
      <c r="AF524" s="25"/>
      <c r="AG524" s="25"/>
      <c r="AH524" s="35"/>
    </row>
    <row r="525" spans="1:34" ht="15.6">
      <c r="A525" s="23"/>
      <c r="B525" s="81"/>
      <c r="C525" s="25"/>
      <c r="D525" s="25"/>
      <c r="E525" s="25">
        <v>10</v>
      </c>
      <c r="F525" s="25">
        <v>550</v>
      </c>
      <c r="G525" s="26">
        <f t="shared" si="24"/>
        <v>5500</v>
      </c>
      <c r="H525" s="27" t="s">
        <v>46</v>
      </c>
      <c r="I525" s="37">
        <v>45167</v>
      </c>
      <c r="J525" s="29">
        <v>550</v>
      </c>
      <c r="K525" s="29">
        <f>11+1</f>
        <v>12</v>
      </c>
      <c r="L525" s="57">
        <v>45159</v>
      </c>
      <c r="M525" s="31">
        <v>5500</v>
      </c>
      <c r="N525" s="31">
        <f>55+8</f>
        <v>63</v>
      </c>
      <c r="O525" s="31" t="s">
        <v>1339</v>
      </c>
      <c r="P525" s="32" t="s">
        <v>160</v>
      </c>
      <c r="Q525" s="33">
        <v>8500060774</v>
      </c>
      <c r="R525" s="33">
        <v>5000916005</v>
      </c>
      <c r="S525" s="29">
        <v>550</v>
      </c>
      <c r="T525" s="31" t="s">
        <v>1558</v>
      </c>
      <c r="U525" s="31">
        <v>8500060773</v>
      </c>
      <c r="V525" s="31">
        <v>5000884876</v>
      </c>
      <c r="W525" s="50">
        <v>45174</v>
      </c>
      <c r="X525" s="34">
        <v>550</v>
      </c>
      <c r="Y525" s="34">
        <v>5500</v>
      </c>
      <c r="Z525" s="34" t="s">
        <v>870</v>
      </c>
      <c r="AA525" s="34">
        <f t="shared" si="25"/>
        <v>0</v>
      </c>
      <c r="AB525" s="34">
        <f t="shared" si="26"/>
        <v>0</v>
      </c>
      <c r="AC525" s="25" t="s">
        <v>689</v>
      </c>
      <c r="AD525" s="25"/>
      <c r="AE525" s="25"/>
      <c r="AF525" s="25"/>
      <c r="AG525" s="25"/>
      <c r="AH525" s="35"/>
    </row>
    <row r="526" spans="1:34" ht="15.6">
      <c r="A526" s="23"/>
      <c r="B526" s="81"/>
      <c r="C526" s="25"/>
      <c r="D526" s="25"/>
      <c r="E526" s="25">
        <v>10</v>
      </c>
      <c r="F526" s="25">
        <v>250</v>
      </c>
      <c r="G526" s="26">
        <f t="shared" si="24"/>
        <v>2500</v>
      </c>
      <c r="H526" s="27" t="s">
        <v>37</v>
      </c>
      <c r="I526" s="37">
        <v>45167</v>
      </c>
      <c r="J526" s="29">
        <v>250</v>
      </c>
      <c r="K526" s="29">
        <f>8+2</f>
        <v>10</v>
      </c>
      <c r="L526" s="57">
        <v>45159</v>
      </c>
      <c r="M526" s="31">
        <v>2500</v>
      </c>
      <c r="N526" s="31">
        <f>25+8</f>
        <v>33</v>
      </c>
      <c r="O526" s="31" t="s">
        <v>745</v>
      </c>
      <c r="P526" s="32" t="s">
        <v>160</v>
      </c>
      <c r="Q526" s="33">
        <v>8500060774</v>
      </c>
      <c r="R526" s="33">
        <v>5000916005</v>
      </c>
      <c r="S526" s="29">
        <v>250</v>
      </c>
      <c r="T526" s="31" t="s">
        <v>1558</v>
      </c>
      <c r="U526" s="31">
        <v>8500060773</v>
      </c>
      <c r="V526" s="31">
        <v>5000884876</v>
      </c>
      <c r="W526" s="50">
        <v>45176</v>
      </c>
      <c r="X526" s="34">
        <v>250</v>
      </c>
      <c r="Y526" s="34">
        <v>2500</v>
      </c>
      <c r="Z526" s="34" t="s">
        <v>871</v>
      </c>
      <c r="AA526" s="34">
        <f t="shared" si="25"/>
        <v>0</v>
      </c>
      <c r="AB526" s="34">
        <f t="shared" si="26"/>
        <v>0</v>
      </c>
      <c r="AC526" s="25" t="s">
        <v>689</v>
      </c>
      <c r="AD526" s="25"/>
      <c r="AE526" s="25"/>
      <c r="AF526" s="25"/>
      <c r="AG526" s="25"/>
      <c r="AH526" s="35"/>
    </row>
    <row r="527" spans="1:34" ht="15.6">
      <c r="A527" s="23" t="s">
        <v>645</v>
      </c>
      <c r="B527" s="81">
        <v>6000024422</v>
      </c>
      <c r="C527" s="40" t="s">
        <v>1333</v>
      </c>
      <c r="D527" s="40"/>
      <c r="E527" s="25">
        <v>10</v>
      </c>
      <c r="F527" s="25">
        <v>100</v>
      </c>
      <c r="G527" s="26">
        <f t="shared" si="24"/>
        <v>1000</v>
      </c>
      <c r="H527" s="27" t="s">
        <v>27</v>
      </c>
      <c r="I527" s="37">
        <v>45160</v>
      </c>
      <c r="J527" s="29">
        <v>100</v>
      </c>
      <c r="K527" s="29">
        <f>6+2</f>
        <v>8</v>
      </c>
      <c r="L527" s="57">
        <v>45159</v>
      </c>
      <c r="M527" s="31">
        <v>1000</v>
      </c>
      <c r="N527" s="31">
        <f>10+8</f>
        <v>18</v>
      </c>
      <c r="O527" s="31" t="s">
        <v>891</v>
      </c>
      <c r="P527" s="32" t="s">
        <v>160</v>
      </c>
      <c r="Q527" s="33">
        <v>8500060776</v>
      </c>
      <c r="R527" s="33">
        <v>5000889132</v>
      </c>
      <c r="S527" s="29">
        <v>100</v>
      </c>
      <c r="T527" s="31" t="s">
        <v>1558</v>
      </c>
      <c r="U527" s="31">
        <v>8500060775</v>
      </c>
      <c r="V527" s="31">
        <v>5000884878</v>
      </c>
      <c r="W527" s="50">
        <v>45174</v>
      </c>
      <c r="X527" s="34">
        <v>100</v>
      </c>
      <c r="Y527" s="34">
        <v>1000</v>
      </c>
      <c r="Z527" s="34" t="s">
        <v>800</v>
      </c>
      <c r="AA527" s="34">
        <f t="shared" si="25"/>
        <v>0</v>
      </c>
      <c r="AB527" s="34">
        <f t="shared" si="26"/>
        <v>0</v>
      </c>
      <c r="AC527" s="25" t="s">
        <v>689</v>
      </c>
      <c r="AD527" s="25"/>
      <c r="AE527" s="25"/>
      <c r="AF527" s="25"/>
      <c r="AG527" s="25"/>
      <c r="AH527" s="35"/>
    </row>
    <row r="528" spans="1:34" ht="15.6">
      <c r="A528" s="23"/>
      <c r="B528" s="81"/>
      <c r="C528" s="25"/>
      <c r="D528" s="25"/>
      <c r="E528" s="25">
        <v>10</v>
      </c>
      <c r="F528" s="25">
        <v>450</v>
      </c>
      <c r="G528" s="26">
        <f t="shared" si="24"/>
        <v>4500</v>
      </c>
      <c r="H528" s="27" t="s">
        <v>46</v>
      </c>
      <c r="I528" s="37">
        <v>45160</v>
      </c>
      <c r="J528" s="29">
        <v>450</v>
      </c>
      <c r="K528" s="29">
        <v>10</v>
      </c>
      <c r="L528" s="57">
        <v>45159</v>
      </c>
      <c r="M528" s="31">
        <v>4500</v>
      </c>
      <c r="N528" s="31">
        <f>45+8</f>
        <v>53</v>
      </c>
      <c r="O528" s="31" t="s">
        <v>887</v>
      </c>
      <c r="P528" s="32" t="s">
        <v>160</v>
      </c>
      <c r="Q528" s="33">
        <v>8500060776</v>
      </c>
      <c r="R528" s="33">
        <v>5000889132</v>
      </c>
      <c r="S528" s="29">
        <v>450</v>
      </c>
      <c r="T528" s="31" t="s">
        <v>1558</v>
      </c>
      <c r="U528" s="31">
        <v>8500060775</v>
      </c>
      <c r="V528" s="31">
        <v>5000884878</v>
      </c>
      <c r="W528" s="50">
        <v>45175</v>
      </c>
      <c r="X528" s="34">
        <v>450</v>
      </c>
      <c r="Y528" s="34">
        <v>4500</v>
      </c>
      <c r="Z528" s="34" t="s">
        <v>800</v>
      </c>
      <c r="AA528" s="34">
        <f t="shared" si="25"/>
        <v>0</v>
      </c>
      <c r="AB528" s="34">
        <f t="shared" si="26"/>
        <v>0</v>
      </c>
      <c r="AC528" s="25" t="s">
        <v>689</v>
      </c>
      <c r="AD528" s="25"/>
      <c r="AE528" s="25"/>
      <c r="AF528" s="25"/>
      <c r="AG528" s="25"/>
      <c r="AH528" s="35"/>
    </row>
    <row r="529" spans="1:34" ht="15.6">
      <c r="A529" s="23"/>
      <c r="B529" s="81"/>
      <c r="C529" s="25"/>
      <c r="D529" s="25"/>
      <c r="E529" s="25">
        <v>10</v>
      </c>
      <c r="F529" s="25">
        <v>150</v>
      </c>
      <c r="G529" s="26">
        <f t="shared" si="24"/>
        <v>1500</v>
      </c>
      <c r="H529" s="27" t="s">
        <v>37</v>
      </c>
      <c r="I529" s="37">
        <v>45160</v>
      </c>
      <c r="J529" s="29">
        <v>150</v>
      </c>
      <c r="K529" s="29">
        <f>7+3</f>
        <v>10</v>
      </c>
      <c r="L529" s="57">
        <v>45159</v>
      </c>
      <c r="M529" s="31">
        <v>1500</v>
      </c>
      <c r="N529" s="31">
        <f>15+8</f>
        <v>23</v>
      </c>
      <c r="O529" s="31" t="s">
        <v>891</v>
      </c>
      <c r="P529" s="32" t="s">
        <v>160</v>
      </c>
      <c r="Q529" s="33">
        <v>8500060776</v>
      </c>
      <c r="R529" s="33">
        <v>5000889132</v>
      </c>
      <c r="S529" s="29">
        <v>150</v>
      </c>
      <c r="T529" s="31" t="s">
        <v>1558</v>
      </c>
      <c r="U529" s="31">
        <v>8500060775</v>
      </c>
      <c r="V529" s="31">
        <v>5000884878</v>
      </c>
      <c r="W529" s="50">
        <v>45174</v>
      </c>
      <c r="X529" s="34">
        <v>150</v>
      </c>
      <c r="Y529" s="34">
        <v>1500</v>
      </c>
      <c r="Z529" s="34" t="s">
        <v>800</v>
      </c>
      <c r="AA529" s="34">
        <f t="shared" si="25"/>
        <v>0</v>
      </c>
      <c r="AB529" s="34">
        <f t="shared" si="26"/>
        <v>0</v>
      </c>
      <c r="AC529" s="25" t="s">
        <v>689</v>
      </c>
      <c r="AD529" s="25"/>
      <c r="AE529" s="25"/>
      <c r="AF529" s="25"/>
      <c r="AG529" s="25"/>
      <c r="AH529" s="35"/>
    </row>
    <row r="530" spans="1:34" ht="15.6">
      <c r="A530" s="23"/>
      <c r="B530" s="81"/>
      <c r="C530" s="25"/>
      <c r="D530" s="25"/>
      <c r="E530" s="25">
        <v>10</v>
      </c>
      <c r="F530" s="25">
        <v>300</v>
      </c>
      <c r="G530" s="26">
        <f t="shared" si="24"/>
        <v>3000</v>
      </c>
      <c r="H530" s="27" t="s">
        <v>146</v>
      </c>
      <c r="I530" s="37">
        <v>45160</v>
      </c>
      <c r="J530" s="29">
        <v>300</v>
      </c>
      <c r="K530" s="29">
        <f>8+2</f>
        <v>10</v>
      </c>
      <c r="L530" s="57">
        <v>45159</v>
      </c>
      <c r="M530" s="31">
        <v>3000</v>
      </c>
      <c r="N530" s="31">
        <f>30+8</f>
        <v>38</v>
      </c>
      <c r="O530" s="31" t="s">
        <v>887</v>
      </c>
      <c r="P530" s="32" t="s">
        <v>160</v>
      </c>
      <c r="Q530" s="33">
        <v>8500060776</v>
      </c>
      <c r="R530" s="33">
        <v>5000889132</v>
      </c>
      <c r="S530" s="29">
        <v>300</v>
      </c>
      <c r="T530" s="31" t="s">
        <v>1558</v>
      </c>
      <c r="U530" s="31">
        <v>8500060775</v>
      </c>
      <c r="V530" s="31">
        <v>5000884878</v>
      </c>
      <c r="W530" s="50">
        <v>45175</v>
      </c>
      <c r="X530" s="34">
        <v>300</v>
      </c>
      <c r="Y530" s="34">
        <v>3000</v>
      </c>
      <c r="Z530" s="34" t="s">
        <v>800</v>
      </c>
      <c r="AA530" s="34">
        <f t="shared" si="25"/>
        <v>0</v>
      </c>
      <c r="AB530" s="34">
        <f t="shared" si="26"/>
        <v>0</v>
      </c>
      <c r="AC530" s="25" t="s">
        <v>689</v>
      </c>
      <c r="AD530" s="25"/>
      <c r="AE530" s="25"/>
      <c r="AF530" s="25"/>
      <c r="AG530" s="25"/>
      <c r="AH530" s="35"/>
    </row>
    <row r="531" spans="1:34" ht="62.4">
      <c r="A531" s="41" t="s">
        <v>645</v>
      </c>
      <c r="B531" s="204">
        <v>6000024606</v>
      </c>
      <c r="C531" s="40" t="s">
        <v>1335</v>
      </c>
      <c r="D531" s="40" t="s">
        <v>1336</v>
      </c>
      <c r="E531" s="25">
        <v>10</v>
      </c>
      <c r="F531" s="25"/>
      <c r="G531" s="26">
        <f t="shared" si="24"/>
        <v>0</v>
      </c>
      <c r="H531" s="27" t="s">
        <v>27</v>
      </c>
      <c r="I531" s="28" t="s">
        <v>895</v>
      </c>
      <c r="J531" s="29"/>
      <c r="K531" s="29"/>
      <c r="L531" s="57" t="s">
        <v>895</v>
      </c>
      <c r="M531" s="31"/>
      <c r="N531" s="31"/>
      <c r="O531" s="31"/>
      <c r="P531" s="32"/>
      <c r="Q531" s="33">
        <v>8500060848</v>
      </c>
      <c r="R531" s="33">
        <v>5000896098</v>
      </c>
      <c r="S531" s="29"/>
      <c r="T531" s="31"/>
      <c r="U531" s="31">
        <v>8500060847</v>
      </c>
      <c r="V531" s="31">
        <v>5000896097</v>
      </c>
      <c r="W531" s="50"/>
      <c r="X531" s="34"/>
      <c r="Y531" s="34"/>
      <c r="Z531" s="34"/>
      <c r="AA531" s="34">
        <f t="shared" si="25"/>
        <v>0</v>
      </c>
      <c r="AB531" s="34">
        <f t="shared" si="26"/>
        <v>0</v>
      </c>
      <c r="AC531" s="25" t="s">
        <v>689</v>
      </c>
      <c r="AD531" s="25"/>
      <c r="AE531" s="25"/>
      <c r="AF531" s="25"/>
      <c r="AG531" s="25"/>
      <c r="AH531" s="35"/>
    </row>
    <row r="532" spans="1:34" ht="15.6">
      <c r="A532" s="42"/>
      <c r="B532" s="204"/>
      <c r="C532" s="25"/>
      <c r="D532" s="25"/>
      <c r="E532" s="25">
        <v>10</v>
      </c>
      <c r="F532" s="25"/>
      <c r="G532" s="26">
        <f t="shared" si="24"/>
        <v>0</v>
      </c>
      <c r="H532" s="27" t="s">
        <v>46</v>
      </c>
      <c r="I532" s="28" t="s">
        <v>895</v>
      </c>
      <c r="J532" s="29"/>
      <c r="K532" s="29"/>
      <c r="L532" s="57" t="s">
        <v>895</v>
      </c>
      <c r="M532" s="31"/>
      <c r="N532" s="31"/>
      <c r="O532" s="31"/>
      <c r="P532" s="32"/>
      <c r="Q532" s="33">
        <v>8500060848</v>
      </c>
      <c r="R532" s="33">
        <v>5000896098</v>
      </c>
      <c r="S532" s="29"/>
      <c r="T532" s="31"/>
      <c r="U532" s="31">
        <v>8500060847</v>
      </c>
      <c r="V532" s="31">
        <v>5000896097</v>
      </c>
      <c r="W532" s="50"/>
      <c r="X532" s="34"/>
      <c r="Y532" s="34"/>
      <c r="Z532" s="34"/>
      <c r="AA532" s="34">
        <f t="shared" si="25"/>
        <v>0</v>
      </c>
      <c r="AB532" s="34">
        <f t="shared" si="26"/>
        <v>0</v>
      </c>
      <c r="AC532" s="25" t="s">
        <v>689</v>
      </c>
      <c r="AD532" s="25"/>
      <c r="AE532" s="25"/>
      <c r="AF532" s="25"/>
      <c r="AG532" s="25"/>
      <c r="AH532" s="35"/>
    </row>
    <row r="533" spans="1:34" ht="15.6">
      <c r="A533" s="42"/>
      <c r="B533" s="204"/>
      <c r="C533" s="25"/>
      <c r="D533" s="25"/>
      <c r="E533" s="25">
        <v>10</v>
      </c>
      <c r="F533" s="25"/>
      <c r="G533" s="26">
        <f t="shared" si="24"/>
        <v>0</v>
      </c>
      <c r="H533" s="27" t="s">
        <v>37</v>
      </c>
      <c r="I533" s="28" t="s">
        <v>895</v>
      </c>
      <c r="J533" s="29"/>
      <c r="K533" s="29"/>
      <c r="L533" s="57" t="s">
        <v>895</v>
      </c>
      <c r="M533" s="31"/>
      <c r="N533" s="31"/>
      <c r="O533" s="31"/>
      <c r="P533" s="32"/>
      <c r="Q533" s="33">
        <v>8500060848</v>
      </c>
      <c r="R533" s="33">
        <v>5000896098</v>
      </c>
      <c r="S533" s="29"/>
      <c r="T533" s="31"/>
      <c r="U533" s="31">
        <v>8500060847</v>
      </c>
      <c r="V533" s="31">
        <v>5000896097</v>
      </c>
      <c r="W533" s="50"/>
      <c r="X533" s="34"/>
      <c r="Y533" s="34"/>
      <c r="Z533" s="34"/>
      <c r="AA533" s="34">
        <f t="shared" si="25"/>
        <v>0</v>
      </c>
      <c r="AB533" s="34">
        <f t="shared" si="26"/>
        <v>0</v>
      </c>
      <c r="AC533" s="25" t="s">
        <v>689</v>
      </c>
      <c r="AD533" s="25"/>
      <c r="AE533" s="25"/>
      <c r="AF533" s="25"/>
      <c r="AG533" s="25"/>
      <c r="AH533" s="35"/>
    </row>
    <row r="534" spans="1:34" ht="15.6">
      <c r="A534" s="42"/>
      <c r="B534" s="204"/>
      <c r="C534" s="25"/>
      <c r="D534" s="25"/>
      <c r="E534" s="25">
        <v>10</v>
      </c>
      <c r="F534" s="25"/>
      <c r="G534" s="26">
        <f t="shared" si="24"/>
        <v>0</v>
      </c>
      <c r="H534" s="27" t="s">
        <v>146</v>
      </c>
      <c r="I534" s="28" t="s">
        <v>895</v>
      </c>
      <c r="J534" s="29"/>
      <c r="K534" s="29"/>
      <c r="L534" s="57" t="s">
        <v>895</v>
      </c>
      <c r="M534" s="31"/>
      <c r="N534" s="31"/>
      <c r="O534" s="31"/>
      <c r="P534" s="32"/>
      <c r="Q534" s="33">
        <v>8500060848</v>
      </c>
      <c r="R534" s="33">
        <v>5000896098</v>
      </c>
      <c r="S534" s="29"/>
      <c r="T534" s="31"/>
      <c r="U534" s="31">
        <v>8500060847</v>
      </c>
      <c r="V534" s="31">
        <v>5000896097</v>
      </c>
      <c r="W534" s="50"/>
      <c r="X534" s="34"/>
      <c r="Y534" s="34"/>
      <c r="Z534" s="34"/>
      <c r="AA534" s="34">
        <f t="shared" si="25"/>
        <v>0</v>
      </c>
      <c r="AB534" s="34">
        <f t="shared" si="26"/>
        <v>0</v>
      </c>
      <c r="AC534" s="25" t="s">
        <v>689</v>
      </c>
      <c r="AD534" s="25"/>
      <c r="AE534" s="25"/>
      <c r="AF534" s="25"/>
      <c r="AG534" s="25"/>
      <c r="AH534" s="35"/>
    </row>
    <row r="535" spans="1:34" ht="15.6">
      <c r="A535" s="23" t="s">
        <v>652</v>
      </c>
      <c r="B535" s="81">
        <v>6000024672</v>
      </c>
      <c r="C535" s="25" t="s">
        <v>1337</v>
      </c>
      <c r="D535" s="40">
        <v>6000024672</v>
      </c>
      <c r="E535" s="25">
        <v>10</v>
      </c>
      <c r="F535" s="25">
        <v>470</v>
      </c>
      <c r="G535" s="26">
        <f t="shared" si="24"/>
        <v>4700</v>
      </c>
      <c r="H535" s="27" t="s">
        <v>46</v>
      </c>
      <c r="I535" s="37">
        <v>45160</v>
      </c>
      <c r="J535" s="29">
        <v>470</v>
      </c>
      <c r="K535" s="29">
        <v>8</v>
      </c>
      <c r="L535" s="57">
        <v>45159</v>
      </c>
      <c r="M535" s="31">
        <v>4700</v>
      </c>
      <c r="N535" s="31">
        <v>47</v>
      </c>
      <c r="O535" s="31" t="s">
        <v>1341</v>
      </c>
      <c r="P535" s="32" t="s">
        <v>160</v>
      </c>
      <c r="Q535" s="33">
        <v>8500060747</v>
      </c>
      <c r="R535" s="33">
        <v>5000889130</v>
      </c>
      <c r="S535" s="29">
        <v>470</v>
      </c>
      <c r="T535" s="31" t="s">
        <v>1558</v>
      </c>
      <c r="U535" s="31">
        <v>8500060746</v>
      </c>
      <c r="V535" s="31">
        <v>5000887755</v>
      </c>
      <c r="W535" s="50">
        <v>45190</v>
      </c>
      <c r="X535" s="34">
        <v>470</v>
      </c>
      <c r="Y535" s="34">
        <v>4700</v>
      </c>
      <c r="Z535" s="34" t="s">
        <v>800</v>
      </c>
      <c r="AA535" s="34">
        <f t="shared" si="25"/>
        <v>0</v>
      </c>
      <c r="AB535" s="34">
        <f t="shared" si="26"/>
        <v>0</v>
      </c>
      <c r="AC535" s="25" t="s">
        <v>689</v>
      </c>
      <c r="AD535" s="25"/>
      <c r="AE535" s="25"/>
      <c r="AF535" s="25"/>
      <c r="AG535" s="25"/>
      <c r="AH535" s="35"/>
    </row>
    <row r="536" spans="1:34" ht="15.6">
      <c r="A536" s="23"/>
      <c r="B536" s="81"/>
      <c r="C536" s="25"/>
      <c r="D536" s="25"/>
      <c r="E536" s="25">
        <v>10</v>
      </c>
      <c r="F536" s="25">
        <v>100</v>
      </c>
      <c r="G536" s="26">
        <f t="shared" si="24"/>
        <v>1000</v>
      </c>
      <c r="H536" s="27" t="s">
        <v>37</v>
      </c>
      <c r="I536" s="37">
        <v>45160</v>
      </c>
      <c r="J536" s="29">
        <v>100</v>
      </c>
      <c r="K536" s="29">
        <v>4</v>
      </c>
      <c r="L536" s="57">
        <v>45159</v>
      </c>
      <c r="M536" s="31">
        <v>1000</v>
      </c>
      <c r="N536" s="31">
        <v>10</v>
      </c>
      <c r="O536" s="31" t="s">
        <v>1340</v>
      </c>
      <c r="P536" s="32" t="s">
        <v>160</v>
      </c>
      <c r="Q536" s="33">
        <v>8500060747</v>
      </c>
      <c r="R536" s="33">
        <v>5000889130</v>
      </c>
      <c r="S536" s="29">
        <v>100</v>
      </c>
      <c r="T536" s="31" t="s">
        <v>1558</v>
      </c>
      <c r="U536" s="31">
        <v>8500060746</v>
      </c>
      <c r="V536" s="31">
        <v>5000884888</v>
      </c>
      <c r="W536" s="50">
        <v>45192</v>
      </c>
      <c r="X536" s="34">
        <v>100</v>
      </c>
      <c r="Y536" s="34">
        <v>1000</v>
      </c>
      <c r="Z536" s="34" t="s">
        <v>800</v>
      </c>
      <c r="AA536" s="34">
        <f t="shared" si="25"/>
        <v>0</v>
      </c>
      <c r="AB536" s="34">
        <f t="shared" si="26"/>
        <v>0</v>
      </c>
      <c r="AC536" s="25" t="s">
        <v>689</v>
      </c>
      <c r="AD536" s="25"/>
      <c r="AE536" s="25"/>
      <c r="AF536" s="25"/>
      <c r="AG536" s="25"/>
      <c r="AH536" s="35"/>
    </row>
    <row r="537" spans="1:34" ht="15.6">
      <c r="A537" s="23"/>
      <c r="B537" s="81"/>
      <c r="C537" s="25"/>
      <c r="D537" s="25"/>
      <c r="E537" s="25">
        <v>10</v>
      </c>
      <c r="F537" s="25">
        <v>100</v>
      </c>
      <c r="G537" s="26">
        <f t="shared" si="24"/>
        <v>1000</v>
      </c>
      <c r="H537" s="27" t="s">
        <v>146</v>
      </c>
      <c r="I537" s="37">
        <v>45160</v>
      </c>
      <c r="J537" s="29">
        <v>100</v>
      </c>
      <c r="K537" s="29">
        <v>4</v>
      </c>
      <c r="L537" s="57">
        <v>45159</v>
      </c>
      <c r="M537" s="31">
        <v>1000</v>
      </c>
      <c r="N537" s="31">
        <v>10</v>
      </c>
      <c r="O537" s="31" t="s">
        <v>1340</v>
      </c>
      <c r="P537" s="32" t="s">
        <v>160</v>
      </c>
      <c r="Q537" s="33">
        <v>8500060747</v>
      </c>
      <c r="R537" s="33">
        <v>5000889130</v>
      </c>
      <c r="S537" s="29">
        <v>100</v>
      </c>
      <c r="T537" s="31" t="s">
        <v>1558</v>
      </c>
      <c r="U537" s="31">
        <v>8500060746</v>
      </c>
      <c r="V537" s="31">
        <v>5000884888</v>
      </c>
      <c r="W537" s="50">
        <v>45190</v>
      </c>
      <c r="X537" s="34">
        <v>100</v>
      </c>
      <c r="Y537" s="34">
        <v>1000</v>
      </c>
      <c r="Z537" s="34" t="s">
        <v>800</v>
      </c>
      <c r="AA537" s="34">
        <f t="shared" si="25"/>
        <v>0</v>
      </c>
      <c r="AB537" s="34">
        <f t="shared" si="26"/>
        <v>0</v>
      </c>
      <c r="AC537" s="25" t="s">
        <v>689</v>
      </c>
      <c r="AD537" s="25"/>
      <c r="AE537" s="25"/>
      <c r="AF537" s="25"/>
      <c r="AG537" s="25"/>
      <c r="AH537" s="35"/>
    </row>
    <row r="538" spans="1:34" ht="15.6">
      <c r="A538" s="23" t="s">
        <v>652</v>
      </c>
      <c r="B538" s="81">
        <v>6000024672</v>
      </c>
      <c r="C538" s="25" t="s">
        <v>1338</v>
      </c>
      <c r="D538" s="40">
        <v>6000024672</v>
      </c>
      <c r="E538" s="25">
        <v>10</v>
      </c>
      <c r="F538" s="25">
        <v>240</v>
      </c>
      <c r="G538" s="26">
        <f t="shared" si="24"/>
        <v>2400</v>
      </c>
      <c r="H538" s="27" t="s">
        <v>37</v>
      </c>
      <c r="I538" s="37">
        <v>45160</v>
      </c>
      <c r="J538" s="29">
        <v>240</v>
      </c>
      <c r="K538" s="29">
        <f>7+5</f>
        <v>12</v>
      </c>
      <c r="L538" s="57">
        <v>45159</v>
      </c>
      <c r="M538" s="31">
        <v>2400</v>
      </c>
      <c r="N538" s="31">
        <v>24</v>
      </c>
      <c r="O538" s="31" t="s">
        <v>1340</v>
      </c>
      <c r="P538" s="32" t="s">
        <v>160</v>
      </c>
      <c r="Q538" s="33">
        <v>8500060749</v>
      </c>
      <c r="R538" s="33">
        <v>5000889131</v>
      </c>
      <c r="S538" s="29">
        <v>240</v>
      </c>
      <c r="T538" s="31" t="s">
        <v>1558</v>
      </c>
      <c r="U538" s="31">
        <v>8500060748</v>
      </c>
      <c r="V538" s="31">
        <v>5000884890</v>
      </c>
      <c r="W538" s="50">
        <v>45185</v>
      </c>
      <c r="X538" s="34">
        <v>240</v>
      </c>
      <c r="Y538" s="34">
        <v>2400</v>
      </c>
      <c r="Z538" s="34" t="s">
        <v>800</v>
      </c>
      <c r="AA538" s="34">
        <f t="shared" si="25"/>
        <v>0</v>
      </c>
      <c r="AB538" s="34">
        <f t="shared" si="26"/>
        <v>0</v>
      </c>
      <c r="AC538" s="25" t="s">
        <v>689</v>
      </c>
      <c r="AD538" s="25"/>
      <c r="AE538" s="25"/>
      <c r="AF538" s="25"/>
      <c r="AG538" s="25"/>
      <c r="AH538" s="35"/>
    </row>
    <row r="539" spans="1:34" ht="15.6">
      <c r="A539" s="23" t="s">
        <v>286</v>
      </c>
      <c r="B539" s="81">
        <v>6000023734</v>
      </c>
      <c r="C539" s="40" t="s">
        <v>287</v>
      </c>
      <c r="D539" s="40">
        <v>310101823</v>
      </c>
      <c r="E539" s="25">
        <v>8</v>
      </c>
      <c r="F539" s="25">
        <v>525</v>
      </c>
      <c r="G539" s="26">
        <f t="shared" si="24"/>
        <v>4200</v>
      </c>
      <c r="H539" s="27" t="s">
        <v>27</v>
      </c>
      <c r="I539" s="37">
        <v>45159</v>
      </c>
      <c r="J539" s="29">
        <v>525</v>
      </c>
      <c r="K539" s="29">
        <v>7</v>
      </c>
      <c r="L539" s="57">
        <v>45162</v>
      </c>
      <c r="M539" s="31">
        <v>4200</v>
      </c>
      <c r="N539" s="31">
        <v>42</v>
      </c>
      <c r="O539" s="31" t="s">
        <v>1387</v>
      </c>
      <c r="P539" s="32" t="s">
        <v>160</v>
      </c>
      <c r="Q539" s="33">
        <v>8500060699</v>
      </c>
      <c r="R539" s="33">
        <v>5000884956</v>
      </c>
      <c r="S539" s="29">
        <v>525</v>
      </c>
      <c r="T539" s="31" t="s">
        <v>87</v>
      </c>
      <c r="U539" s="31">
        <v>8500060698</v>
      </c>
      <c r="V539" s="31">
        <v>5000897378</v>
      </c>
      <c r="W539" s="50"/>
      <c r="X539" s="34">
        <v>525</v>
      </c>
      <c r="Y539" s="34">
        <v>4200</v>
      </c>
      <c r="Z539" s="34" t="s">
        <v>800</v>
      </c>
      <c r="AA539" s="34">
        <f t="shared" si="25"/>
        <v>0</v>
      </c>
      <c r="AB539" s="34">
        <f t="shared" si="26"/>
        <v>0</v>
      </c>
      <c r="AC539" s="25" t="s">
        <v>36</v>
      </c>
      <c r="AD539" s="25"/>
      <c r="AE539" s="25"/>
      <c r="AF539" s="25"/>
      <c r="AG539" s="25"/>
      <c r="AH539" s="35"/>
    </row>
    <row r="540" spans="1:34" ht="62.4">
      <c r="A540" s="23"/>
      <c r="B540" s="81"/>
      <c r="C540" s="25"/>
      <c r="D540" s="25"/>
      <c r="E540" s="25">
        <v>8</v>
      </c>
      <c r="F540" s="25">
        <v>600</v>
      </c>
      <c r="G540" s="26">
        <f t="shared" si="24"/>
        <v>4800</v>
      </c>
      <c r="H540" s="27" t="s">
        <v>46</v>
      </c>
      <c r="I540" s="37" t="s">
        <v>1436</v>
      </c>
      <c r="J540" s="29">
        <f>574+26</f>
        <v>600</v>
      </c>
      <c r="K540" s="29">
        <v>8</v>
      </c>
      <c r="L540" s="57">
        <v>45162</v>
      </c>
      <c r="M540" s="31">
        <v>4800</v>
      </c>
      <c r="N540" s="31">
        <v>48</v>
      </c>
      <c r="O540" s="31" t="s">
        <v>1388</v>
      </c>
      <c r="P540" s="32" t="s">
        <v>160</v>
      </c>
      <c r="Q540" s="33">
        <v>8500060697</v>
      </c>
      <c r="R540" s="33">
        <v>5000884010</v>
      </c>
      <c r="S540" s="29">
        <f>574+26</f>
        <v>600</v>
      </c>
      <c r="T540" s="31" t="s">
        <v>87</v>
      </c>
      <c r="U540" s="31">
        <v>8500060696</v>
      </c>
      <c r="V540" s="31">
        <v>5000897377</v>
      </c>
      <c r="W540" s="50">
        <v>45215</v>
      </c>
      <c r="X540" s="34">
        <v>600</v>
      </c>
      <c r="Y540" s="34">
        <v>4800</v>
      </c>
      <c r="Z540" s="34" t="s">
        <v>800</v>
      </c>
      <c r="AA540" s="34">
        <f t="shared" si="25"/>
        <v>0</v>
      </c>
      <c r="AB540" s="34">
        <f t="shared" si="26"/>
        <v>0</v>
      </c>
      <c r="AC540" s="25" t="s">
        <v>36</v>
      </c>
      <c r="AD540" s="25"/>
      <c r="AE540" s="25"/>
      <c r="AF540" s="25"/>
      <c r="AG540" s="25"/>
      <c r="AH540" s="35"/>
    </row>
    <row r="541" spans="1:34" ht="15.6">
      <c r="A541" s="23"/>
      <c r="B541" s="81"/>
      <c r="C541" s="25"/>
      <c r="D541" s="25"/>
      <c r="E541" s="25">
        <v>8</v>
      </c>
      <c r="F541" s="25">
        <v>275</v>
      </c>
      <c r="G541" s="26">
        <f t="shared" si="24"/>
        <v>2200</v>
      </c>
      <c r="H541" s="27" t="s">
        <v>37</v>
      </c>
      <c r="I541" s="37">
        <v>45159</v>
      </c>
      <c r="J541" s="29">
        <v>275</v>
      </c>
      <c r="K541" s="29">
        <v>5</v>
      </c>
      <c r="L541" s="57">
        <v>45162</v>
      </c>
      <c r="M541" s="31">
        <v>2200</v>
      </c>
      <c r="N541" s="31">
        <v>22</v>
      </c>
      <c r="O541" s="31" t="s">
        <v>1389</v>
      </c>
      <c r="P541" s="32" t="s">
        <v>160</v>
      </c>
      <c r="Q541" s="33">
        <v>8500060695</v>
      </c>
      <c r="R541" s="33">
        <v>5000884957</v>
      </c>
      <c r="S541" s="29">
        <v>275</v>
      </c>
      <c r="T541" s="31" t="s">
        <v>87</v>
      </c>
      <c r="U541" s="31">
        <v>8500060694</v>
      </c>
      <c r="V541" s="31">
        <v>5000897375</v>
      </c>
      <c r="W541" s="50">
        <v>45215</v>
      </c>
      <c r="X541" s="34">
        <v>275</v>
      </c>
      <c r="Y541" s="34">
        <v>2200</v>
      </c>
      <c r="Z541" s="34" t="s">
        <v>800</v>
      </c>
      <c r="AA541" s="34">
        <f t="shared" si="25"/>
        <v>0</v>
      </c>
      <c r="AB541" s="34">
        <f t="shared" si="26"/>
        <v>0</v>
      </c>
      <c r="AC541" s="25" t="s">
        <v>36</v>
      </c>
      <c r="AD541" s="25"/>
      <c r="AE541" s="25"/>
      <c r="AF541" s="25"/>
      <c r="AG541" s="25"/>
      <c r="AH541" s="35"/>
    </row>
    <row r="542" spans="1:34" ht="15.6">
      <c r="A542" s="23" t="s">
        <v>652</v>
      </c>
      <c r="B542" s="81">
        <v>6000024594</v>
      </c>
      <c r="C542" s="25" t="s">
        <v>653</v>
      </c>
      <c r="D542" s="40">
        <v>2342333</v>
      </c>
      <c r="E542" s="25">
        <v>10</v>
      </c>
      <c r="F542" s="25">
        <v>100</v>
      </c>
      <c r="G542" s="26">
        <f t="shared" si="24"/>
        <v>1000</v>
      </c>
      <c r="H542" s="27" t="s">
        <v>27</v>
      </c>
      <c r="I542" s="37">
        <v>45162</v>
      </c>
      <c r="J542" s="29">
        <v>100</v>
      </c>
      <c r="K542" s="29">
        <f>2+3</f>
        <v>5</v>
      </c>
      <c r="L542" s="57">
        <v>45167</v>
      </c>
      <c r="M542" s="31">
        <v>1000</v>
      </c>
      <c r="N542" s="31">
        <v>30</v>
      </c>
      <c r="O542" s="31" t="s">
        <v>1424</v>
      </c>
      <c r="P542" s="32" t="s">
        <v>160</v>
      </c>
      <c r="Q542" s="33">
        <v>8500060853</v>
      </c>
      <c r="R542" s="33">
        <v>5000896099</v>
      </c>
      <c r="S542" s="29">
        <v>100</v>
      </c>
      <c r="T542" s="31" t="s">
        <v>1418</v>
      </c>
      <c r="U542" s="31">
        <v>8500060852</v>
      </c>
      <c r="V542" s="31">
        <v>5000916727</v>
      </c>
      <c r="W542" s="50">
        <v>45178</v>
      </c>
      <c r="X542" s="34">
        <v>100</v>
      </c>
      <c r="Y542" s="34">
        <v>1000</v>
      </c>
      <c r="Z542" s="34" t="s">
        <v>800</v>
      </c>
      <c r="AA542" s="34">
        <f t="shared" si="25"/>
        <v>0</v>
      </c>
      <c r="AB542" s="34">
        <f t="shared" si="26"/>
        <v>0</v>
      </c>
      <c r="AC542" s="25" t="s">
        <v>36</v>
      </c>
      <c r="AD542" s="25"/>
      <c r="AE542" s="25"/>
      <c r="AF542" s="25"/>
      <c r="AG542" s="25"/>
      <c r="AH542" s="35"/>
    </row>
    <row r="543" spans="1:34" ht="15.6">
      <c r="A543" s="23"/>
      <c r="B543" s="81"/>
      <c r="C543" s="25"/>
      <c r="D543" s="25"/>
      <c r="E543" s="25">
        <v>10</v>
      </c>
      <c r="F543" s="25">
        <v>200</v>
      </c>
      <c r="G543" s="26">
        <f t="shared" si="24"/>
        <v>2000</v>
      </c>
      <c r="H543" s="27" t="s">
        <v>46</v>
      </c>
      <c r="I543" s="37">
        <v>45167</v>
      </c>
      <c r="J543" s="29">
        <v>200</v>
      </c>
      <c r="K543" s="29">
        <f>4+4</f>
        <v>8</v>
      </c>
      <c r="L543" s="57">
        <v>45167</v>
      </c>
      <c r="M543" s="31">
        <v>2000</v>
      </c>
      <c r="N543" s="31">
        <v>50</v>
      </c>
      <c r="O543" s="31" t="s">
        <v>1424</v>
      </c>
      <c r="P543" s="32" t="s">
        <v>160</v>
      </c>
      <c r="Q543" s="33">
        <v>8500060853</v>
      </c>
      <c r="R543" s="33">
        <v>5000915956</v>
      </c>
      <c r="S543" s="29">
        <v>200</v>
      </c>
      <c r="T543" s="31" t="s">
        <v>1418</v>
      </c>
      <c r="U543" s="31">
        <v>8500060852</v>
      </c>
      <c r="V543" s="31">
        <v>5000916727</v>
      </c>
      <c r="W543" s="50">
        <v>45178</v>
      </c>
      <c r="X543" s="34">
        <v>200</v>
      </c>
      <c r="Y543" s="34">
        <v>2000</v>
      </c>
      <c r="Z543" s="34" t="s">
        <v>800</v>
      </c>
      <c r="AA543" s="34">
        <f t="shared" si="25"/>
        <v>0</v>
      </c>
      <c r="AB543" s="34">
        <f t="shared" si="26"/>
        <v>0</v>
      </c>
      <c r="AC543" s="25" t="s">
        <v>36</v>
      </c>
      <c r="AD543" s="25"/>
      <c r="AE543" s="25"/>
      <c r="AF543" s="25"/>
      <c r="AG543" s="25"/>
      <c r="AH543" s="35"/>
    </row>
    <row r="544" spans="1:34" ht="15.6">
      <c r="A544" s="23"/>
      <c r="B544" s="81"/>
      <c r="C544" s="25"/>
      <c r="D544" s="25"/>
      <c r="E544" s="25">
        <v>10</v>
      </c>
      <c r="F544" s="25">
        <v>200</v>
      </c>
      <c r="G544" s="26">
        <f t="shared" si="24"/>
        <v>2000</v>
      </c>
      <c r="H544" s="27" t="s">
        <v>37</v>
      </c>
      <c r="I544" s="37">
        <v>45162</v>
      </c>
      <c r="J544" s="29">
        <v>200</v>
      </c>
      <c r="K544" s="29">
        <f>2+4</f>
        <v>6</v>
      </c>
      <c r="L544" s="57">
        <v>45167</v>
      </c>
      <c r="M544" s="31">
        <v>2000</v>
      </c>
      <c r="N544" s="31">
        <v>50</v>
      </c>
      <c r="O544" s="31" t="s">
        <v>1424</v>
      </c>
      <c r="P544" s="32" t="s">
        <v>160</v>
      </c>
      <c r="Q544" s="33">
        <v>8500060853</v>
      </c>
      <c r="R544" s="33">
        <v>5000896099</v>
      </c>
      <c r="S544" s="29">
        <v>200</v>
      </c>
      <c r="T544" s="31" t="s">
        <v>1418</v>
      </c>
      <c r="U544" s="31">
        <v>8500060852</v>
      </c>
      <c r="V544" s="31">
        <v>5000916727</v>
      </c>
      <c r="W544" s="50">
        <v>45178</v>
      </c>
      <c r="X544" s="34">
        <v>200</v>
      </c>
      <c r="Y544" s="34">
        <v>2000</v>
      </c>
      <c r="Z544" s="34" t="s">
        <v>800</v>
      </c>
      <c r="AA544" s="34">
        <f t="shared" si="25"/>
        <v>0</v>
      </c>
      <c r="AB544" s="34">
        <f>M544-Y544</f>
        <v>0</v>
      </c>
      <c r="AC544" s="25" t="s">
        <v>36</v>
      </c>
      <c r="AD544" s="25"/>
      <c r="AE544" s="25"/>
      <c r="AF544" s="25"/>
      <c r="AG544" s="25"/>
      <c r="AH544" s="35"/>
    </row>
    <row r="545" spans="1:34" ht="36" customHeight="1">
      <c r="A545" s="23"/>
      <c r="B545" s="81"/>
      <c r="C545" s="25"/>
      <c r="D545" s="25"/>
      <c r="E545" s="25">
        <v>10</v>
      </c>
      <c r="F545" s="25">
        <v>850</v>
      </c>
      <c r="G545" s="26">
        <f t="shared" si="24"/>
        <v>8500</v>
      </c>
      <c r="H545" s="27" t="s">
        <v>146</v>
      </c>
      <c r="I545" s="37" t="s">
        <v>343</v>
      </c>
      <c r="J545" s="29">
        <f>400+450</f>
        <v>850</v>
      </c>
      <c r="K545" s="29">
        <f>10+5</f>
        <v>15</v>
      </c>
      <c r="L545" s="57" t="s">
        <v>1507</v>
      </c>
      <c r="M545" s="31">
        <f>8150+350</f>
        <v>8500</v>
      </c>
      <c r="N545" s="31">
        <f>25+45+30</f>
        <v>100</v>
      </c>
      <c r="O545" s="31" t="s">
        <v>1508</v>
      </c>
      <c r="P545" s="32" t="s">
        <v>160</v>
      </c>
      <c r="Q545" s="33">
        <v>8500060853</v>
      </c>
      <c r="R545" s="33">
        <v>5000896099</v>
      </c>
      <c r="S545" s="29">
        <f>400+450</f>
        <v>850</v>
      </c>
      <c r="T545" s="31" t="s">
        <v>1418</v>
      </c>
      <c r="U545" s="31">
        <v>8500060852</v>
      </c>
      <c r="V545" s="31">
        <v>5000916727</v>
      </c>
      <c r="W545" s="50">
        <v>45180</v>
      </c>
      <c r="X545" s="34">
        <v>850</v>
      </c>
      <c r="Y545" s="34">
        <v>8500</v>
      </c>
      <c r="Z545" s="34" t="s">
        <v>800</v>
      </c>
      <c r="AA545" s="34">
        <f t="shared" si="25"/>
        <v>0</v>
      </c>
      <c r="AB545" s="34">
        <f t="shared" ref="AB545:AB608" si="27">M545-Y545</f>
        <v>0</v>
      </c>
      <c r="AC545" s="25" t="s">
        <v>36</v>
      </c>
      <c r="AD545" s="25"/>
      <c r="AE545" s="25"/>
      <c r="AF545" s="25"/>
      <c r="AG545" s="25"/>
      <c r="AH545" s="35"/>
    </row>
    <row r="546" spans="1:34" ht="36" customHeight="1">
      <c r="A546" s="23" t="s">
        <v>652</v>
      </c>
      <c r="B546" s="81">
        <v>6000024594</v>
      </c>
      <c r="C546" s="25" t="s">
        <v>1354</v>
      </c>
      <c r="D546" s="40">
        <v>2342333</v>
      </c>
      <c r="E546" s="25">
        <v>10</v>
      </c>
      <c r="F546" s="25">
        <v>954</v>
      </c>
      <c r="G546" s="26">
        <f t="shared" si="24"/>
        <v>9540</v>
      </c>
      <c r="H546" s="27" t="s">
        <v>46</v>
      </c>
      <c r="I546" s="37" t="s">
        <v>1409</v>
      </c>
      <c r="J546" s="29">
        <f>942+12</f>
        <v>954</v>
      </c>
      <c r="K546" s="29">
        <f>11+4</f>
        <v>15</v>
      </c>
      <c r="L546" s="57">
        <v>45167</v>
      </c>
      <c r="M546" s="31">
        <v>9540</v>
      </c>
      <c r="N546" s="31">
        <v>110</v>
      </c>
      <c r="O546" s="31" t="s">
        <v>876</v>
      </c>
      <c r="P546" s="32" t="s">
        <v>160</v>
      </c>
      <c r="Q546" s="33">
        <v>8500060743</v>
      </c>
      <c r="R546" s="33">
        <v>5000889167</v>
      </c>
      <c r="S546" s="29">
        <f>942+12</f>
        <v>954</v>
      </c>
      <c r="T546" s="31" t="s">
        <v>1418</v>
      </c>
      <c r="U546" s="31">
        <v>8500060742</v>
      </c>
      <c r="V546" s="31">
        <v>5000916723</v>
      </c>
      <c r="W546" s="50">
        <v>45169</v>
      </c>
      <c r="X546" s="34">
        <v>954</v>
      </c>
      <c r="Y546" s="34">
        <v>9540</v>
      </c>
      <c r="Z546" s="34" t="s">
        <v>1444</v>
      </c>
      <c r="AA546" s="34">
        <f t="shared" si="25"/>
        <v>0</v>
      </c>
      <c r="AB546" s="34">
        <f t="shared" si="27"/>
        <v>0</v>
      </c>
      <c r="AC546" s="25" t="s">
        <v>36</v>
      </c>
      <c r="AD546" s="25"/>
      <c r="AE546" s="25"/>
      <c r="AF546" s="25"/>
      <c r="AG546" s="25"/>
      <c r="AH546" s="35"/>
    </row>
    <row r="547" spans="1:34" ht="24" customHeight="1">
      <c r="A547" s="23" t="s">
        <v>1358</v>
      </c>
      <c r="B547" s="81">
        <v>6000024589</v>
      </c>
      <c r="C547" s="25" t="s">
        <v>1360</v>
      </c>
      <c r="D547" s="40" t="s">
        <v>1359</v>
      </c>
      <c r="E547" s="25">
        <v>20</v>
      </c>
      <c r="F547" s="25">
        <v>79</v>
      </c>
      <c r="G547" s="26">
        <f t="shared" si="24"/>
        <v>1580</v>
      </c>
      <c r="H547" s="27" t="s">
        <v>243</v>
      </c>
      <c r="I547" s="37">
        <v>45161</v>
      </c>
      <c r="J547" s="29">
        <v>79</v>
      </c>
      <c r="K547" s="29">
        <v>4</v>
      </c>
      <c r="L547" s="57">
        <v>45166</v>
      </c>
      <c r="M547" s="31">
        <v>1580</v>
      </c>
      <c r="N547" s="31">
        <v>20</v>
      </c>
      <c r="O547" s="31" t="s">
        <v>795</v>
      </c>
      <c r="P547" s="32" t="s">
        <v>1361</v>
      </c>
      <c r="Q547" s="33"/>
      <c r="R547" s="33"/>
      <c r="S547" s="29">
        <v>79</v>
      </c>
      <c r="T547" s="31" t="s">
        <v>1418</v>
      </c>
      <c r="U547" s="31">
        <v>8500060955</v>
      </c>
      <c r="V547" s="31">
        <v>5000912784</v>
      </c>
      <c r="W547" s="50">
        <v>45187</v>
      </c>
      <c r="X547" s="34">
        <v>79</v>
      </c>
      <c r="Y547" s="34">
        <v>1580</v>
      </c>
      <c r="Z547" s="34" t="s">
        <v>800</v>
      </c>
      <c r="AA547" s="34">
        <f t="shared" si="25"/>
        <v>0</v>
      </c>
      <c r="AB547" s="34">
        <f t="shared" si="27"/>
        <v>0</v>
      </c>
      <c r="AC547" s="25" t="s">
        <v>1371</v>
      </c>
      <c r="AD547" s="25" t="s">
        <v>1516</v>
      </c>
      <c r="AE547" s="25"/>
      <c r="AF547" s="25"/>
      <c r="AG547" s="25"/>
      <c r="AH547" s="35"/>
    </row>
    <row r="548" spans="1:34" ht="15.6">
      <c r="A548" s="23"/>
      <c r="B548" s="81"/>
      <c r="C548" s="25"/>
      <c r="D548" s="25"/>
      <c r="E548" s="25">
        <v>20</v>
      </c>
      <c r="F548" s="25">
        <v>241</v>
      </c>
      <c r="G548" s="26">
        <f t="shared" si="24"/>
        <v>4820</v>
      </c>
      <c r="H548" s="27" t="s">
        <v>27</v>
      </c>
      <c r="I548" s="37">
        <v>45161</v>
      </c>
      <c r="J548" s="29">
        <v>241</v>
      </c>
      <c r="K548" s="29">
        <v>5</v>
      </c>
      <c r="L548" s="57">
        <v>45166</v>
      </c>
      <c r="M548" s="31">
        <v>4820</v>
      </c>
      <c r="N548" s="31">
        <v>30</v>
      </c>
      <c r="O548" s="31" t="s">
        <v>888</v>
      </c>
      <c r="P548" s="32" t="s">
        <v>1361</v>
      </c>
      <c r="Q548" s="33"/>
      <c r="R548" s="33"/>
      <c r="S548" s="29">
        <v>241</v>
      </c>
      <c r="T548" s="31" t="s">
        <v>1418</v>
      </c>
      <c r="U548" s="31">
        <v>8500060955</v>
      </c>
      <c r="V548" s="31">
        <v>5000912784</v>
      </c>
      <c r="W548" s="50">
        <v>45170</v>
      </c>
      <c r="X548" s="34">
        <v>241</v>
      </c>
      <c r="Y548" s="34">
        <v>4820</v>
      </c>
      <c r="Z548" s="34" t="s">
        <v>338</v>
      </c>
      <c r="AA548" s="34">
        <f t="shared" si="25"/>
        <v>0</v>
      </c>
      <c r="AB548" s="34">
        <f t="shared" si="27"/>
        <v>0</v>
      </c>
      <c r="AC548" s="25" t="s">
        <v>1371</v>
      </c>
      <c r="AD548" s="25"/>
      <c r="AE548" s="25"/>
      <c r="AF548" s="25"/>
      <c r="AG548" s="25"/>
      <c r="AH548" s="35"/>
    </row>
    <row r="549" spans="1:34" ht="15.6">
      <c r="A549" s="23"/>
      <c r="B549" s="81"/>
      <c r="C549" s="25"/>
      <c r="D549" s="25"/>
      <c r="E549" s="25">
        <v>20</v>
      </c>
      <c r="F549" s="25">
        <v>326</v>
      </c>
      <c r="G549" s="26">
        <f t="shared" si="24"/>
        <v>6520</v>
      </c>
      <c r="H549" s="27" t="s">
        <v>46</v>
      </c>
      <c r="I549" s="37">
        <v>45161</v>
      </c>
      <c r="J549" s="29">
        <v>326</v>
      </c>
      <c r="K549" s="29">
        <v>5</v>
      </c>
      <c r="L549" s="57">
        <v>45166</v>
      </c>
      <c r="M549" s="31">
        <v>6520</v>
      </c>
      <c r="N549" s="31">
        <v>80</v>
      </c>
      <c r="O549" s="31"/>
      <c r="P549" s="32" t="s">
        <v>1361</v>
      </c>
      <c r="Q549" s="33"/>
      <c r="R549" s="33"/>
      <c r="S549" s="29">
        <v>326</v>
      </c>
      <c r="T549" s="31" t="s">
        <v>1418</v>
      </c>
      <c r="U549" s="31">
        <v>8500060955</v>
      </c>
      <c r="V549" s="31">
        <v>5000912784</v>
      </c>
      <c r="W549" s="50">
        <v>45187</v>
      </c>
      <c r="X549" s="34">
        <v>326</v>
      </c>
      <c r="Y549" s="34">
        <v>6520</v>
      </c>
      <c r="Z549" s="34" t="s">
        <v>338</v>
      </c>
      <c r="AA549" s="34">
        <f t="shared" si="25"/>
        <v>0</v>
      </c>
      <c r="AB549" s="34">
        <f t="shared" si="27"/>
        <v>0</v>
      </c>
      <c r="AC549" s="25" t="s">
        <v>1371</v>
      </c>
      <c r="AD549" s="25"/>
      <c r="AE549" s="25"/>
      <c r="AF549" s="25"/>
      <c r="AG549" s="25"/>
      <c r="AH549" s="35"/>
    </row>
    <row r="550" spans="1:34" ht="15.6">
      <c r="A550" s="23"/>
      <c r="B550" s="81"/>
      <c r="C550" s="25"/>
      <c r="D550" s="25"/>
      <c r="E550" s="25">
        <v>20</v>
      </c>
      <c r="F550" s="25">
        <v>149</v>
      </c>
      <c r="G550" s="26">
        <f t="shared" si="24"/>
        <v>2980</v>
      </c>
      <c r="H550" s="27" t="s">
        <v>37</v>
      </c>
      <c r="I550" s="37">
        <v>45161</v>
      </c>
      <c r="J550" s="29">
        <v>149</v>
      </c>
      <c r="K550" s="29">
        <v>3</v>
      </c>
      <c r="L550" s="57">
        <v>45166</v>
      </c>
      <c r="M550" s="31">
        <v>2980</v>
      </c>
      <c r="N550" s="31">
        <v>20</v>
      </c>
      <c r="O550" s="31" t="s">
        <v>737</v>
      </c>
      <c r="P550" s="32" t="s">
        <v>1361</v>
      </c>
      <c r="Q550" s="33"/>
      <c r="R550" s="33"/>
      <c r="S550" s="29">
        <v>149</v>
      </c>
      <c r="T550" s="31" t="s">
        <v>1418</v>
      </c>
      <c r="U550" s="31">
        <v>8500060955</v>
      </c>
      <c r="V550" s="31">
        <v>5000912784</v>
      </c>
      <c r="W550" s="50">
        <v>45187</v>
      </c>
      <c r="X550" s="34">
        <v>149</v>
      </c>
      <c r="Y550" s="34">
        <v>2980</v>
      </c>
      <c r="Z550" s="34" t="s">
        <v>338</v>
      </c>
      <c r="AA550" s="34">
        <f t="shared" si="25"/>
        <v>0</v>
      </c>
      <c r="AB550" s="34">
        <f t="shared" si="27"/>
        <v>0</v>
      </c>
      <c r="AC550" s="25" t="s">
        <v>1371</v>
      </c>
      <c r="AD550" s="25"/>
      <c r="AE550" s="25"/>
      <c r="AF550" s="25"/>
      <c r="AG550" s="25"/>
      <c r="AH550" s="35"/>
    </row>
    <row r="551" spans="1:34" ht="15.6">
      <c r="A551" s="23" t="s">
        <v>1367</v>
      </c>
      <c r="B551" s="81">
        <v>6000024717</v>
      </c>
      <c r="C551" s="40" t="s">
        <v>1368</v>
      </c>
      <c r="D551" s="25">
        <v>6000024717</v>
      </c>
      <c r="E551" s="25">
        <v>10</v>
      </c>
      <c r="F551" s="25">
        <v>50</v>
      </c>
      <c r="G551" s="26">
        <f t="shared" si="24"/>
        <v>500</v>
      </c>
      <c r="H551" s="27" t="s">
        <v>243</v>
      </c>
      <c r="I551" s="37">
        <v>45168</v>
      </c>
      <c r="J551" s="29">
        <v>50</v>
      </c>
      <c r="K551" s="29">
        <v>3</v>
      </c>
      <c r="L551" s="57">
        <v>45161</v>
      </c>
      <c r="M551" s="31">
        <v>500</v>
      </c>
      <c r="N551" s="31">
        <v>5</v>
      </c>
      <c r="O551" s="31" t="s">
        <v>789</v>
      </c>
      <c r="P551" s="32" t="s">
        <v>160</v>
      </c>
      <c r="Q551" s="33">
        <v>8500060906</v>
      </c>
      <c r="R551" s="33">
        <v>5000923316</v>
      </c>
      <c r="S551" s="29">
        <v>50</v>
      </c>
      <c r="T551" s="31" t="s">
        <v>1558</v>
      </c>
      <c r="U551" s="31">
        <v>8500060891</v>
      </c>
      <c r="V551" s="31">
        <v>5000896095</v>
      </c>
      <c r="W551" s="50">
        <v>45190</v>
      </c>
      <c r="X551" s="34">
        <v>50</v>
      </c>
      <c r="Y551" s="34">
        <v>500</v>
      </c>
      <c r="Z551" s="34" t="s">
        <v>800</v>
      </c>
      <c r="AA551" s="34">
        <f t="shared" si="25"/>
        <v>0</v>
      </c>
      <c r="AB551" s="34">
        <f t="shared" si="27"/>
        <v>0</v>
      </c>
      <c r="AC551" s="25" t="s">
        <v>1371</v>
      </c>
      <c r="AD551" s="25"/>
      <c r="AE551" s="25"/>
      <c r="AF551" s="25"/>
      <c r="AG551" s="25"/>
      <c r="AH551" s="35"/>
    </row>
    <row r="552" spans="1:34" ht="15.6">
      <c r="A552" s="23"/>
      <c r="B552" s="81"/>
      <c r="C552" s="25"/>
      <c r="D552" s="25"/>
      <c r="E552" s="25">
        <v>10</v>
      </c>
      <c r="F552" s="25">
        <v>275</v>
      </c>
      <c r="G552" s="26">
        <f t="shared" si="24"/>
        <v>2750</v>
      </c>
      <c r="H552" s="27" t="s">
        <v>27</v>
      </c>
      <c r="I552" s="37">
        <v>45167</v>
      </c>
      <c r="J552" s="29">
        <v>275</v>
      </c>
      <c r="K552" s="29">
        <v>5</v>
      </c>
      <c r="L552" s="57">
        <v>45161</v>
      </c>
      <c r="M552" s="31">
        <v>2750</v>
      </c>
      <c r="N552" s="31">
        <v>28</v>
      </c>
      <c r="O552" s="31" t="s">
        <v>1369</v>
      </c>
      <c r="P552" s="32" t="s">
        <v>160</v>
      </c>
      <c r="Q552" s="33">
        <v>8500060906</v>
      </c>
      <c r="R552" s="33">
        <v>5000915979</v>
      </c>
      <c r="S552" s="29">
        <v>275</v>
      </c>
      <c r="T552" s="31" t="s">
        <v>1558</v>
      </c>
      <c r="U552" s="31">
        <v>8500060891</v>
      </c>
      <c r="V552" s="31">
        <v>5000896095</v>
      </c>
      <c r="W552" s="50">
        <v>45189</v>
      </c>
      <c r="X552" s="34">
        <v>275</v>
      </c>
      <c r="Y552" s="34">
        <v>2750</v>
      </c>
      <c r="Z552" s="34" t="s">
        <v>800</v>
      </c>
      <c r="AA552" s="34">
        <f t="shared" si="25"/>
        <v>0</v>
      </c>
      <c r="AB552" s="34">
        <f t="shared" si="27"/>
        <v>0</v>
      </c>
      <c r="AC552" s="25" t="s">
        <v>1371</v>
      </c>
      <c r="AD552" s="25"/>
      <c r="AE552" s="25"/>
      <c r="AF552" s="25"/>
      <c r="AG552" s="25"/>
      <c r="AH552" s="35"/>
    </row>
    <row r="553" spans="1:34" ht="33" customHeight="1">
      <c r="A553" s="23"/>
      <c r="B553" s="81"/>
      <c r="C553" s="25"/>
      <c r="D553" s="25"/>
      <c r="E553" s="25">
        <v>10</v>
      </c>
      <c r="F553" s="25">
        <v>375</v>
      </c>
      <c r="G553" s="26">
        <f t="shared" si="24"/>
        <v>3750</v>
      </c>
      <c r="H553" s="27" t="s">
        <v>46</v>
      </c>
      <c r="I553" s="37" t="s">
        <v>1517</v>
      </c>
      <c r="J553" s="29">
        <v>375</v>
      </c>
      <c r="K553" s="29">
        <f>2+7</f>
        <v>9</v>
      </c>
      <c r="L553" s="57">
        <v>45161</v>
      </c>
      <c r="M553" s="31">
        <v>3750</v>
      </c>
      <c r="N553" s="31">
        <v>38</v>
      </c>
      <c r="O553" s="31" t="s">
        <v>739</v>
      </c>
      <c r="P553" s="32" t="s">
        <v>160</v>
      </c>
      <c r="Q553" s="33">
        <v>8500060906</v>
      </c>
      <c r="R553" s="33">
        <v>5000915979</v>
      </c>
      <c r="S553" s="29">
        <v>375</v>
      </c>
      <c r="T553" s="31" t="s">
        <v>1558</v>
      </c>
      <c r="U553" s="31">
        <v>8500060891</v>
      </c>
      <c r="V553" s="31">
        <v>5000896095</v>
      </c>
      <c r="W553" s="50">
        <v>45188</v>
      </c>
      <c r="X553" s="34">
        <v>375</v>
      </c>
      <c r="Y553" s="34">
        <v>3750</v>
      </c>
      <c r="Z553" s="34" t="s">
        <v>800</v>
      </c>
      <c r="AA553" s="34">
        <f t="shared" si="25"/>
        <v>0</v>
      </c>
      <c r="AB553" s="34">
        <f t="shared" si="27"/>
        <v>0</v>
      </c>
      <c r="AC553" s="25" t="s">
        <v>1371</v>
      </c>
      <c r="AD553" s="25"/>
      <c r="AE553" s="25"/>
      <c r="AF553" s="25"/>
      <c r="AG553" s="25"/>
      <c r="AH553" s="35"/>
    </row>
    <row r="554" spans="1:34" ht="36.75" customHeight="1">
      <c r="A554" s="23"/>
      <c r="B554" s="81"/>
      <c r="C554" s="25"/>
      <c r="D554" s="25"/>
      <c r="E554" s="25">
        <v>10</v>
      </c>
      <c r="F554" s="25">
        <v>200</v>
      </c>
      <c r="G554" s="26">
        <f t="shared" si="24"/>
        <v>2000</v>
      </c>
      <c r="H554" s="27" t="s">
        <v>37</v>
      </c>
      <c r="I554" s="37" t="s">
        <v>1518</v>
      </c>
      <c r="J554" s="29">
        <f>193+7</f>
        <v>200</v>
      </c>
      <c r="K554" s="29">
        <f>4+1</f>
        <v>5</v>
      </c>
      <c r="L554" s="57">
        <v>45161</v>
      </c>
      <c r="M554" s="31">
        <v>2000</v>
      </c>
      <c r="N554" s="31">
        <v>20</v>
      </c>
      <c r="O554" s="31" t="s">
        <v>1370</v>
      </c>
      <c r="P554" s="32" t="s">
        <v>160</v>
      </c>
      <c r="Q554" s="33">
        <v>8500060906</v>
      </c>
      <c r="R554" s="33">
        <v>5000923316</v>
      </c>
      <c r="S554" s="29">
        <f>193+7</f>
        <v>200</v>
      </c>
      <c r="T554" s="31" t="s">
        <v>1558</v>
      </c>
      <c r="U554" s="31">
        <v>8500060891</v>
      </c>
      <c r="V554" s="31">
        <v>5000896095</v>
      </c>
      <c r="W554" s="50">
        <v>45189</v>
      </c>
      <c r="X554" s="34">
        <v>200</v>
      </c>
      <c r="Y554" s="34">
        <v>2000</v>
      </c>
      <c r="Z554" s="34" t="s">
        <v>800</v>
      </c>
      <c r="AA554" s="34">
        <f t="shared" si="25"/>
        <v>0</v>
      </c>
      <c r="AB554" s="34">
        <f t="shared" si="27"/>
        <v>0</v>
      </c>
      <c r="AC554" s="25" t="s">
        <v>1371</v>
      </c>
      <c r="AD554" s="25"/>
      <c r="AE554" s="25"/>
      <c r="AF554" s="25"/>
      <c r="AG554" s="25"/>
      <c r="AH554" s="35"/>
    </row>
    <row r="555" spans="1:34" ht="15.6">
      <c r="A555" s="23"/>
      <c r="B555" s="81"/>
      <c r="C555" s="25"/>
      <c r="D555" s="25"/>
      <c r="E555" s="25">
        <v>10</v>
      </c>
      <c r="F555" s="25">
        <v>150</v>
      </c>
      <c r="G555" s="26">
        <f t="shared" si="24"/>
        <v>1500</v>
      </c>
      <c r="H555" s="27" t="s">
        <v>146</v>
      </c>
      <c r="I555" s="37">
        <v>45168</v>
      </c>
      <c r="J555" s="29">
        <v>150</v>
      </c>
      <c r="K555" s="29"/>
      <c r="L555" s="57">
        <v>45161</v>
      </c>
      <c r="M555" s="31">
        <v>1500</v>
      </c>
      <c r="N555" s="31">
        <v>15</v>
      </c>
      <c r="O555" s="31" t="s">
        <v>921</v>
      </c>
      <c r="P555" s="32" t="s">
        <v>160</v>
      </c>
      <c r="Q555" s="33">
        <v>8500060906</v>
      </c>
      <c r="R555" s="33">
        <v>5000923316</v>
      </c>
      <c r="S555" s="29">
        <v>150</v>
      </c>
      <c r="T555" s="31" t="s">
        <v>1558</v>
      </c>
      <c r="U555" s="31">
        <v>8500060891</v>
      </c>
      <c r="V555" s="31">
        <v>5000896095</v>
      </c>
      <c r="W555" s="50">
        <v>45189</v>
      </c>
      <c r="X555" s="34">
        <v>150</v>
      </c>
      <c r="Y555" s="34">
        <v>1500</v>
      </c>
      <c r="Z555" s="34" t="s">
        <v>800</v>
      </c>
      <c r="AA555" s="34">
        <f t="shared" si="25"/>
        <v>0</v>
      </c>
      <c r="AB555" s="34">
        <f t="shared" si="27"/>
        <v>0</v>
      </c>
      <c r="AC555" s="25" t="s">
        <v>1371</v>
      </c>
      <c r="AD555" s="25" t="s">
        <v>1644</v>
      </c>
      <c r="AE555" s="25"/>
      <c r="AF555" s="25"/>
      <c r="AG555" s="25"/>
      <c r="AH555" s="35"/>
    </row>
    <row r="556" spans="1:34" ht="15.6">
      <c r="A556" s="23" t="s">
        <v>240</v>
      </c>
      <c r="B556" s="81">
        <v>6000024704</v>
      </c>
      <c r="C556" s="25" t="s">
        <v>1385</v>
      </c>
      <c r="D556" s="43" t="s">
        <v>1458</v>
      </c>
      <c r="E556" s="25">
        <v>20</v>
      </c>
      <c r="F556" s="25">
        <v>85</v>
      </c>
      <c r="G556" s="26">
        <f t="shared" si="24"/>
        <v>1700</v>
      </c>
      <c r="H556" s="27" t="s">
        <v>243</v>
      </c>
      <c r="I556" s="37">
        <v>45162</v>
      </c>
      <c r="J556" s="29">
        <v>85</v>
      </c>
      <c r="K556" s="29">
        <f>6+1</f>
        <v>7</v>
      </c>
      <c r="L556" s="57">
        <v>45165</v>
      </c>
      <c r="M556" s="31">
        <v>1700</v>
      </c>
      <c r="N556" s="31">
        <v>17</v>
      </c>
      <c r="O556" s="31" t="s">
        <v>857</v>
      </c>
      <c r="P556" s="32" t="s">
        <v>28</v>
      </c>
      <c r="Q556" s="33">
        <v>8500060860</v>
      </c>
      <c r="R556" s="33">
        <v>5000897336</v>
      </c>
      <c r="S556" s="29">
        <v>85</v>
      </c>
      <c r="T556" s="31" t="s">
        <v>794</v>
      </c>
      <c r="U556" s="31">
        <v>8500060859</v>
      </c>
      <c r="V556" s="31">
        <v>5000911799</v>
      </c>
      <c r="W556" s="50">
        <v>45168</v>
      </c>
      <c r="X556" s="34">
        <v>85</v>
      </c>
      <c r="Y556" s="34">
        <v>1700</v>
      </c>
      <c r="Z556" s="34" t="s">
        <v>800</v>
      </c>
      <c r="AA556" s="34">
        <f t="shared" si="25"/>
        <v>0</v>
      </c>
      <c r="AB556" s="34">
        <f t="shared" si="27"/>
        <v>0</v>
      </c>
      <c r="AC556" s="25" t="s">
        <v>1371</v>
      </c>
      <c r="AD556" s="25"/>
      <c r="AE556" s="25"/>
      <c r="AF556" s="25"/>
      <c r="AG556" s="25"/>
      <c r="AH556" s="35"/>
    </row>
    <row r="557" spans="1:34" ht="15.6">
      <c r="A557" s="23"/>
      <c r="B557" s="81"/>
      <c r="C557" s="25"/>
      <c r="D557" s="25"/>
      <c r="E557" s="25">
        <v>20</v>
      </c>
      <c r="F557" s="25">
        <v>175</v>
      </c>
      <c r="G557" s="26">
        <f t="shared" si="24"/>
        <v>3500</v>
      </c>
      <c r="H557" s="27" t="s">
        <v>27</v>
      </c>
      <c r="I557" s="37">
        <v>45162</v>
      </c>
      <c r="J557" s="29">
        <v>175</v>
      </c>
      <c r="K557" s="29">
        <f>7+2</f>
        <v>9</v>
      </c>
      <c r="L557" s="57">
        <v>45164</v>
      </c>
      <c r="M557" s="31">
        <v>3500</v>
      </c>
      <c r="N557" s="31">
        <v>35</v>
      </c>
      <c r="O557" s="31" t="s">
        <v>1374</v>
      </c>
      <c r="P557" s="32" t="s">
        <v>28</v>
      </c>
      <c r="Q557" s="33">
        <v>8500060860</v>
      </c>
      <c r="R557" s="33">
        <v>5000897336</v>
      </c>
      <c r="S557" s="29">
        <v>175</v>
      </c>
      <c r="T557" s="31" t="s">
        <v>794</v>
      </c>
      <c r="U557" s="31">
        <v>8500060859</v>
      </c>
      <c r="V557" s="31">
        <v>5000905290</v>
      </c>
      <c r="W557" s="50">
        <v>45164</v>
      </c>
      <c r="X557" s="34">
        <v>175</v>
      </c>
      <c r="Y557" s="34">
        <v>3500</v>
      </c>
      <c r="Z557" s="34" t="s">
        <v>800</v>
      </c>
      <c r="AA557" s="34">
        <f t="shared" si="25"/>
        <v>0</v>
      </c>
      <c r="AB557" s="34">
        <f>M557-Y557</f>
        <v>0</v>
      </c>
      <c r="AC557" s="25" t="s">
        <v>1371</v>
      </c>
      <c r="AD557" s="25"/>
      <c r="AE557" s="25"/>
      <c r="AF557" s="25"/>
      <c r="AG557" s="25"/>
      <c r="AH557" s="35"/>
    </row>
    <row r="558" spans="1:34" ht="15.6">
      <c r="A558" s="23"/>
      <c r="B558" s="81"/>
      <c r="C558" s="25"/>
      <c r="D558" s="25"/>
      <c r="E558" s="25">
        <v>20</v>
      </c>
      <c r="F558" s="25">
        <v>273</v>
      </c>
      <c r="G558" s="26">
        <f t="shared" si="24"/>
        <v>5460</v>
      </c>
      <c r="H558" s="27" t="s">
        <v>46</v>
      </c>
      <c r="I558" s="37">
        <v>45162</v>
      </c>
      <c r="J558" s="29">
        <v>273</v>
      </c>
      <c r="K558" s="29">
        <f>8+2</f>
        <v>10</v>
      </c>
      <c r="L558" s="57">
        <v>45165</v>
      </c>
      <c r="M558" s="31">
        <v>5460</v>
      </c>
      <c r="N558" s="31">
        <v>55</v>
      </c>
      <c r="O558" s="31" t="s">
        <v>876</v>
      </c>
      <c r="P558" s="32" t="s">
        <v>28</v>
      </c>
      <c r="Q558" s="33">
        <v>8500060860</v>
      </c>
      <c r="R558" s="33">
        <v>5000897336</v>
      </c>
      <c r="S558" s="29">
        <v>273</v>
      </c>
      <c r="T558" s="31" t="s">
        <v>794</v>
      </c>
      <c r="U558" s="31">
        <v>8500060859</v>
      </c>
      <c r="V558" s="31">
        <v>5000911799</v>
      </c>
      <c r="W558" s="50">
        <v>45168</v>
      </c>
      <c r="X558" s="34">
        <v>273</v>
      </c>
      <c r="Y558" s="34">
        <v>5460</v>
      </c>
      <c r="Z558" s="34" t="s">
        <v>800</v>
      </c>
      <c r="AA558" s="34">
        <f t="shared" si="25"/>
        <v>0</v>
      </c>
      <c r="AB558" s="34">
        <f>M558-Y558</f>
        <v>0</v>
      </c>
      <c r="AC558" s="25" t="s">
        <v>1371</v>
      </c>
      <c r="AD558" s="25"/>
      <c r="AE558" s="25"/>
      <c r="AF558" s="25"/>
      <c r="AG558" s="25"/>
      <c r="AH558" s="35"/>
    </row>
    <row r="559" spans="1:34" ht="15.6">
      <c r="A559" s="23"/>
      <c r="B559" s="81"/>
      <c r="C559" s="25"/>
      <c r="D559" s="25"/>
      <c r="E559" s="25">
        <v>20</v>
      </c>
      <c r="F559" s="25">
        <v>180</v>
      </c>
      <c r="G559" s="26">
        <f t="shared" si="24"/>
        <v>3600</v>
      </c>
      <c r="H559" s="27" t="s">
        <v>37</v>
      </c>
      <c r="I559" s="37">
        <v>45162</v>
      </c>
      <c r="J559" s="29">
        <v>180</v>
      </c>
      <c r="K559" s="29">
        <f>4+2</f>
        <v>6</v>
      </c>
      <c r="L559" s="57">
        <v>45165</v>
      </c>
      <c r="M559" s="31">
        <v>3600</v>
      </c>
      <c r="N559" s="31">
        <v>36</v>
      </c>
      <c r="O559" s="31" t="s">
        <v>1412</v>
      </c>
      <c r="P559" s="32" t="s">
        <v>28</v>
      </c>
      <c r="Q559" s="33">
        <v>8500060860</v>
      </c>
      <c r="R559" s="33">
        <v>5000897336</v>
      </c>
      <c r="S559" s="29">
        <v>180</v>
      </c>
      <c r="T559" s="31" t="s">
        <v>794</v>
      </c>
      <c r="U559" s="31">
        <v>8500060859</v>
      </c>
      <c r="V559" s="31">
        <v>5000911799</v>
      </c>
      <c r="W559" s="50">
        <v>45168</v>
      </c>
      <c r="X559" s="34">
        <v>180</v>
      </c>
      <c r="Y559" s="34">
        <v>3600</v>
      </c>
      <c r="Z559" s="34" t="s">
        <v>800</v>
      </c>
      <c r="AA559" s="34">
        <f t="shared" si="25"/>
        <v>0</v>
      </c>
      <c r="AB559" s="34">
        <f t="shared" si="27"/>
        <v>0</v>
      </c>
      <c r="AC559" s="25" t="s">
        <v>1371</v>
      </c>
      <c r="AD559" s="25"/>
      <c r="AE559" s="25"/>
      <c r="AF559" s="25"/>
      <c r="AG559" s="25"/>
      <c r="AH559" s="35"/>
    </row>
    <row r="560" spans="1:34" ht="16.5" customHeight="1">
      <c r="A560" s="23"/>
      <c r="B560" s="81"/>
      <c r="C560" s="25"/>
      <c r="D560" s="25"/>
      <c r="E560" s="25">
        <v>20</v>
      </c>
      <c r="F560" s="25">
        <v>50</v>
      </c>
      <c r="G560" s="26">
        <f t="shared" si="24"/>
        <v>1000</v>
      </c>
      <c r="H560" s="27" t="s">
        <v>146</v>
      </c>
      <c r="I560" s="37">
        <v>45162</v>
      </c>
      <c r="J560" s="29">
        <v>50</v>
      </c>
      <c r="K560" s="29">
        <v>6</v>
      </c>
      <c r="L560" s="57">
        <v>45165</v>
      </c>
      <c r="M560" s="31">
        <v>1000</v>
      </c>
      <c r="N560" s="31">
        <v>10</v>
      </c>
      <c r="O560" s="31" t="s">
        <v>1362</v>
      </c>
      <c r="P560" s="32" t="s">
        <v>28</v>
      </c>
      <c r="Q560" s="33">
        <v>8500060860</v>
      </c>
      <c r="R560" s="33">
        <v>5000897336</v>
      </c>
      <c r="S560" s="29">
        <v>50</v>
      </c>
      <c r="T560" s="31" t="s">
        <v>794</v>
      </c>
      <c r="U560" s="31">
        <v>8500060859</v>
      </c>
      <c r="V560" s="31">
        <v>5000911799</v>
      </c>
      <c r="W560" s="50">
        <v>45168</v>
      </c>
      <c r="X560" s="34">
        <v>50</v>
      </c>
      <c r="Y560" s="34">
        <v>1000</v>
      </c>
      <c r="Z560" s="34" t="s">
        <v>800</v>
      </c>
      <c r="AA560" s="34">
        <f t="shared" si="25"/>
        <v>0</v>
      </c>
      <c r="AB560" s="34">
        <f t="shared" si="27"/>
        <v>0</v>
      </c>
      <c r="AC560" s="25" t="s">
        <v>1371</v>
      </c>
      <c r="AD560" s="25"/>
      <c r="AE560" s="25"/>
      <c r="AF560" s="25"/>
      <c r="AG560" s="25"/>
      <c r="AH560" s="35"/>
    </row>
    <row r="561" spans="1:34" ht="27.6">
      <c r="A561" s="23" t="s">
        <v>692</v>
      </c>
      <c r="B561" s="81">
        <v>6000024059</v>
      </c>
      <c r="C561" s="25" t="s">
        <v>1399</v>
      </c>
      <c r="D561" s="44" t="s">
        <v>1686</v>
      </c>
      <c r="E561" s="25">
        <v>10</v>
      </c>
      <c r="F561" s="25">
        <v>750</v>
      </c>
      <c r="G561" s="26">
        <f t="shared" si="24"/>
        <v>7500</v>
      </c>
      <c r="H561" s="27" t="s">
        <v>27</v>
      </c>
      <c r="I561" s="37">
        <v>45166</v>
      </c>
      <c r="J561" s="29">
        <v>750</v>
      </c>
      <c r="K561" s="29">
        <v>16</v>
      </c>
      <c r="L561" s="57">
        <v>45166</v>
      </c>
      <c r="M561" s="31">
        <v>7500</v>
      </c>
      <c r="N561" s="31">
        <v>75</v>
      </c>
      <c r="O561" s="31"/>
      <c r="P561" s="32" t="s">
        <v>1361</v>
      </c>
      <c r="Q561" s="33"/>
      <c r="R561" s="33"/>
      <c r="S561" s="29">
        <v>750</v>
      </c>
      <c r="T561" s="31"/>
      <c r="U561" s="31"/>
      <c r="V561" s="31"/>
      <c r="W561" s="50">
        <v>45178</v>
      </c>
      <c r="X561" s="34">
        <v>750</v>
      </c>
      <c r="Y561" s="34">
        <v>7500</v>
      </c>
      <c r="Z561" s="34" t="s">
        <v>800</v>
      </c>
      <c r="AA561" s="34">
        <f t="shared" si="25"/>
        <v>0</v>
      </c>
      <c r="AB561" s="34">
        <f t="shared" si="27"/>
        <v>0</v>
      </c>
      <c r="AC561" s="25" t="s">
        <v>1371</v>
      </c>
      <c r="AD561" s="25"/>
      <c r="AE561" s="25"/>
      <c r="AF561" s="25"/>
      <c r="AG561" s="25"/>
      <c r="AH561" s="35"/>
    </row>
    <row r="562" spans="1:34" ht="46.8">
      <c r="A562" s="23"/>
      <c r="B562" s="81"/>
      <c r="C562" s="25"/>
      <c r="D562" s="44" t="s">
        <v>1685</v>
      </c>
      <c r="E562" s="25">
        <v>10</v>
      </c>
      <c r="F562" s="25">
        <v>1322</v>
      </c>
      <c r="G562" s="26">
        <f t="shared" si="24"/>
        <v>13220</v>
      </c>
      <c r="H562" s="27" t="s">
        <v>46</v>
      </c>
      <c r="I562" s="37">
        <v>45166</v>
      </c>
      <c r="J562" s="29">
        <v>1322</v>
      </c>
      <c r="K562" s="29">
        <v>26</v>
      </c>
      <c r="L562" s="57">
        <v>45166</v>
      </c>
      <c r="M562" s="31">
        <v>13220</v>
      </c>
      <c r="N562" s="31">
        <v>132</v>
      </c>
      <c r="O562" s="31"/>
      <c r="P562" s="32" t="s">
        <v>1361</v>
      </c>
      <c r="Q562" s="33"/>
      <c r="R562" s="33"/>
      <c r="S562" s="29">
        <v>1322</v>
      </c>
      <c r="T562" s="31"/>
      <c r="U562" s="31"/>
      <c r="V562" s="31"/>
      <c r="W562" s="50" t="s">
        <v>1655</v>
      </c>
      <c r="X562" s="34">
        <f>175+500+647</f>
        <v>1322</v>
      </c>
      <c r="Y562" s="34">
        <f>1750+5000+6470</f>
        <v>13220</v>
      </c>
      <c r="Z562" s="34" t="s">
        <v>800</v>
      </c>
      <c r="AA562" s="34">
        <f t="shared" si="25"/>
        <v>0</v>
      </c>
      <c r="AB562" s="34">
        <f t="shared" si="27"/>
        <v>0</v>
      </c>
      <c r="AC562" s="25" t="s">
        <v>1371</v>
      </c>
      <c r="AD562" s="25" t="s">
        <v>1561</v>
      </c>
      <c r="AE562" s="25"/>
      <c r="AF562" s="25"/>
      <c r="AG562" s="25"/>
      <c r="AH562" s="35"/>
    </row>
    <row r="563" spans="1:34" ht="27.6">
      <c r="A563" s="23"/>
      <c r="B563" s="81"/>
      <c r="C563" s="25"/>
      <c r="D563" s="44" t="s">
        <v>1684</v>
      </c>
      <c r="E563" s="25">
        <v>10</v>
      </c>
      <c r="F563" s="25">
        <v>700</v>
      </c>
      <c r="G563" s="26">
        <f t="shared" si="24"/>
        <v>7000</v>
      </c>
      <c r="H563" s="27" t="s">
        <v>37</v>
      </c>
      <c r="I563" s="37">
        <v>45166</v>
      </c>
      <c r="J563" s="29">
        <v>700</v>
      </c>
      <c r="K563" s="29">
        <v>13</v>
      </c>
      <c r="L563" s="57">
        <v>45166</v>
      </c>
      <c r="M563" s="31">
        <v>7000</v>
      </c>
      <c r="N563" s="31">
        <v>70</v>
      </c>
      <c r="O563" s="31"/>
      <c r="P563" s="32" t="s">
        <v>1361</v>
      </c>
      <c r="Q563" s="33"/>
      <c r="R563" s="33"/>
      <c r="S563" s="29">
        <v>700</v>
      </c>
      <c r="T563" s="31"/>
      <c r="U563" s="31"/>
      <c r="V563" s="31"/>
      <c r="W563" s="50">
        <v>45178</v>
      </c>
      <c r="X563" s="34">
        <v>700</v>
      </c>
      <c r="Y563" s="34">
        <v>7000</v>
      </c>
      <c r="Z563" s="34" t="s">
        <v>800</v>
      </c>
      <c r="AA563" s="34">
        <f t="shared" si="25"/>
        <v>0</v>
      </c>
      <c r="AB563" s="34">
        <f t="shared" si="27"/>
        <v>0</v>
      </c>
      <c r="AC563" s="25" t="s">
        <v>1371</v>
      </c>
      <c r="AD563" s="25"/>
      <c r="AE563" s="25"/>
      <c r="AF563" s="25"/>
      <c r="AG563" s="25"/>
      <c r="AH563" s="35"/>
    </row>
    <row r="564" spans="1:34" ht="31.2">
      <c r="A564" s="23" t="s">
        <v>692</v>
      </c>
      <c r="B564" s="81">
        <v>6000024060</v>
      </c>
      <c r="C564" s="25" t="s">
        <v>1399</v>
      </c>
      <c r="D564" s="44" t="s">
        <v>1682</v>
      </c>
      <c r="E564" s="25">
        <v>10</v>
      </c>
      <c r="F564" s="25">
        <v>750</v>
      </c>
      <c r="G564" s="26">
        <f t="shared" si="24"/>
        <v>7500</v>
      </c>
      <c r="H564" s="27" t="s">
        <v>27</v>
      </c>
      <c r="I564" s="37">
        <v>45166</v>
      </c>
      <c r="J564" s="29">
        <v>750</v>
      </c>
      <c r="K564" s="29">
        <v>16</v>
      </c>
      <c r="L564" s="57">
        <v>45166</v>
      </c>
      <c r="M564" s="31">
        <v>7500</v>
      </c>
      <c r="N564" s="31">
        <v>75</v>
      </c>
      <c r="O564" s="31"/>
      <c r="P564" s="32" t="s">
        <v>1361</v>
      </c>
      <c r="Q564" s="33"/>
      <c r="R564" s="33"/>
      <c r="S564" s="29">
        <v>750</v>
      </c>
      <c r="T564" s="31"/>
      <c r="U564" s="31"/>
      <c r="V564" s="31"/>
      <c r="W564" s="50" t="s">
        <v>1647</v>
      </c>
      <c r="X564" s="34">
        <f>275+475</f>
        <v>750</v>
      </c>
      <c r="Y564" s="34">
        <f>2750+4750</f>
        <v>7500</v>
      </c>
      <c r="Z564" s="34" t="s">
        <v>800</v>
      </c>
      <c r="AA564" s="34">
        <f t="shared" si="25"/>
        <v>0</v>
      </c>
      <c r="AB564" s="34">
        <f t="shared" si="27"/>
        <v>0</v>
      </c>
      <c r="AC564" s="25" t="s">
        <v>1371</v>
      </c>
      <c r="AD564" s="25" t="s">
        <v>1561</v>
      </c>
      <c r="AE564" s="25"/>
      <c r="AF564" s="25"/>
      <c r="AG564" s="25"/>
      <c r="AH564" s="35"/>
    </row>
    <row r="565" spans="1:34" ht="27.6">
      <c r="A565" s="23"/>
      <c r="B565" s="81"/>
      <c r="C565" s="25"/>
      <c r="D565" s="44" t="s">
        <v>1683</v>
      </c>
      <c r="E565" s="25">
        <v>10</v>
      </c>
      <c r="F565" s="25">
        <v>1322</v>
      </c>
      <c r="G565" s="26">
        <f t="shared" si="24"/>
        <v>13220</v>
      </c>
      <c r="H565" s="27" t="s">
        <v>46</v>
      </c>
      <c r="I565" s="37">
        <v>45166</v>
      </c>
      <c r="J565" s="29">
        <v>1322</v>
      </c>
      <c r="K565" s="29">
        <v>26</v>
      </c>
      <c r="L565" s="57">
        <v>45166</v>
      </c>
      <c r="M565" s="31">
        <v>13220</v>
      </c>
      <c r="N565" s="31">
        <v>132</v>
      </c>
      <c r="O565" s="31"/>
      <c r="P565" s="32" t="s">
        <v>1361</v>
      </c>
      <c r="Q565" s="33"/>
      <c r="R565" s="33"/>
      <c r="S565" s="29">
        <v>1322</v>
      </c>
      <c r="T565" s="31"/>
      <c r="U565" s="31"/>
      <c r="V565" s="31"/>
      <c r="W565" s="50">
        <v>48483</v>
      </c>
      <c r="X565" s="34">
        <f>500+822</f>
        <v>1322</v>
      </c>
      <c r="Y565" s="34">
        <v>13220</v>
      </c>
      <c r="Z565" s="34" t="s">
        <v>800</v>
      </c>
      <c r="AA565" s="34">
        <f t="shared" si="25"/>
        <v>0</v>
      </c>
      <c r="AB565" s="34">
        <f t="shared" si="27"/>
        <v>0</v>
      </c>
      <c r="AC565" s="25" t="s">
        <v>1371</v>
      </c>
      <c r="AD565" s="25" t="s">
        <v>1561</v>
      </c>
      <c r="AE565" s="25"/>
      <c r="AF565" s="25"/>
      <c r="AG565" s="25"/>
      <c r="AH565" s="35"/>
    </row>
    <row r="566" spans="1:34" ht="27.6">
      <c r="A566" s="23"/>
      <c r="B566" s="81"/>
      <c r="C566" s="25"/>
      <c r="D566" s="44" t="s">
        <v>1681</v>
      </c>
      <c r="E566" s="25">
        <v>10</v>
      </c>
      <c r="F566" s="25">
        <v>700</v>
      </c>
      <c r="G566" s="26">
        <f t="shared" si="24"/>
        <v>7000</v>
      </c>
      <c r="H566" s="27" t="s">
        <v>37</v>
      </c>
      <c r="I566" s="37">
        <v>45166</v>
      </c>
      <c r="J566" s="29">
        <v>700</v>
      </c>
      <c r="K566" s="29">
        <v>15</v>
      </c>
      <c r="L566" s="57">
        <v>45166</v>
      </c>
      <c r="M566" s="31">
        <v>7000</v>
      </c>
      <c r="N566" s="31">
        <v>70</v>
      </c>
      <c r="O566" s="31"/>
      <c r="P566" s="32" t="s">
        <v>1361</v>
      </c>
      <c r="Q566" s="33"/>
      <c r="R566" s="33"/>
      <c r="S566" s="29">
        <v>700</v>
      </c>
      <c r="T566" s="31"/>
      <c r="U566" s="31"/>
      <c r="V566" s="31"/>
      <c r="W566" s="50">
        <v>45184</v>
      </c>
      <c r="X566" s="34">
        <v>700</v>
      </c>
      <c r="Y566" s="34">
        <v>7000</v>
      </c>
      <c r="Z566" s="34" t="s">
        <v>800</v>
      </c>
      <c r="AA566" s="34">
        <f t="shared" si="25"/>
        <v>0</v>
      </c>
      <c r="AB566" s="34">
        <f t="shared" si="27"/>
        <v>0</v>
      </c>
      <c r="AC566" s="25" t="s">
        <v>1371</v>
      </c>
      <c r="AD566" s="25" t="s">
        <v>1561</v>
      </c>
      <c r="AE566" s="25"/>
      <c r="AF566" s="25"/>
      <c r="AG566" s="25"/>
      <c r="AH566" s="35"/>
    </row>
    <row r="567" spans="1:34" ht="15.6">
      <c r="A567" s="23" t="s">
        <v>1405</v>
      </c>
      <c r="B567" s="81">
        <v>6000024741</v>
      </c>
      <c r="C567" s="40" t="s">
        <v>1404</v>
      </c>
      <c r="D567" s="25">
        <v>6000024741</v>
      </c>
      <c r="E567" s="25">
        <v>10</v>
      </c>
      <c r="F567" s="25">
        <v>400</v>
      </c>
      <c r="G567" s="26">
        <f t="shared" si="24"/>
        <v>4000</v>
      </c>
      <c r="H567" s="27" t="s">
        <v>46</v>
      </c>
      <c r="I567" s="37">
        <v>45167</v>
      </c>
      <c r="J567" s="29">
        <v>400</v>
      </c>
      <c r="K567" s="29">
        <f>5+2</f>
        <v>7</v>
      </c>
      <c r="L567" s="57">
        <v>45163</v>
      </c>
      <c r="M567" s="31">
        <v>4000</v>
      </c>
      <c r="N567" s="31">
        <v>20</v>
      </c>
      <c r="O567" s="31" t="s">
        <v>921</v>
      </c>
      <c r="P567" s="32" t="s">
        <v>160</v>
      </c>
      <c r="Q567" s="33">
        <v>8500060884</v>
      </c>
      <c r="R567" s="33">
        <v>5000915971</v>
      </c>
      <c r="S567" s="29">
        <v>400</v>
      </c>
      <c r="T567" s="31" t="s">
        <v>152</v>
      </c>
      <c r="U567" s="31">
        <v>8500060883</v>
      </c>
      <c r="V567" s="31">
        <v>5000903928</v>
      </c>
      <c r="W567" s="50">
        <v>45185</v>
      </c>
      <c r="X567" s="34">
        <v>400</v>
      </c>
      <c r="Y567" s="34">
        <v>4000</v>
      </c>
      <c r="Z567" s="34" t="s">
        <v>800</v>
      </c>
      <c r="AA567" s="34">
        <f t="shared" si="25"/>
        <v>0</v>
      </c>
      <c r="AB567" s="34">
        <f t="shared" si="27"/>
        <v>0</v>
      </c>
      <c r="AC567" s="25" t="s">
        <v>1371</v>
      </c>
      <c r="AD567" s="25"/>
      <c r="AE567" s="25"/>
      <c r="AF567" s="25"/>
      <c r="AG567" s="25"/>
      <c r="AH567" s="35"/>
    </row>
    <row r="568" spans="1:34" ht="31.2">
      <c r="A568" s="23"/>
      <c r="B568" s="81"/>
      <c r="C568" s="25"/>
      <c r="D568" s="25"/>
      <c r="E568" s="25">
        <v>10</v>
      </c>
      <c r="F568" s="25">
        <v>1600</v>
      </c>
      <c r="G568" s="26">
        <f t="shared" si="24"/>
        <v>16000</v>
      </c>
      <c r="H568" s="27" t="s">
        <v>37</v>
      </c>
      <c r="I568" s="37">
        <v>45167</v>
      </c>
      <c r="J568" s="29">
        <v>1600</v>
      </c>
      <c r="K568" s="29">
        <f>18+2</f>
        <v>20</v>
      </c>
      <c r="L568" s="57" t="s">
        <v>1415</v>
      </c>
      <c r="M568" s="31">
        <f>12500+3500</f>
        <v>16000</v>
      </c>
      <c r="N568" s="31">
        <v>80</v>
      </c>
      <c r="O568" s="31" t="s">
        <v>1416</v>
      </c>
      <c r="P568" s="32" t="s">
        <v>160</v>
      </c>
      <c r="Q568" s="33">
        <v>8500060884</v>
      </c>
      <c r="R568" s="33">
        <v>5000915971</v>
      </c>
      <c r="S568" s="29">
        <v>1600</v>
      </c>
      <c r="T568" s="31" t="s">
        <v>152</v>
      </c>
      <c r="U568" s="31">
        <v>8500060883</v>
      </c>
      <c r="V568" s="31">
        <v>5000903928</v>
      </c>
      <c r="W568" s="50" t="s">
        <v>1669</v>
      </c>
      <c r="X568" s="34">
        <f>800+800</f>
        <v>1600</v>
      </c>
      <c r="Y568" s="34">
        <f>8000+8000</f>
        <v>16000</v>
      </c>
      <c r="Z568" s="34" t="s">
        <v>800</v>
      </c>
      <c r="AA568" s="34">
        <f t="shared" si="25"/>
        <v>0</v>
      </c>
      <c r="AB568" s="34">
        <f t="shared" si="27"/>
        <v>0</v>
      </c>
      <c r="AC568" s="25" t="s">
        <v>1371</v>
      </c>
      <c r="AD568" s="25"/>
      <c r="AE568" s="25"/>
      <c r="AF568" s="25"/>
      <c r="AG568" s="25"/>
      <c r="AH568" s="35"/>
    </row>
    <row r="569" spans="1:34" ht="15.6">
      <c r="A569" s="23" t="s">
        <v>525</v>
      </c>
      <c r="B569" s="81">
        <v>6000024784</v>
      </c>
      <c r="C569" s="25" t="s">
        <v>548</v>
      </c>
      <c r="D569" s="25">
        <v>6000024784</v>
      </c>
      <c r="E569" s="25">
        <v>8</v>
      </c>
      <c r="F569" s="25">
        <v>250</v>
      </c>
      <c r="G569" s="26">
        <f t="shared" si="24"/>
        <v>2000</v>
      </c>
      <c r="H569" s="27" t="s">
        <v>27</v>
      </c>
      <c r="I569" s="37">
        <v>45181</v>
      </c>
      <c r="J569" s="29"/>
      <c r="K569" s="29"/>
      <c r="L569" s="57">
        <v>45164</v>
      </c>
      <c r="M569" s="31"/>
      <c r="N569" s="31"/>
      <c r="O569" s="31"/>
      <c r="P569" s="32" t="s">
        <v>1538</v>
      </c>
      <c r="Q569" s="33">
        <v>8500060901</v>
      </c>
      <c r="R569" s="33">
        <v>5000968374</v>
      </c>
      <c r="S569" s="29"/>
      <c r="T569" s="31" t="s">
        <v>1406</v>
      </c>
      <c r="U569" s="31">
        <v>8500060898</v>
      </c>
      <c r="V569" s="31">
        <v>5000903908</v>
      </c>
      <c r="W569" s="50"/>
      <c r="X569" s="34"/>
      <c r="Y569" s="34"/>
      <c r="Z569" s="34"/>
      <c r="AA569" s="34">
        <f t="shared" si="25"/>
        <v>0</v>
      </c>
      <c r="AB569" s="34">
        <f t="shared" si="27"/>
        <v>0</v>
      </c>
      <c r="AC569" s="25" t="s">
        <v>1371</v>
      </c>
      <c r="AD569" s="25"/>
      <c r="AE569" s="25"/>
      <c r="AF569" s="25"/>
      <c r="AG569" s="25"/>
      <c r="AH569" s="35"/>
    </row>
    <row r="570" spans="1:34" ht="15.6">
      <c r="A570" s="23"/>
      <c r="B570" s="81"/>
      <c r="C570" s="25"/>
      <c r="D570" s="25"/>
      <c r="E570" s="25">
        <v>8</v>
      </c>
      <c r="F570" s="25">
        <v>700</v>
      </c>
      <c r="G570" s="26">
        <f t="shared" si="24"/>
        <v>5600</v>
      </c>
      <c r="H570" s="27" t="s">
        <v>46</v>
      </c>
      <c r="I570" s="37">
        <v>45181</v>
      </c>
      <c r="J570" s="29"/>
      <c r="K570" s="29"/>
      <c r="L570" s="57">
        <v>45164</v>
      </c>
      <c r="M570" s="31"/>
      <c r="N570" s="31"/>
      <c r="O570" s="31"/>
      <c r="P570" s="32" t="s">
        <v>1538</v>
      </c>
      <c r="Q570" s="33">
        <v>8500060901</v>
      </c>
      <c r="R570" s="33">
        <v>5000968374</v>
      </c>
      <c r="S570" s="29"/>
      <c r="T570" s="31" t="s">
        <v>1406</v>
      </c>
      <c r="U570" s="31">
        <v>8500060898</v>
      </c>
      <c r="V570" s="31">
        <v>5000903908</v>
      </c>
      <c r="W570" s="50"/>
      <c r="X570" s="34"/>
      <c r="Y570" s="34"/>
      <c r="Z570" s="34"/>
      <c r="AA570" s="34">
        <f t="shared" si="25"/>
        <v>0</v>
      </c>
      <c r="AB570" s="34">
        <f t="shared" si="27"/>
        <v>0</v>
      </c>
      <c r="AC570" s="25" t="s">
        <v>1371</v>
      </c>
      <c r="AD570" s="25"/>
      <c r="AE570" s="25"/>
      <c r="AF570" s="25"/>
      <c r="AG570" s="25"/>
      <c r="AH570" s="35"/>
    </row>
    <row r="571" spans="1:34" ht="15.6">
      <c r="A571" s="23"/>
      <c r="B571" s="81"/>
      <c r="C571" s="25"/>
      <c r="D571" s="25"/>
      <c r="E571" s="25">
        <v>8</v>
      </c>
      <c r="F571" s="25">
        <v>350</v>
      </c>
      <c r="G571" s="26">
        <f t="shared" si="24"/>
        <v>2800</v>
      </c>
      <c r="H571" s="27" t="s">
        <v>37</v>
      </c>
      <c r="I571" s="37">
        <v>45181</v>
      </c>
      <c r="J571" s="29"/>
      <c r="K571" s="29"/>
      <c r="L571" s="57">
        <v>45164</v>
      </c>
      <c r="M571" s="31"/>
      <c r="N571" s="31"/>
      <c r="O571" s="31"/>
      <c r="P571" s="32" t="s">
        <v>1538</v>
      </c>
      <c r="Q571" s="33">
        <v>8500060901</v>
      </c>
      <c r="R571" s="33">
        <v>5000968374</v>
      </c>
      <c r="S571" s="29"/>
      <c r="T571" s="31" t="s">
        <v>1406</v>
      </c>
      <c r="U571" s="31">
        <v>8500060898</v>
      </c>
      <c r="V571" s="31">
        <v>5000903908</v>
      </c>
      <c r="W571" s="50"/>
      <c r="X571" s="34"/>
      <c r="Y571" s="34"/>
      <c r="Z571" s="34"/>
      <c r="AA571" s="34">
        <f t="shared" si="25"/>
        <v>0</v>
      </c>
      <c r="AB571" s="34">
        <f t="shared" si="27"/>
        <v>0</v>
      </c>
      <c r="AC571" s="25" t="s">
        <v>1371</v>
      </c>
      <c r="AD571" s="25"/>
      <c r="AE571" s="25"/>
      <c r="AF571" s="25"/>
      <c r="AG571" s="25"/>
      <c r="AH571" s="35"/>
    </row>
    <row r="572" spans="1:34" ht="15.6">
      <c r="A572" s="23"/>
      <c r="B572" s="81"/>
      <c r="C572" s="25"/>
      <c r="D572" s="25"/>
      <c r="E572" s="25">
        <v>8</v>
      </c>
      <c r="F572" s="25">
        <v>100</v>
      </c>
      <c r="G572" s="26">
        <f t="shared" si="24"/>
        <v>800</v>
      </c>
      <c r="H572" s="27" t="s">
        <v>146</v>
      </c>
      <c r="I572" s="37">
        <v>45181</v>
      </c>
      <c r="J572" s="29"/>
      <c r="K572" s="29"/>
      <c r="L572" s="57">
        <v>45164</v>
      </c>
      <c r="M572" s="31"/>
      <c r="N572" s="31"/>
      <c r="O572" s="31"/>
      <c r="P572" s="32" t="s">
        <v>1538</v>
      </c>
      <c r="Q572" s="33">
        <v>8500060903</v>
      </c>
      <c r="R572" s="33">
        <v>5000968379</v>
      </c>
      <c r="S572" s="29"/>
      <c r="T572" s="31" t="s">
        <v>1406</v>
      </c>
      <c r="U572" s="31">
        <v>8500060902</v>
      </c>
      <c r="V572" s="31">
        <v>5000904060</v>
      </c>
      <c r="W572" s="50"/>
      <c r="X572" s="34"/>
      <c r="Y572" s="34"/>
      <c r="Z572" s="34"/>
      <c r="AA572" s="34">
        <f t="shared" si="25"/>
        <v>0</v>
      </c>
      <c r="AB572" s="34">
        <f t="shared" si="27"/>
        <v>0</v>
      </c>
      <c r="AC572" s="25" t="s">
        <v>1371</v>
      </c>
      <c r="AD572" s="25"/>
      <c r="AE572" s="25"/>
      <c r="AF572" s="25"/>
      <c r="AG572" s="25"/>
      <c r="AH572" s="35"/>
    </row>
    <row r="573" spans="1:34" ht="15.6">
      <c r="A573" s="23" t="s">
        <v>178</v>
      </c>
      <c r="B573" s="81">
        <v>6000024703</v>
      </c>
      <c r="C573" s="25" t="s">
        <v>1407</v>
      </c>
      <c r="D573" s="40">
        <v>4923105001</v>
      </c>
      <c r="E573" s="25">
        <v>4</v>
      </c>
      <c r="F573" s="25">
        <v>100</v>
      </c>
      <c r="G573" s="26">
        <f t="shared" si="24"/>
        <v>400</v>
      </c>
      <c r="H573" s="27" t="s">
        <v>27</v>
      </c>
      <c r="I573" s="37">
        <v>45166</v>
      </c>
      <c r="J573" s="29">
        <v>100</v>
      </c>
      <c r="K573" s="29">
        <v>1</v>
      </c>
      <c r="L573" s="57">
        <v>45163</v>
      </c>
      <c r="M573" s="31">
        <v>400</v>
      </c>
      <c r="N573" s="31">
        <v>4</v>
      </c>
      <c r="O573" s="31" t="s">
        <v>922</v>
      </c>
      <c r="P573" s="32" t="s">
        <v>1557</v>
      </c>
      <c r="Q573" s="33">
        <v>8500060896</v>
      </c>
      <c r="R573" s="33">
        <v>5000912874</v>
      </c>
      <c r="S573" s="29">
        <v>100</v>
      </c>
      <c r="T573" s="31" t="s">
        <v>87</v>
      </c>
      <c r="U573" s="31">
        <v>8500060895</v>
      </c>
      <c r="V573" s="31">
        <v>5000904112</v>
      </c>
      <c r="W573" s="50">
        <v>45185</v>
      </c>
      <c r="X573" s="34">
        <v>100</v>
      </c>
      <c r="Y573" s="34">
        <v>400</v>
      </c>
      <c r="Z573" s="34" t="s">
        <v>1559</v>
      </c>
      <c r="AA573" s="34">
        <f t="shared" si="25"/>
        <v>0</v>
      </c>
      <c r="AB573" s="34">
        <f t="shared" si="27"/>
        <v>0</v>
      </c>
      <c r="AC573" s="25" t="s">
        <v>1371</v>
      </c>
      <c r="AD573" s="25"/>
      <c r="AE573" s="25"/>
      <c r="AF573" s="25"/>
      <c r="AG573" s="25"/>
      <c r="AH573" s="35"/>
    </row>
    <row r="574" spans="1:34" ht="15.6">
      <c r="A574" s="23"/>
      <c r="B574" s="81"/>
      <c r="C574" s="25"/>
      <c r="D574" s="25"/>
      <c r="E574" s="25">
        <v>4</v>
      </c>
      <c r="F574" s="25">
        <v>2970</v>
      </c>
      <c r="G574" s="26">
        <f t="shared" si="24"/>
        <v>11880</v>
      </c>
      <c r="H574" s="27" t="s">
        <v>46</v>
      </c>
      <c r="I574" s="37">
        <v>45166</v>
      </c>
      <c r="J574" s="29">
        <v>2970</v>
      </c>
      <c r="K574" s="29">
        <v>29</v>
      </c>
      <c r="L574" s="56" t="s">
        <v>1410</v>
      </c>
      <c r="M574" s="31">
        <v>11880</v>
      </c>
      <c r="N574" s="31">
        <v>119</v>
      </c>
      <c r="O574" s="31"/>
      <c r="P574" s="32" t="s">
        <v>1557</v>
      </c>
      <c r="Q574" s="33">
        <v>8500060896</v>
      </c>
      <c r="R574" s="33">
        <v>5000912874</v>
      </c>
      <c r="S574" s="29">
        <v>2970</v>
      </c>
      <c r="T574" s="31" t="s">
        <v>87</v>
      </c>
      <c r="U574" s="31">
        <v>8500060895</v>
      </c>
      <c r="V574" s="31">
        <v>5000911778</v>
      </c>
      <c r="W574" s="50">
        <v>45181</v>
      </c>
      <c r="X574" s="34">
        <v>2970</v>
      </c>
      <c r="Y574" s="34">
        <v>11880</v>
      </c>
      <c r="Z574" s="34" t="s">
        <v>1573</v>
      </c>
      <c r="AA574" s="34">
        <f t="shared" si="25"/>
        <v>0</v>
      </c>
      <c r="AB574" s="34">
        <f t="shared" si="27"/>
        <v>0</v>
      </c>
      <c r="AC574" s="25" t="s">
        <v>1371</v>
      </c>
      <c r="AD574" s="25"/>
      <c r="AE574" s="25"/>
      <c r="AF574" s="25"/>
      <c r="AG574" s="25"/>
      <c r="AH574" s="35"/>
    </row>
    <row r="575" spans="1:34" ht="15.6">
      <c r="A575" s="23"/>
      <c r="B575" s="81"/>
      <c r="C575" s="25"/>
      <c r="D575" s="25"/>
      <c r="E575" s="25">
        <v>4</v>
      </c>
      <c r="F575" s="25">
        <v>1530</v>
      </c>
      <c r="G575" s="26">
        <f t="shared" si="24"/>
        <v>6120</v>
      </c>
      <c r="H575" s="27" t="s">
        <v>37</v>
      </c>
      <c r="I575" s="37">
        <v>45166</v>
      </c>
      <c r="J575" s="29">
        <v>1530</v>
      </c>
      <c r="K575" s="29">
        <v>15</v>
      </c>
      <c r="L575" s="57">
        <v>45163</v>
      </c>
      <c r="M575" s="31">
        <v>6120</v>
      </c>
      <c r="N575" s="31">
        <v>61</v>
      </c>
      <c r="O575" s="31"/>
      <c r="P575" s="32" t="s">
        <v>1557</v>
      </c>
      <c r="Q575" s="33">
        <v>8500060896</v>
      </c>
      <c r="R575" s="33">
        <v>5000912874</v>
      </c>
      <c r="S575" s="29">
        <v>1530</v>
      </c>
      <c r="T575" s="31" t="s">
        <v>87</v>
      </c>
      <c r="U575" s="31">
        <v>8500060895</v>
      </c>
      <c r="V575" s="31">
        <v>5000904112</v>
      </c>
      <c r="W575" s="50">
        <v>45185</v>
      </c>
      <c r="X575" s="34">
        <v>1530</v>
      </c>
      <c r="Y575" s="34">
        <v>6120</v>
      </c>
      <c r="Z575" s="34" t="s">
        <v>1600</v>
      </c>
      <c r="AA575" s="34">
        <f t="shared" si="25"/>
        <v>0</v>
      </c>
      <c r="AB575" s="34">
        <f t="shared" si="27"/>
        <v>0</v>
      </c>
      <c r="AC575" s="25" t="s">
        <v>1371</v>
      </c>
      <c r="AD575" s="25"/>
      <c r="AE575" s="35"/>
      <c r="AF575" s="35"/>
      <c r="AG575" s="35"/>
      <c r="AH575" s="35"/>
    </row>
    <row r="576" spans="1:34" ht="15.6">
      <c r="A576" s="23"/>
      <c r="B576" s="81"/>
      <c r="C576" s="25"/>
      <c r="D576" s="25"/>
      <c r="E576" s="25">
        <v>4</v>
      </c>
      <c r="F576" s="25">
        <v>1980</v>
      </c>
      <c r="G576" s="26">
        <f t="shared" si="24"/>
        <v>7920</v>
      </c>
      <c r="H576" s="27" t="s">
        <v>146</v>
      </c>
      <c r="I576" s="37">
        <v>45166</v>
      </c>
      <c r="J576" s="29">
        <v>1980</v>
      </c>
      <c r="K576" s="29">
        <v>19</v>
      </c>
      <c r="L576" s="56" t="s">
        <v>1410</v>
      </c>
      <c r="M576" s="31">
        <v>7920</v>
      </c>
      <c r="N576" s="31">
        <v>79</v>
      </c>
      <c r="O576" s="31"/>
      <c r="P576" s="32" t="s">
        <v>1557</v>
      </c>
      <c r="Q576" s="33">
        <v>8500060896</v>
      </c>
      <c r="R576" s="33">
        <v>5000912874</v>
      </c>
      <c r="S576" s="29">
        <v>1980</v>
      </c>
      <c r="T576" s="31" t="s">
        <v>87</v>
      </c>
      <c r="U576" s="31">
        <v>8500060895</v>
      </c>
      <c r="V576" s="31">
        <v>5000911778</v>
      </c>
      <c r="W576" s="50">
        <v>45187</v>
      </c>
      <c r="X576" s="34">
        <v>1980</v>
      </c>
      <c r="Y576" s="34">
        <v>7920</v>
      </c>
      <c r="Z576" s="34" t="s">
        <v>1606</v>
      </c>
      <c r="AA576" s="34">
        <f t="shared" si="25"/>
        <v>0</v>
      </c>
      <c r="AB576" s="34">
        <f t="shared" si="27"/>
        <v>0</v>
      </c>
      <c r="AC576" s="25" t="s">
        <v>1371</v>
      </c>
      <c r="AD576" s="25"/>
      <c r="AE576" s="35"/>
      <c r="AF576" s="35"/>
      <c r="AG576" s="35"/>
      <c r="AH576" s="35"/>
    </row>
    <row r="577" spans="1:34" ht="15.6">
      <c r="A577" s="23" t="s">
        <v>178</v>
      </c>
      <c r="B577" s="81">
        <v>6000024705</v>
      </c>
      <c r="C577" s="25" t="s">
        <v>843</v>
      </c>
      <c r="D577" s="40">
        <v>4923105002</v>
      </c>
      <c r="E577" s="25">
        <v>4</v>
      </c>
      <c r="F577" s="25">
        <v>100</v>
      </c>
      <c r="G577" s="26">
        <f t="shared" si="24"/>
        <v>400</v>
      </c>
      <c r="H577" s="27" t="s">
        <v>27</v>
      </c>
      <c r="I577" s="37">
        <v>45166</v>
      </c>
      <c r="J577" s="29">
        <v>100</v>
      </c>
      <c r="K577" s="29">
        <v>1</v>
      </c>
      <c r="L577" s="57">
        <v>45163</v>
      </c>
      <c r="M577" s="31">
        <v>400</v>
      </c>
      <c r="N577" s="31">
        <v>4</v>
      </c>
      <c r="O577" s="31" t="s">
        <v>922</v>
      </c>
      <c r="P577" s="32" t="s">
        <v>1557</v>
      </c>
      <c r="Q577" s="33">
        <v>8500060900</v>
      </c>
      <c r="R577" s="33">
        <v>5000912891</v>
      </c>
      <c r="S577" s="29">
        <v>100</v>
      </c>
      <c r="T577" s="31" t="s">
        <v>87</v>
      </c>
      <c r="U577" s="31">
        <v>8500060899</v>
      </c>
      <c r="V577" s="31">
        <v>5000904125</v>
      </c>
      <c r="W577" s="50">
        <v>45185</v>
      </c>
      <c r="X577" s="34">
        <v>100</v>
      </c>
      <c r="Y577" s="34">
        <v>400</v>
      </c>
      <c r="Z577" s="34" t="s">
        <v>1559</v>
      </c>
      <c r="AA577" s="34">
        <f t="shared" si="25"/>
        <v>0</v>
      </c>
      <c r="AB577" s="34">
        <f t="shared" si="27"/>
        <v>0</v>
      </c>
      <c r="AC577" s="25" t="s">
        <v>1371</v>
      </c>
      <c r="AD577" s="25"/>
      <c r="AE577" s="35"/>
      <c r="AF577" s="35"/>
      <c r="AG577" s="35"/>
      <c r="AH577" s="35"/>
    </row>
    <row r="578" spans="1:34" ht="15.6">
      <c r="A578" s="23"/>
      <c r="B578" s="81"/>
      <c r="C578" s="25"/>
      <c r="D578" s="25"/>
      <c r="E578" s="25">
        <v>4</v>
      </c>
      <c r="F578" s="25">
        <v>2970</v>
      </c>
      <c r="G578" s="26">
        <f t="shared" si="24"/>
        <v>11880</v>
      </c>
      <c r="H578" s="27" t="s">
        <v>46</v>
      </c>
      <c r="I578" s="37">
        <v>45167</v>
      </c>
      <c r="J578" s="29">
        <v>2970</v>
      </c>
      <c r="K578" s="29">
        <v>29</v>
      </c>
      <c r="L578" s="57">
        <v>45166</v>
      </c>
      <c r="M578" s="31">
        <v>11880</v>
      </c>
      <c r="N578" s="31">
        <v>119</v>
      </c>
      <c r="O578" s="31" t="s">
        <v>1411</v>
      </c>
      <c r="P578" s="32" t="s">
        <v>1557</v>
      </c>
      <c r="Q578" s="33">
        <v>8500060900</v>
      </c>
      <c r="R578" s="33">
        <v>5000915927</v>
      </c>
      <c r="S578" s="29">
        <v>2970</v>
      </c>
      <c r="T578" s="31" t="s">
        <v>87</v>
      </c>
      <c r="U578" s="31">
        <v>8500060899</v>
      </c>
      <c r="V578" s="31">
        <v>5000912295</v>
      </c>
      <c r="W578" s="50">
        <v>37880</v>
      </c>
      <c r="X578" s="34">
        <v>2970</v>
      </c>
      <c r="Y578" s="34">
        <v>11880</v>
      </c>
      <c r="Z578" s="34" t="s">
        <v>1599</v>
      </c>
      <c r="AA578" s="34">
        <f t="shared" si="25"/>
        <v>0</v>
      </c>
      <c r="AB578" s="34">
        <f t="shared" si="27"/>
        <v>0</v>
      </c>
      <c r="AC578" s="25" t="s">
        <v>1371</v>
      </c>
      <c r="AD578" s="25"/>
      <c r="AE578" s="35"/>
      <c r="AF578" s="35"/>
      <c r="AG578" s="35"/>
      <c r="AH578" s="35"/>
    </row>
    <row r="579" spans="1:34" ht="15.6">
      <c r="A579" s="23"/>
      <c r="B579" s="81"/>
      <c r="C579" s="25"/>
      <c r="D579" s="25"/>
      <c r="E579" s="25">
        <v>4</v>
      </c>
      <c r="F579" s="25">
        <v>1530</v>
      </c>
      <c r="G579" s="26">
        <f t="shared" si="24"/>
        <v>6120</v>
      </c>
      <c r="H579" s="27" t="s">
        <v>37</v>
      </c>
      <c r="I579" s="37">
        <v>45167</v>
      </c>
      <c r="J579" s="29">
        <v>1530</v>
      </c>
      <c r="K579" s="29">
        <v>15</v>
      </c>
      <c r="L579" s="57">
        <v>45163</v>
      </c>
      <c r="M579" s="31">
        <v>6120</v>
      </c>
      <c r="N579" s="31">
        <v>61</v>
      </c>
      <c r="O579" s="31"/>
      <c r="P579" s="32" t="s">
        <v>1557</v>
      </c>
      <c r="Q579" s="33">
        <v>8500060900</v>
      </c>
      <c r="R579" s="33">
        <v>5000915927</v>
      </c>
      <c r="S579" s="29">
        <v>1530</v>
      </c>
      <c r="T579" s="31" t="s">
        <v>87</v>
      </c>
      <c r="U579" s="31">
        <v>8500060899</v>
      </c>
      <c r="V579" s="31">
        <v>5000904125</v>
      </c>
      <c r="W579" s="50">
        <v>45188</v>
      </c>
      <c r="X579" s="34">
        <v>1530</v>
      </c>
      <c r="Y579" s="34">
        <v>6120</v>
      </c>
      <c r="Z579" s="34" t="s">
        <v>1501</v>
      </c>
      <c r="AA579" s="34">
        <f t="shared" si="25"/>
        <v>0</v>
      </c>
      <c r="AB579" s="34">
        <f t="shared" si="27"/>
        <v>0</v>
      </c>
      <c r="AC579" s="25" t="s">
        <v>1371</v>
      </c>
      <c r="AD579" s="25"/>
      <c r="AE579" s="35"/>
      <c r="AF579" s="35"/>
      <c r="AG579" s="35"/>
      <c r="AH579" s="35"/>
    </row>
    <row r="580" spans="1:34" ht="15.6">
      <c r="A580" s="23"/>
      <c r="B580" s="81"/>
      <c r="C580" s="25"/>
      <c r="D580" s="25"/>
      <c r="E580" s="25">
        <v>4</v>
      </c>
      <c r="F580" s="25">
        <v>1980</v>
      </c>
      <c r="G580" s="26">
        <f t="shared" si="24"/>
        <v>7920</v>
      </c>
      <c r="H580" s="27" t="s">
        <v>146</v>
      </c>
      <c r="I580" s="37">
        <v>45167</v>
      </c>
      <c r="J580" s="29">
        <v>1980</v>
      </c>
      <c r="K580" s="29">
        <v>19</v>
      </c>
      <c r="L580" s="57">
        <v>45166</v>
      </c>
      <c r="M580" s="31">
        <v>7920</v>
      </c>
      <c r="N580" s="31">
        <v>79</v>
      </c>
      <c r="O580" s="31" t="s">
        <v>846</v>
      </c>
      <c r="P580" s="32" t="s">
        <v>1557</v>
      </c>
      <c r="Q580" s="33">
        <v>8500060900</v>
      </c>
      <c r="R580" s="33">
        <v>5000915927</v>
      </c>
      <c r="S580" s="29">
        <v>1980</v>
      </c>
      <c r="T580" s="31" t="s">
        <v>87</v>
      </c>
      <c r="U580" s="31">
        <v>8500060899</v>
      </c>
      <c r="V580" s="31">
        <v>5000912295</v>
      </c>
      <c r="W580" s="50">
        <v>45192</v>
      </c>
      <c r="X580" s="34">
        <v>1980</v>
      </c>
      <c r="Y580" s="34">
        <v>7920</v>
      </c>
      <c r="Z580" s="34" t="s">
        <v>1502</v>
      </c>
      <c r="AA580" s="34">
        <f t="shared" si="25"/>
        <v>0</v>
      </c>
      <c r="AB580" s="34">
        <f t="shared" si="27"/>
        <v>0</v>
      </c>
      <c r="AC580" s="25" t="s">
        <v>1371</v>
      </c>
      <c r="AD580" s="25"/>
      <c r="AE580" s="35"/>
      <c r="AF580" s="35"/>
      <c r="AG580" s="35"/>
      <c r="AH580" s="35"/>
    </row>
    <row r="581" spans="1:34" ht="15.6">
      <c r="A581" s="23" t="s">
        <v>178</v>
      </c>
      <c r="B581" s="81">
        <v>6000024706</v>
      </c>
      <c r="C581" s="25" t="s">
        <v>1407</v>
      </c>
      <c r="D581" s="40">
        <v>4923105003</v>
      </c>
      <c r="E581" s="25">
        <v>4</v>
      </c>
      <c r="F581" s="25">
        <v>100</v>
      </c>
      <c r="G581" s="26">
        <f t="shared" si="24"/>
        <v>400</v>
      </c>
      <c r="H581" s="27" t="s">
        <v>27</v>
      </c>
      <c r="I581" s="37">
        <v>45166</v>
      </c>
      <c r="J581" s="29">
        <v>100</v>
      </c>
      <c r="K581" s="29">
        <v>1</v>
      </c>
      <c r="L581" s="57">
        <v>45163</v>
      </c>
      <c r="M581" s="31">
        <v>400</v>
      </c>
      <c r="N581" s="31">
        <v>4</v>
      </c>
      <c r="O581" s="31" t="s">
        <v>922</v>
      </c>
      <c r="P581" s="32" t="s">
        <v>1557</v>
      </c>
      <c r="Q581" s="33">
        <v>8500060905</v>
      </c>
      <c r="R581" s="33">
        <v>5000912902</v>
      </c>
      <c r="S581" s="29">
        <v>100</v>
      </c>
      <c r="T581" s="31" t="s">
        <v>87</v>
      </c>
      <c r="U581" s="31">
        <v>8500060904</v>
      </c>
      <c r="V581" s="31">
        <v>5000904116</v>
      </c>
      <c r="W581" s="50">
        <v>45187</v>
      </c>
      <c r="X581" s="34">
        <v>100</v>
      </c>
      <c r="Y581" s="34">
        <v>400</v>
      </c>
      <c r="Z581" s="34" t="s">
        <v>1559</v>
      </c>
      <c r="AA581" s="34">
        <f t="shared" si="25"/>
        <v>0</v>
      </c>
      <c r="AB581" s="34">
        <f t="shared" si="27"/>
        <v>0</v>
      </c>
      <c r="AC581" s="25" t="s">
        <v>1371</v>
      </c>
      <c r="AD581" s="25"/>
      <c r="AE581" s="35"/>
      <c r="AF581" s="35"/>
      <c r="AG581" s="35"/>
      <c r="AH581" s="35"/>
    </row>
    <row r="582" spans="1:34" ht="15.6">
      <c r="A582" s="23"/>
      <c r="B582" s="81"/>
      <c r="C582" s="25"/>
      <c r="D582" s="25"/>
      <c r="E582" s="25">
        <v>4</v>
      </c>
      <c r="F582" s="25">
        <v>2970</v>
      </c>
      <c r="G582" s="26">
        <f t="shared" si="24"/>
        <v>11880</v>
      </c>
      <c r="H582" s="27" t="s">
        <v>46</v>
      </c>
      <c r="I582" s="37">
        <v>45168</v>
      </c>
      <c r="J582" s="29">
        <v>2970</v>
      </c>
      <c r="K582" s="29">
        <v>29</v>
      </c>
      <c r="L582" s="56" t="s">
        <v>1410</v>
      </c>
      <c r="M582" s="31">
        <v>11880</v>
      </c>
      <c r="N582" s="31">
        <v>119</v>
      </c>
      <c r="O582" s="31"/>
      <c r="P582" s="32" t="s">
        <v>1557</v>
      </c>
      <c r="Q582" s="33">
        <v>8500060905</v>
      </c>
      <c r="R582" s="33">
        <v>5000923341</v>
      </c>
      <c r="S582" s="29">
        <v>2970</v>
      </c>
      <c r="T582" s="31" t="s">
        <v>87</v>
      </c>
      <c r="U582" s="31">
        <v>8500060904</v>
      </c>
      <c r="V582" s="31">
        <v>5000911775</v>
      </c>
      <c r="W582" s="50">
        <v>45192</v>
      </c>
      <c r="X582" s="34">
        <v>2970</v>
      </c>
      <c r="Y582" s="34">
        <v>11880</v>
      </c>
      <c r="Z582" s="34" t="s">
        <v>1599</v>
      </c>
      <c r="AA582" s="34">
        <f t="shared" si="25"/>
        <v>0</v>
      </c>
      <c r="AB582" s="34">
        <f t="shared" si="27"/>
        <v>0</v>
      </c>
      <c r="AC582" s="25" t="s">
        <v>1371</v>
      </c>
      <c r="AD582" s="25"/>
      <c r="AE582" s="35"/>
      <c r="AF582" s="35"/>
      <c r="AG582" s="35"/>
      <c r="AH582" s="35"/>
    </row>
    <row r="583" spans="1:34" ht="15.6">
      <c r="A583" s="23"/>
      <c r="B583" s="81"/>
      <c r="C583" s="25"/>
      <c r="D583" s="25"/>
      <c r="E583" s="25">
        <v>4</v>
      </c>
      <c r="F583" s="25">
        <v>1530</v>
      </c>
      <c r="G583" s="26">
        <f t="shared" si="24"/>
        <v>6120</v>
      </c>
      <c r="H583" s="27" t="s">
        <v>37</v>
      </c>
      <c r="I583" s="37">
        <v>45167</v>
      </c>
      <c r="J583" s="29">
        <v>1530</v>
      </c>
      <c r="K583" s="29">
        <v>15</v>
      </c>
      <c r="L583" s="57">
        <v>45163</v>
      </c>
      <c r="M583" s="31">
        <v>6120</v>
      </c>
      <c r="N583" s="31">
        <v>61</v>
      </c>
      <c r="O583" s="31"/>
      <c r="P583" s="32" t="s">
        <v>1557</v>
      </c>
      <c r="Q583" s="33">
        <v>8500060905</v>
      </c>
      <c r="R583" s="33">
        <v>5000915951</v>
      </c>
      <c r="S583" s="29">
        <v>1530</v>
      </c>
      <c r="T583" s="31" t="s">
        <v>87</v>
      </c>
      <c r="U583" s="31">
        <v>8500060904</v>
      </c>
      <c r="V583" s="31">
        <v>5000904116</v>
      </c>
      <c r="W583" s="50">
        <v>45192</v>
      </c>
      <c r="X583" s="34">
        <v>1530</v>
      </c>
      <c r="Y583" s="34">
        <v>6120</v>
      </c>
      <c r="Z583" s="34" t="s">
        <v>1600</v>
      </c>
      <c r="AA583" s="34">
        <f t="shared" si="25"/>
        <v>0</v>
      </c>
      <c r="AB583" s="34">
        <f t="shared" si="27"/>
        <v>0</v>
      </c>
      <c r="AC583" s="25" t="s">
        <v>1371</v>
      </c>
      <c r="AD583" s="25"/>
      <c r="AE583" s="35"/>
      <c r="AF583" s="35"/>
      <c r="AG583" s="35"/>
      <c r="AH583" s="35"/>
    </row>
    <row r="584" spans="1:34" ht="31.2">
      <c r="A584" s="23"/>
      <c r="B584" s="81"/>
      <c r="C584" s="25"/>
      <c r="D584" s="25"/>
      <c r="E584" s="25">
        <v>4</v>
      </c>
      <c r="F584" s="25">
        <v>1980</v>
      </c>
      <c r="G584" s="26">
        <f t="shared" si="24"/>
        <v>7920</v>
      </c>
      <c r="H584" s="27" t="s">
        <v>146</v>
      </c>
      <c r="I584" s="37">
        <v>45166</v>
      </c>
      <c r="J584" s="29">
        <v>1980</v>
      </c>
      <c r="K584" s="29">
        <v>19</v>
      </c>
      <c r="L584" s="57">
        <v>45164</v>
      </c>
      <c r="M584" s="31">
        <v>7920</v>
      </c>
      <c r="N584" s="31">
        <v>79</v>
      </c>
      <c r="O584" s="31" t="s">
        <v>876</v>
      </c>
      <c r="P584" s="32" t="s">
        <v>1557</v>
      </c>
      <c r="Q584" s="33">
        <v>8500060905</v>
      </c>
      <c r="R584" s="33">
        <v>5000912902</v>
      </c>
      <c r="S584" s="29">
        <v>1980</v>
      </c>
      <c r="T584" s="31" t="s">
        <v>87</v>
      </c>
      <c r="U584" s="31">
        <v>8500060904</v>
      </c>
      <c r="V584" s="31">
        <v>5000911776</v>
      </c>
      <c r="W584" s="50" t="s">
        <v>1680</v>
      </c>
      <c r="X584" s="34">
        <f>350+1630</f>
        <v>1980</v>
      </c>
      <c r="Y584" s="34">
        <v>7920</v>
      </c>
      <c r="Z584" s="34" t="s">
        <v>1470</v>
      </c>
      <c r="AA584" s="34">
        <f t="shared" si="25"/>
        <v>0</v>
      </c>
      <c r="AB584" s="34">
        <f t="shared" si="27"/>
        <v>0</v>
      </c>
      <c r="AC584" s="25" t="s">
        <v>1371</v>
      </c>
      <c r="AD584" s="25"/>
      <c r="AE584" s="35"/>
      <c r="AF584" s="35"/>
      <c r="AG584" s="35"/>
      <c r="AH584" s="35"/>
    </row>
    <row r="585" spans="1:34" ht="15.6">
      <c r="A585" s="23" t="s">
        <v>157</v>
      </c>
      <c r="B585" s="81">
        <v>6000024812</v>
      </c>
      <c r="C585" s="25" t="s">
        <v>838</v>
      </c>
      <c r="D585" s="25" t="s">
        <v>244</v>
      </c>
      <c r="E585" s="25"/>
      <c r="F585" s="25">
        <v>7</v>
      </c>
      <c r="G585" s="26">
        <v>20</v>
      </c>
      <c r="H585" s="27" t="s">
        <v>27</v>
      </c>
      <c r="I585" s="28"/>
      <c r="J585" s="29">
        <v>7</v>
      </c>
      <c r="K585" s="29"/>
      <c r="L585" s="56"/>
      <c r="M585" s="29">
        <v>20</v>
      </c>
      <c r="N585" s="31"/>
      <c r="O585" s="31"/>
      <c r="P585" s="460" t="s">
        <v>1437</v>
      </c>
      <c r="Q585" s="33">
        <v>8500062127</v>
      </c>
      <c r="R585" s="29">
        <v>5000990892</v>
      </c>
      <c r="S585" s="29">
        <v>7</v>
      </c>
      <c r="T585" s="31"/>
      <c r="U585" s="31">
        <v>8500062126</v>
      </c>
      <c r="V585" s="31">
        <v>5000990879</v>
      </c>
      <c r="W585" s="50"/>
      <c r="X585" s="34">
        <v>7</v>
      </c>
      <c r="Y585" s="34">
        <v>20</v>
      </c>
      <c r="Z585" s="34" t="s">
        <v>1734</v>
      </c>
      <c r="AA585" s="34">
        <f t="shared" si="25"/>
        <v>0</v>
      </c>
      <c r="AB585" s="34">
        <f t="shared" si="27"/>
        <v>0</v>
      </c>
      <c r="AC585" s="25" t="s">
        <v>689</v>
      </c>
      <c r="AD585" s="463" t="s">
        <v>1420</v>
      </c>
      <c r="AE585" s="35"/>
      <c r="AF585" s="35"/>
      <c r="AG585" s="35"/>
      <c r="AH585" s="35"/>
    </row>
    <row r="586" spans="1:34" ht="16.5" customHeight="1">
      <c r="A586" s="23" t="s">
        <v>157</v>
      </c>
      <c r="B586" s="81">
        <v>6000024812</v>
      </c>
      <c r="C586" s="25" t="s">
        <v>838</v>
      </c>
      <c r="D586" s="25" t="s">
        <v>244</v>
      </c>
      <c r="E586" s="25"/>
      <c r="F586" s="25">
        <v>4</v>
      </c>
      <c r="G586" s="26">
        <v>14</v>
      </c>
      <c r="H586" s="27" t="s">
        <v>46</v>
      </c>
      <c r="I586" s="28"/>
      <c r="J586" s="29">
        <v>4</v>
      </c>
      <c r="K586" s="29"/>
      <c r="L586" s="56"/>
      <c r="M586" s="29">
        <v>14</v>
      </c>
      <c r="N586" s="31"/>
      <c r="O586" s="31"/>
      <c r="P586" s="461"/>
      <c r="Q586" s="33">
        <v>8500062127</v>
      </c>
      <c r="R586" s="29">
        <v>5000990892</v>
      </c>
      <c r="S586" s="29">
        <v>4</v>
      </c>
      <c r="T586" s="31"/>
      <c r="U586" s="31">
        <v>8500062126</v>
      </c>
      <c r="V586" s="31">
        <v>5000990879</v>
      </c>
      <c r="W586" s="50"/>
      <c r="X586" s="34">
        <v>4</v>
      </c>
      <c r="Y586" s="34">
        <v>14</v>
      </c>
      <c r="Z586" s="34" t="s">
        <v>1734</v>
      </c>
      <c r="AA586" s="34">
        <f t="shared" si="25"/>
        <v>0</v>
      </c>
      <c r="AB586" s="34">
        <f t="shared" si="27"/>
        <v>0</v>
      </c>
      <c r="AC586" s="25" t="s">
        <v>1371</v>
      </c>
      <c r="AD586" s="464"/>
      <c r="AE586" s="35"/>
      <c r="AF586" s="35"/>
      <c r="AG586" s="35"/>
      <c r="AH586" s="35"/>
    </row>
    <row r="587" spans="1:34" ht="15" customHeight="1">
      <c r="A587" s="23" t="s">
        <v>1421</v>
      </c>
      <c r="B587" s="81">
        <v>6000014890</v>
      </c>
      <c r="C587" s="25" t="s">
        <v>1422</v>
      </c>
      <c r="D587" s="25" t="s">
        <v>244</v>
      </c>
      <c r="E587" s="25"/>
      <c r="F587" s="25">
        <v>5</v>
      </c>
      <c r="G587" s="26">
        <v>10</v>
      </c>
      <c r="H587" s="27" t="s">
        <v>27</v>
      </c>
      <c r="I587" s="28"/>
      <c r="J587" s="29">
        <v>5</v>
      </c>
      <c r="K587" s="29">
        <v>10</v>
      </c>
      <c r="L587" s="56"/>
      <c r="M587" s="31"/>
      <c r="N587" s="31"/>
      <c r="O587" s="31"/>
      <c r="P587" s="461"/>
      <c r="Q587" s="33"/>
      <c r="R587" s="33"/>
      <c r="S587" s="29">
        <v>5</v>
      </c>
      <c r="T587" s="31"/>
      <c r="U587" s="31"/>
      <c r="V587" s="31"/>
      <c r="W587" s="50"/>
      <c r="X587" s="34">
        <v>5</v>
      </c>
      <c r="Y587" s="34"/>
      <c r="Z587" s="34" t="s">
        <v>1734</v>
      </c>
      <c r="AA587" s="34">
        <f t="shared" si="25"/>
        <v>0</v>
      </c>
      <c r="AB587" s="34">
        <f t="shared" si="27"/>
        <v>0</v>
      </c>
      <c r="AC587" s="25" t="s">
        <v>1371</v>
      </c>
      <c r="AD587" s="463" t="s">
        <v>1423</v>
      </c>
      <c r="AE587" s="35"/>
      <c r="AF587" s="35"/>
      <c r="AG587" s="35"/>
      <c r="AH587" s="35"/>
    </row>
    <row r="588" spans="1:34" ht="15.6">
      <c r="A588" s="23" t="s">
        <v>1421</v>
      </c>
      <c r="B588" s="81">
        <v>6000014890</v>
      </c>
      <c r="C588" s="25" t="s">
        <v>1422</v>
      </c>
      <c r="D588" s="25" t="s">
        <v>244</v>
      </c>
      <c r="E588" s="25"/>
      <c r="F588" s="25">
        <v>9</v>
      </c>
      <c r="G588" s="26">
        <v>20</v>
      </c>
      <c r="H588" s="27" t="s">
        <v>46</v>
      </c>
      <c r="I588" s="28"/>
      <c r="J588" s="29">
        <v>9</v>
      </c>
      <c r="K588" s="29">
        <v>20</v>
      </c>
      <c r="L588" s="56"/>
      <c r="M588" s="31"/>
      <c r="N588" s="31"/>
      <c r="O588" s="31"/>
      <c r="P588" s="462"/>
      <c r="Q588" s="33"/>
      <c r="R588" s="33"/>
      <c r="S588" s="29">
        <v>9</v>
      </c>
      <c r="T588" s="31"/>
      <c r="U588" s="31"/>
      <c r="V588" s="31"/>
      <c r="W588" s="50"/>
      <c r="X588" s="34">
        <v>9</v>
      </c>
      <c r="Y588" s="34"/>
      <c r="Z588" s="34" t="s">
        <v>1734</v>
      </c>
      <c r="AA588" s="34">
        <f t="shared" ref="AA588:AA651" si="28">J588-X588</f>
        <v>0</v>
      </c>
      <c r="AB588" s="34">
        <f t="shared" si="27"/>
        <v>0</v>
      </c>
      <c r="AC588" s="25" t="s">
        <v>1371</v>
      </c>
      <c r="AD588" s="464"/>
      <c r="AE588" s="35"/>
      <c r="AF588" s="35"/>
      <c r="AG588" s="35"/>
      <c r="AH588" s="35"/>
    </row>
    <row r="589" spans="1:34" ht="31.2">
      <c r="A589" s="23" t="s">
        <v>382</v>
      </c>
      <c r="B589" s="81">
        <v>6000024739</v>
      </c>
      <c r="C589" s="25" t="s">
        <v>404</v>
      </c>
      <c r="D589" s="40" t="s">
        <v>1438</v>
      </c>
      <c r="E589" s="25">
        <v>10</v>
      </c>
      <c r="F589" s="25">
        <v>1740</v>
      </c>
      <c r="G589" s="26">
        <f t="shared" ref="G589:G609" si="29">F589*E589</f>
        <v>17400</v>
      </c>
      <c r="H589" s="27" t="s">
        <v>243</v>
      </c>
      <c r="I589" s="37">
        <v>45181</v>
      </c>
      <c r="J589" s="25">
        <v>1740</v>
      </c>
      <c r="K589" s="29">
        <v>17</v>
      </c>
      <c r="L589" s="57">
        <v>45168</v>
      </c>
      <c r="M589" s="31">
        <v>17400</v>
      </c>
      <c r="N589" s="31">
        <v>174</v>
      </c>
      <c r="O589" s="31" t="s">
        <v>1439</v>
      </c>
      <c r="P589" s="32" t="s">
        <v>1543</v>
      </c>
      <c r="Q589" s="33">
        <v>8500061274</v>
      </c>
      <c r="R589" s="33">
        <v>5000950376</v>
      </c>
      <c r="S589" s="25">
        <v>1740</v>
      </c>
      <c r="T589" s="31" t="s">
        <v>794</v>
      </c>
      <c r="U589" s="31">
        <v>8500061273</v>
      </c>
      <c r="V589" s="31">
        <v>5000950374</v>
      </c>
      <c r="W589" s="50">
        <v>45185</v>
      </c>
      <c r="X589" s="34">
        <v>1740</v>
      </c>
      <c r="Y589" s="34">
        <v>17400</v>
      </c>
      <c r="Z589" s="34" t="s">
        <v>800</v>
      </c>
      <c r="AA589" s="34">
        <f t="shared" si="28"/>
        <v>0</v>
      </c>
      <c r="AB589" s="34">
        <f t="shared" si="27"/>
        <v>0</v>
      </c>
      <c r="AC589" s="25" t="s">
        <v>1371</v>
      </c>
      <c r="AD589" s="25"/>
      <c r="AE589" s="35"/>
      <c r="AF589" s="35"/>
      <c r="AG589" s="35"/>
      <c r="AH589" s="35"/>
    </row>
    <row r="590" spans="1:34" ht="15.6">
      <c r="A590" s="23"/>
      <c r="B590" s="81"/>
      <c r="C590" s="25"/>
      <c r="D590" s="25"/>
      <c r="E590" s="25">
        <v>10</v>
      </c>
      <c r="F590" s="25">
        <v>1280</v>
      </c>
      <c r="G590" s="26">
        <f t="shared" si="29"/>
        <v>12800</v>
      </c>
      <c r="H590" s="27" t="s">
        <v>27</v>
      </c>
      <c r="I590" s="37">
        <v>45181</v>
      </c>
      <c r="J590" s="25">
        <v>1280</v>
      </c>
      <c r="K590" s="29">
        <v>15</v>
      </c>
      <c r="L590" s="57">
        <v>45169</v>
      </c>
      <c r="M590" s="31">
        <v>12800</v>
      </c>
      <c r="N590" s="31">
        <v>128</v>
      </c>
      <c r="O590" s="31" t="s">
        <v>876</v>
      </c>
      <c r="P590" s="32" t="s">
        <v>1543</v>
      </c>
      <c r="Q590" s="33">
        <v>8500061274</v>
      </c>
      <c r="R590" s="33">
        <v>5000950376</v>
      </c>
      <c r="S590" s="25">
        <v>1280</v>
      </c>
      <c r="T590" s="31" t="s">
        <v>794</v>
      </c>
      <c r="U590" s="31">
        <v>8500061273</v>
      </c>
      <c r="V590" s="31">
        <v>5000950374</v>
      </c>
      <c r="W590" s="50">
        <v>45185</v>
      </c>
      <c r="X590" s="34">
        <f>250+1030</f>
        <v>1280</v>
      </c>
      <c r="Y590" s="34">
        <f>2500+10300</f>
        <v>12800</v>
      </c>
      <c r="Z590" s="34" t="s">
        <v>800</v>
      </c>
      <c r="AA590" s="34">
        <f t="shared" si="28"/>
        <v>0</v>
      </c>
      <c r="AB590" s="34">
        <f t="shared" si="27"/>
        <v>0</v>
      </c>
      <c r="AC590" s="25" t="s">
        <v>1371</v>
      </c>
      <c r="AD590" s="25"/>
      <c r="AE590" s="35"/>
      <c r="AF590" s="35"/>
      <c r="AG590" s="35"/>
      <c r="AH590" s="35"/>
    </row>
    <row r="591" spans="1:34" ht="15.6">
      <c r="A591" s="23"/>
      <c r="B591" s="81"/>
      <c r="C591" s="25"/>
      <c r="D591" s="25"/>
      <c r="E591" s="25">
        <v>10</v>
      </c>
      <c r="F591" s="25">
        <v>340</v>
      </c>
      <c r="G591" s="26">
        <f t="shared" si="29"/>
        <v>3400</v>
      </c>
      <c r="H591" s="27" t="s">
        <v>46</v>
      </c>
      <c r="I591" s="37">
        <v>45181</v>
      </c>
      <c r="J591" s="25">
        <v>340</v>
      </c>
      <c r="K591" s="29">
        <v>5</v>
      </c>
      <c r="L591" s="57">
        <v>45169</v>
      </c>
      <c r="M591" s="31">
        <v>3400</v>
      </c>
      <c r="N591" s="31">
        <v>34</v>
      </c>
      <c r="O591" s="31" t="s">
        <v>857</v>
      </c>
      <c r="P591" s="32" t="s">
        <v>1543</v>
      </c>
      <c r="Q591" s="33">
        <v>8500061274</v>
      </c>
      <c r="R591" s="33">
        <v>5000950376</v>
      </c>
      <c r="S591" s="25">
        <v>340</v>
      </c>
      <c r="T591" s="31" t="s">
        <v>794</v>
      </c>
      <c r="U591" s="31">
        <v>8500061273</v>
      </c>
      <c r="V591" s="31">
        <v>5000950374</v>
      </c>
      <c r="W591" s="50">
        <v>45185</v>
      </c>
      <c r="X591" s="34">
        <v>340</v>
      </c>
      <c r="Y591" s="34">
        <v>3400</v>
      </c>
      <c r="Z591" s="34" t="s">
        <v>800</v>
      </c>
      <c r="AA591" s="34">
        <f t="shared" si="28"/>
        <v>0</v>
      </c>
      <c r="AB591" s="34">
        <f t="shared" si="27"/>
        <v>0</v>
      </c>
      <c r="AC591" s="25" t="s">
        <v>1371</v>
      </c>
      <c r="AD591" s="25"/>
      <c r="AE591" s="35"/>
      <c r="AF591" s="35"/>
      <c r="AG591" s="35"/>
      <c r="AH591" s="35"/>
    </row>
    <row r="592" spans="1:34" ht="15.6">
      <c r="A592" s="23"/>
      <c r="B592" s="81"/>
      <c r="C592" s="25"/>
      <c r="D592" s="25"/>
      <c r="E592" s="25">
        <v>10</v>
      </c>
      <c r="F592" s="25">
        <v>100</v>
      </c>
      <c r="G592" s="26">
        <f t="shared" si="29"/>
        <v>1000</v>
      </c>
      <c r="H592" s="27" t="s">
        <v>37</v>
      </c>
      <c r="I592" s="37">
        <v>45181</v>
      </c>
      <c r="J592" s="25">
        <v>100</v>
      </c>
      <c r="K592" s="29">
        <v>1</v>
      </c>
      <c r="L592" s="57">
        <v>45169</v>
      </c>
      <c r="M592" s="31">
        <v>1000</v>
      </c>
      <c r="N592" s="31">
        <v>10</v>
      </c>
      <c r="O592" s="31" t="s">
        <v>845</v>
      </c>
      <c r="P592" s="32" t="s">
        <v>1543</v>
      </c>
      <c r="Q592" s="33">
        <v>8500061274</v>
      </c>
      <c r="R592" s="33">
        <v>5000950376</v>
      </c>
      <c r="S592" s="25">
        <v>100</v>
      </c>
      <c r="T592" s="31" t="s">
        <v>794</v>
      </c>
      <c r="U592" s="31">
        <v>8500061273</v>
      </c>
      <c r="V592" s="31">
        <v>5000950374</v>
      </c>
      <c r="W592" s="50">
        <v>45185</v>
      </c>
      <c r="X592" s="34">
        <v>100</v>
      </c>
      <c r="Y592" s="34">
        <v>1000</v>
      </c>
      <c r="Z592" s="34" t="s">
        <v>800</v>
      </c>
      <c r="AA592" s="34">
        <f t="shared" si="28"/>
        <v>0</v>
      </c>
      <c r="AB592" s="34">
        <f t="shared" si="27"/>
        <v>0</v>
      </c>
      <c r="AC592" s="25" t="s">
        <v>1371</v>
      </c>
      <c r="AD592" s="25"/>
      <c r="AE592" s="35"/>
      <c r="AF592" s="35"/>
      <c r="AG592" s="35"/>
      <c r="AH592" s="35"/>
    </row>
    <row r="593" spans="1:34" ht="31.2">
      <c r="A593" s="23" t="s">
        <v>382</v>
      </c>
      <c r="B593" s="81">
        <v>6000024739</v>
      </c>
      <c r="C593" s="25" t="s">
        <v>394</v>
      </c>
      <c r="D593" s="40" t="s">
        <v>1438</v>
      </c>
      <c r="E593" s="25">
        <v>10</v>
      </c>
      <c r="F593" s="25">
        <v>100</v>
      </c>
      <c r="G593" s="26">
        <f t="shared" si="29"/>
        <v>1000</v>
      </c>
      <c r="H593" s="27" t="s">
        <v>243</v>
      </c>
      <c r="I593" s="37">
        <v>45181</v>
      </c>
      <c r="J593" s="25">
        <v>100</v>
      </c>
      <c r="K593" s="29">
        <v>2</v>
      </c>
      <c r="L593" s="57">
        <v>45169</v>
      </c>
      <c r="M593" s="31">
        <v>1000</v>
      </c>
      <c r="N593" s="31">
        <v>10</v>
      </c>
      <c r="O593" s="31" t="s">
        <v>1440</v>
      </c>
      <c r="P593" s="32" t="s">
        <v>1543</v>
      </c>
      <c r="Q593" s="33">
        <v>8500061276</v>
      </c>
      <c r="R593" s="33">
        <v>5000950377</v>
      </c>
      <c r="S593" s="25">
        <v>100</v>
      </c>
      <c r="T593" s="31" t="s">
        <v>794</v>
      </c>
      <c r="U593" s="31">
        <v>8500061275</v>
      </c>
      <c r="V593" s="31">
        <v>5000950375</v>
      </c>
      <c r="W593" s="50">
        <v>45187</v>
      </c>
      <c r="X593" s="34">
        <v>100</v>
      </c>
      <c r="Y593" s="34">
        <v>1000</v>
      </c>
      <c r="Z593" s="34" t="s">
        <v>800</v>
      </c>
      <c r="AA593" s="34">
        <f t="shared" si="28"/>
        <v>0</v>
      </c>
      <c r="AB593" s="34">
        <f t="shared" si="27"/>
        <v>0</v>
      </c>
      <c r="AC593" s="25" t="s">
        <v>1371</v>
      </c>
      <c r="AD593" s="25"/>
      <c r="AE593" s="35"/>
      <c r="AF593" s="35"/>
      <c r="AG593" s="35"/>
      <c r="AH593" s="35"/>
    </row>
    <row r="594" spans="1:34" ht="15.6">
      <c r="A594" s="23"/>
      <c r="B594" s="81"/>
      <c r="C594" s="25"/>
      <c r="D594" s="25"/>
      <c r="E594" s="25">
        <v>10</v>
      </c>
      <c r="F594" s="25">
        <v>130</v>
      </c>
      <c r="G594" s="26">
        <f t="shared" si="29"/>
        <v>1300</v>
      </c>
      <c r="H594" s="27" t="s">
        <v>27</v>
      </c>
      <c r="I594" s="37">
        <v>45181</v>
      </c>
      <c r="J594" s="25">
        <v>130</v>
      </c>
      <c r="K594" s="29">
        <v>1</v>
      </c>
      <c r="L594" s="57">
        <v>45169</v>
      </c>
      <c r="M594" s="31">
        <v>1300</v>
      </c>
      <c r="N594" s="31">
        <v>13</v>
      </c>
      <c r="O594" s="31" t="s">
        <v>1440</v>
      </c>
      <c r="P594" s="32" t="s">
        <v>1543</v>
      </c>
      <c r="Q594" s="33">
        <v>8500061276</v>
      </c>
      <c r="R594" s="33">
        <v>5000950377</v>
      </c>
      <c r="S594" s="25">
        <v>130</v>
      </c>
      <c r="T594" s="31" t="s">
        <v>794</v>
      </c>
      <c r="U594" s="31">
        <v>8500061275</v>
      </c>
      <c r="V594" s="31">
        <v>5000950375</v>
      </c>
      <c r="W594" s="50">
        <v>45187</v>
      </c>
      <c r="X594" s="34">
        <v>130</v>
      </c>
      <c r="Y594" s="34">
        <v>1300</v>
      </c>
      <c r="Z594" s="34" t="s">
        <v>800</v>
      </c>
      <c r="AA594" s="34">
        <f t="shared" si="28"/>
        <v>0</v>
      </c>
      <c r="AB594" s="34">
        <f t="shared" si="27"/>
        <v>0</v>
      </c>
      <c r="AC594" s="25" t="s">
        <v>1371</v>
      </c>
      <c r="AD594" s="25"/>
      <c r="AE594" s="35"/>
      <c r="AF594" s="35"/>
      <c r="AG594" s="35"/>
      <c r="AH594" s="35"/>
    </row>
    <row r="595" spans="1:34" ht="15.6">
      <c r="A595" s="23" t="s">
        <v>1441</v>
      </c>
      <c r="B595" s="81">
        <v>6000024816</v>
      </c>
      <c r="C595" s="25" t="s">
        <v>1442</v>
      </c>
      <c r="D595" s="40">
        <v>6000024816</v>
      </c>
      <c r="E595" s="25">
        <v>10</v>
      </c>
      <c r="F595" s="25">
        <v>350</v>
      </c>
      <c r="G595" s="26">
        <f t="shared" si="29"/>
        <v>3500</v>
      </c>
      <c r="H595" s="27" t="s">
        <v>27</v>
      </c>
      <c r="I595" s="37">
        <v>45169</v>
      </c>
      <c r="J595" s="29">
        <v>350</v>
      </c>
      <c r="K595" s="29">
        <v>3</v>
      </c>
      <c r="L595" s="57">
        <v>45178</v>
      </c>
      <c r="M595" s="31">
        <v>3500</v>
      </c>
      <c r="N595" s="31">
        <v>50</v>
      </c>
      <c r="O595" s="31" t="s">
        <v>1509</v>
      </c>
      <c r="P595" s="32" t="s">
        <v>1557</v>
      </c>
      <c r="Q595" s="33">
        <v>8500061131</v>
      </c>
      <c r="R595" s="33">
        <v>5000927047</v>
      </c>
      <c r="S595" s="29">
        <v>350</v>
      </c>
      <c r="T595" s="31" t="s">
        <v>655</v>
      </c>
      <c r="U595" s="31">
        <v>8500061130</v>
      </c>
      <c r="V595" s="31">
        <v>5000958233</v>
      </c>
      <c r="W595" s="50">
        <v>45195</v>
      </c>
      <c r="X595" s="34">
        <v>350</v>
      </c>
      <c r="Y595" s="34">
        <v>3500</v>
      </c>
      <c r="Z595" s="34" t="s">
        <v>800</v>
      </c>
      <c r="AA595" s="34">
        <f t="shared" si="28"/>
        <v>0</v>
      </c>
      <c r="AB595" s="34">
        <f t="shared" si="27"/>
        <v>0</v>
      </c>
      <c r="AC595" s="25" t="s">
        <v>1371</v>
      </c>
      <c r="AD595" s="25"/>
      <c r="AE595" s="35"/>
      <c r="AF595" s="35"/>
      <c r="AG595" s="35"/>
      <c r="AH595" s="35"/>
    </row>
    <row r="596" spans="1:34" ht="15" customHeight="1">
      <c r="A596" s="23"/>
      <c r="B596" s="81"/>
      <c r="C596" s="25"/>
      <c r="D596" s="40"/>
      <c r="E596" s="25">
        <v>10</v>
      </c>
      <c r="F596" s="25">
        <v>100</v>
      </c>
      <c r="G596" s="26">
        <f t="shared" si="29"/>
        <v>1000</v>
      </c>
      <c r="H596" s="27" t="s">
        <v>37</v>
      </c>
      <c r="I596" s="37">
        <v>45169</v>
      </c>
      <c r="J596" s="29">
        <v>100</v>
      </c>
      <c r="K596" s="29">
        <v>1</v>
      </c>
      <c r="L596" s="57">
        <v>45178</v>
      </c>
      <c r="M596" s="31">
        <v>1000</v>
      </c>
      <c r="N596" s="31">
        <v>20</v>
      </c>
      <c r="O596" s="31" t="s">
        <v>1509</v>
      </c>
      <c r="P596" s="32" t="s">
        <v>1557</v>
      </c>
      <c r="Q596" s="33">
        <v>8500061131</v>
      </c>
      <c r="R596" s="33">
        <v>5000927047</v>
      </c>
      <c r="S596" s="29">
        <v>100</v>
      </c>
      <c r="T596" s="31" t="s">
        <v>655</v>
      </c>
      <c r="U596" s="31">
        <v>8500061130</v>
      </c>
      <c r="V596" s="31">
        <v>5000958233</v>
      </c>
      <c r="W596" s="50">
        <v>48483</v>
      </c>
      <c r="X596" s="34">
        <v>100</v>
      </c>
      <c r="Y596" s="34">
        <v>1000</v>
      </c>
      <c r="Z596" s="34" t="s">
        <v>800</v>
      </c>
      <c r="AA596" s="34">
        <f t="shared" si="28"/>
        <v>0</v>
      </c>
      <c r="AB596" s="34">
        <f t="shared" si="27"/>
        <v>0</v>
      </c>
      <c r="AC596" s="25" t="s">
        <v>1371</v>
      </c>
      <c r="AD596" s="25"/>
      <c r="AE596" s="35"/>
      <c r="AF596" s="35"/>
      <c r="AG596" s="35"/>
      <c r="AH596" s="35"/>
    </row>
    <row r="597" spans="1:34" ht="15.6">
      <c r="A597" s="23" t="s">
        <v>1441</v>
      </c>
      <c r="B597" s="81">
        <v>6000024816</v>
      </c>
      <c r="C597" s="25" t="s">
        <v>1443</v>
      </c>
      <c r="D597" s="40">
        <v>6000024816</v>
      </c>
      <c r="E597" s="25">
        <v>10</v>
      </c>
      <c r="F597" s="25">
        <v>100</v>
      </c>
      <c r="G597" s="26">
        <f t="shared" si="29"/>
        <v>1000</v>
      </c>
      <c r="H597" s="27" t="s">
        <v>27</v>
      </c>
      <c r="I597" s="37">
        <v>45169</v>
      </c>
      <c r="J597" s="29">
        <v>100</v>
      </c>
      <c r="K597" s="29">
        <v>1</v>
      </c>
      <c r="L597" s="57">
        <v>45178</v>
      </c>
      <c r="M597" s="31">
        <v>1000</v>
      </c>
      <c r="N597" s="31">
        <v>20</v>
      </c>
      <c r="O597" s="31" t="s">
        <v>1509</v>
      </c>
      <c r="P597" s="32" t="s">
        <v>1557</v>
      </c>
      <c r="Q597" s="33">
        <v>8500061133</v>
      </c>
      <c r="R597" s="33">
        <v>5000927048</v>
      </c>
      <c r="S597" s="29">
        <v>100</v>
      </c>
      <c r="T597" s="31" t="s">
        <v>655</v>
      </c>
      <c r="U597" s="31">
        <v>8500061132</v>
      </c>
      <c r="V597" s="31">
        <v>5000958328</v>
      </c>
      <c r="W597" s="50">
        <v>45196</v>
      </c>
      <c r="X597" s="34">
        <v>100</v>
      </c>
      <c r="Y597" s="34">
        <v>1000</v>
      </c>
      <c r="Z597" s="34" t="s">
        <v>800</v>
      </c>
      <c r="AA597" s="34">
        <f t="shared" si="28"/>
        <v>0</v>
      </c>
      <c r="AB597" s="34">
        <f t="shared" si="27"/>
        <v>0</v>
      </c>
      <c r="AC597" s="25" t="s">
        <v>1371</v>
      </c>
      <c r="AD597" s="25"/>
      <c r="AE597" s="35"/>
      <c r="AF597" s="35"/>
      <c r="AG597" s="35"/>
      <c r="AH597" s="35"/>
    </row>
    <row r="598" spans="1:34" ht="15.6">
      <c r="A598" s="23"/>
      <c r="B598" s="81"/>
      <c r="C598" s="25"/>
      <c r="D598" s="25"/>
      <c r="E598" s="25">
        <v>10</v>
      </c>
      <c r="F598" s="25">
        <v>100</v>
      </c>
      <c r="G598" s="26">
        <f t="shared" si="29"/>
        <v>1000</v>
      </c>
      <c r="H598" s="27" t="s">
        <v>46</v>
      </c>
      <c r="I598" s="37">
        <v>45169</v>
      </c>
      <c r="J598" s="29">
        <v>100</v>
      </c>
      <c r="K598" s="29">
        <v>1</v>
      </c>
      <c r="L598" s="57">
        <v>45178</v>
      </c>
      <c r="M598" s="31">
        <v>1000</v>
      </c>
      <c r="N598" s="31">
        <v>20</v>
      </c>
      <c r="O598" s="31" t="s">
        <v>1509</v>
      </c>
      <c r="P598" s="32" t="s">
        <v>1557</v>
      </c>
      <c r="Q598" s="33">
        <v>8500061133</v>
      </c>
      <c r="R598" s="33">
        <v>5000927048</v>
      </c>
      <c r="S598" s="29">
        <v>100</v>
      </c>
      <c r="T598" s="31" t="s">
        <v>655</v>
      </c>
      <c r="U598" s="31">
        <v>8500061132</v>
      </c>
      <c r="V598" s="31">
        <v>5000958328</v>
      </c>
      <c r="W598" s="50">
        <v>45188</v>
      </c>
      <c r="X598" s="34">
        <v>100</v>
      </c>
      <c r="Y598" s="34">
        <v>1000</v>
      </c>
      <c r="Z598" s="34" t="s">
        <v>1608</v>
      </c>
      <c r="AA598" s="34">
        <f t="shared" si="28"/>
        <v>0</v>
      </c>
      <c r="AB598" s="34">
        <f t="shared" si="27"/>
        <v>0</v>
      </c>
      <c r="AC598" s="25" t="s">
        <v>1371</v>
      </c>
      <c r="AD598" s="25"/>
      <c r="AE598" s="35"/>
      <c r="AF598" s="35"/>
      <c r="AG598" s="35"/>
      <c r="AH598" s="35"/>
    </row>
    <row r="599" spans="1:34" ht="27.6">
      <c r="A599" s="23" t="s">
        <v>1478</v>
      </c>
      <c r="B599" s="81">
        <v>6000024945</v>
      </c>
      <c r="C599" s="44" t="s">
        <v>1476</v>
      </c>
      <c r="D599" s="44" t="s">
        <v>1477</v>
      </c>
      <c r="E599" s="25">
        <v>10</v>
      </c>
      <c r="F599" s="25">
        <v>100</v>
      </c>
      <c r="G599" s="26">
        <f t="shared" si="29"/>
        <v>1000</v>
      </c>
      <c r="H599" s="27" t="s">
        <v>243</v>
      </c>
      <c r="I599" s="37">
        <v>45183</v>
      </c>
      <c r="J599" s="29">
        <v>100</v>
      </c>
      <c r="K599" s="29">
        <f>8+1</f>
        <v>9</v>
      </c>
      <c r="L599" s="57">
        <v>45184</v>
      </c>
      <c r="M599" s="31">
        <v>1000</v>
      </c>
      <c r="N599" s="31">
        <v>5</v>
      </c>
      <c r="O599" s="31" t="s">
        <v>1578</v>
      </c>
      <c r="P599" s="32" t="s">
        <v>28</v>
      </c>
      <c r="Q599" s="33">
        <v>8500061410</v>
      </c>
      <c r="R599" s="33">
        <v>5000979277</v>
      </c>
      <c r="S599" s="29">
        <v>100</v>
      </c>
      <c r="T599" s="31" t="s">
        <v>152</v>
      </c>
      <c r="U599" s="31">
        <v>8500061409</v>
      </c>
      <c r="V599" s="31">
        <v>5000980275</v>
      </c>
      <c r="W599" s="50">
        <v>45203</v>
      </c>
      <c r="X599" s="34">
        <v>100</v>
      </c>
      <c r="Y599" s="34">
        <v>1000</v>
      </c>
      <c r="Z599" s="34" t="s">
        <v>800</v>
      </c>
      <c r="AA599" s="34">
        <f t="shared" si="28"/>
        <v>0</v>
      </c>
      <c r="AB599" s="34">
        <f t="shared" si="27"/>
        <v>0</v>
      </c>
      <c r="AC599" s="25" t="s">
        <v>1371</v>
      </c>
      <c r="AD599" s="25"/>
      <c r="AE599" s="35"/>
      <c r="AF599" s="35"/>
      <c r="AG599" s="35"/>
      <c r="AH599" s="35"/>
    </row>
    <row r="600" spans="1:34" ht="15.6">
      <c r="A600" s="23"/>
      <c r="B600" s="81"/>
      <c r="C600" s="25"/>
      <c r="D600" s="25"/>
      <c r="E600" s="25">
        <v>10</v>
      </c>
      <c r="F600" s="25">
        <v>551</v>
      </c>
      <c r="G600" s="26">
        <f t="shared" si="29"/>
        <v>5510</v>
      </c>
      <c r="H600" s="27" t="s">
        <v>27</v>
      </c>
      <c r="I600" s="37">
        <v>45184</v>
      </c>
      <c r="J600" s="29">
        <v>551</v>
      </c>
      <c r="K600" s="29">
        <f>5+9</f>
        <v>14</v>
      </c>
      <c r="L600" s="57">
        <v>45184</v>
      </c>
      <c r="M600" s="31">
        <v>5510</v>
      </c>
      <c r="N600" s="31">
        <v>28</v>
      </c>
      <c r="O600" s="31" t="s">
        <v>795</v>
      </c>
      <c r="P600" s="32" t="s">
        <v>28</v>
      </c>
      <c r="Q600" s="33">
        <v>8500061410</v>
      </c>
      <c r="R600" s="33">
        <v>5000983090</v>
      </c>
      <c r="S600" s="29">
        <v>551</v>
      </c>
      <c r="T600" s="31" t="s">
        <v>152</v>
      </c>
      <c r="U600" s="31">
        <v>8500061409</v>
      </c>
      <c r="V600" s="31">
        <v>5000980275</v>
      </c>
      <c r="W600" s="50">
        <v>45203</v>
      </c>
      <c r="X600" s="34">
        <v>551</v>
      </c>
      <c r="Y600" s="34">
        <v>5510</v>
      </c>
      <c r="Z600" s="34" t="s">
        <v>800</v>
      </c>
      <c r="AA600" s="34">
        <f t="shared" si="28"/>
        <v>0</v>
      </c>
      <c r="AB600" s="34">
        <f t="shared" si="27"/>
        <v>0</v>
      </c>
      <c r="AC600" s="25" t="s">
        <v>1371</v>
      </c>
      <c r="AD600" s="25"/>
      <c r="AE600" s="35"/>
      <c r="AF600" s="35"/>
      <c r="AG600" s="35"/>
      <c r="AH600" s="35"/>
    </row>
    <row r="601" spans="1:34" ht="15.6">
      <c r="A601" s="23"/>
      <c r="B601" s="81"/>
      <c r="C601" s="25"/>
      <c r="D601" s="25"/>
      <c r="E601" s="25">
        <v>10</v>
      </c>
      <c r="F601" s="25">
        <v>500</v>
      </c>
      <c r="G601" s="26">
        <f t="shared" si="29"/>
        <v>5000</v>
      </c>
      <c r="H601" s="27" t="s">
        <v>46</v>
      </c>
      <c r="I601" s="37">
        <v>45183</v>
      </c>
      <c r="J601" s="29">
        <v>500</v>
      </c>
      <c r="K601" s="29">
        <v>13</v>
      </c>
      <c r="L601" s="57">
        <v>45184</v>
      </c>
      <c r="M601" s="31">
        <v>5000</v>
      </c>
      <c r="N601" s="31">
        <v>25</v>
      </c>
      <c r="O601" s="31" t="s">
        <v>1424</v>
      </c>
      <c r="P601" s="32" t="s">
        <v>28</v>
      </c>
      <c r="Q601" s="33">
        <v>8500061410</v>
      </c>
      <c r="R601" s="33">
        <v>5000979277</v>
      </c>
      <c r="S601" s="29">
        <v>500</v>
      </c>
      <c r="T601" s="31" t="s">
        <v>152</v>
      </c>
      <c r="U601" s="31">
        <v>8500061409</v>
      </c>
      <c r="V601" s="31">
        <v>5000980275</v>
      </c>
      <c r="W601" s="50">
        <v>45199</v>
      </c>
      <c r="X601" s="34">
        <v>500</v>
      </c>
      <c r="Y601" s="34">
        <v>5000</v>
      </c>
      <c r="Z601" s="34" t="s">
        <v>800</v>
      </c>
      <c r="AA601" s="34">
        <f t="shared" si="28"/>
        <v>0</v>
      </c>
      <c r="AB601" s="34">
        <f t="shared" si="27"/>
        <v>0</v>
      </c>
      <c r="AC601" s="25" t="s">
        <v>1371</v>
      </c>
      <c r="AD601" s="35"/>
      <c r="AE601" s="35"/>
      <c r="AF601" s="35"/>
      <c r="AG601" s="35"/>
      <c r="AH601" s="35"/>
    </row>
    <row r="602" spans="1:34" ht="15.6">
      <c r="A602" s="23"/>
      <c r="B602" s="81"/>
      <c r="C602" s="25"/>
      <c r="D602" s="25"/>
      <c r="E602" s="25">
        <v>10</v>
      </c>
      <c r="F602" s="25">
        <v>100</v>
      </c>
      <c r="G602" s="26">
        <f t="shared" si="29"/>
        <v>1000</v>
      </c>
      <c r="H602" s="27" t="s">
        <v>37</v>
      </c>
      <c r="I602" s="37">
        <v>45183</v>
      </c>
      <c r="J602" s="29">
        <v>100</v>
      </c>
      <c r="K602" s="29">
        <v>7</v>
      </c>
      <c r="L602" s="57">
        <v>45184</v>
      </c>
      <c r="M602" s="31">
        <v>1000</v>
      </c>
      <c r="N602" s="31">
        <v>5</v>
      </c>
      <c r="O602" s="31" t="s">
        <v>1556</v>
      </c>
      <c r="P602" s="32" t="s">
        <v>28</v>
      </c>
      <c r="Q602" s="33">
        <v>8500061410</v>
      </c>
      <c r="R602" s="33">
        <v>5000979277</v>
      </c>
      <c r="S602" s="29">
        <v>100</v>
      </c>
      <c r="T602" s="31" t="s">
        <v>152</v>
      </c>
      <c r="U602" s="31">
        <v>8500061409</v>
      </c>
      <c r="V602" s="31">
        <v>5000980275</v>
      </c>
      <c r="W602" s="50">
        <v>45203</v>
      </c>
      <c r="X602" s="34">
        <v>100</v>
      </c>
      <c r="Y602" s="34">
        <v>1000</v>
      </c>
      <c r="Z602" s="34" t="s">
        <v>800</v>
      </c>
      <c r="AA602" s="34">
        <f t="shared" si="28"/>
        <v>0</v>
      </c>
      <c r="AB602" s="34">
        <f t="shared" si="27"/>
        <v>0</v>
      </c>
      <c r="AC602" s="25" t="s">
        <v>1371</v>
      </c>
      <c r="AD602" s="35"/>
      <c r="AE602" s="35"/>
      <c r="AF602" s="35"/>
      <c r="AG602" s="35"/>
      <c r="AH602" s="35"/>
    </row>
    <row r="603" spans="1:34" ht="27.6">
      <c r="A603" s="23" t="s">
        <v>1481</v>
      </c>
      <c r="B603" s="81">
        <v>6000024660</v>
      </c>
      <c r="C603" s="44" t="s">
        <v>1480</v>
      </c>
      <c r="D603" s="44" t="s">
        <v>1479</v>
      </c>
      <c r="E603" s="25">
        <v>10</v>
      </c>
      <c r="F603" s="25">
        <v>550</v>
      </c>
      <c r="G603" s="26">
        <f t="shared" si="29"/>
        <v>5500</v>
      </c>
      <c r="H603" s="27" t="s">
        <v>27</v>
      </c>
      <c r="I603" s="37">
        <v>45181</v>
      </c>
      <c r="J603" s="29">
        <v>550</v>
      </c>
      <c r="K603" s="29">
        <v>16</v>
      </c>
      <c r="L603" s="57">
        <v>45183</v>
      </c>
      <c r="M603" s="31">
        <f>5300+200</f>
        <v>5500</v>
      </c>
      <c r="N603" s="31">
        <v>63</v>
      </c>
      <c r="O603" s="31" t="s">
        <v>1592</v>
      </c>
      <c r="P603" s="32" t="s">
        <v>28</v>
      </c>
      <c r="Q603" s="33">
        <v>8500061206</v>
      </c>
      <c r="R603" s="33">
        <v>5000971482</v>
      </c>
      <c r="S603" s="29">
        <v>550</v>
      </c>
      <c r="T603" s="31" t="s">
        <v>1558</v>
      </c>
      <c r="U603" s="31">
        <v>8500061203</v>
      </c>
      <c r="V603" s="31">
        <v>5000979361</v>
      </c>
      <c r="W603" s="50">
        <v>45185</v>
      </c>
      <c r="X603" s="34">
        <v>550</v>
      </c>
      <c r="Y603" s="34">
        <v>5500</v>
      </c>
      <c r="Z603" s="34" t="s">
        <v>800</v>
      </c>
      <c r="AA603" s="34">
        <f t="shared" si="28"/>
        <v>0</v>
      </c>
      <c r="AB603" s="34">
        <f t="shared" si="27"/>
        <v>0</v>
      </c>
      <c r="AC603" s="25" t="s">
        <v>1371</v>
      </c>
      <c r="AD603" s="35"/>
      <c r="AE603" s="35"/>
      <c r="AF603" s="35"/>
      <c r="AG603" s="35"/>
      <c r="AH603" s="35"/>
    </row>
    <row r="604" spans="1:34" ht="28.5" customHeight="1">
      <c r="A604" s="23"/>
      <c r="B604" s="81"/>
      <c r="C604" s="25"/>
      <c r="D604" s="25"/>
      <c r="E604" s="25">
        <v>10</v>
      </c>
      <c r="F604" s="25">
        <v>1410</v>
      </c>
      <c r="G604" s="26">
        <f t="shared" si="29"/>
        <v>14100</v>
      </c>
      <c r="H604" s="27" t="s">
        <v>46</v>
      </c>
      <c r="I604" s="37">
        <v>45178</v>
      </c>
      <c r="J604" s="29">
        <v>1410</v>
      </c>
      <c r="K604" s="29">
        <v>20</v>
      </c>
      <c r="L604" s="57" t="s">
        <v>1562</v>
      </c>
      <c r="M604" s="31">
        <f>4000+10100</f>
        <v>14100</v>
      </c>
      <c r="N604" s="31">
        <v>149</v>
      </c>
      <c r="O604" s="31"/>
      <c r="P604" s="32" t="s">
        <v>28</v>
      </c>
      <c r="Q604" s="33">
        <v>8500061206</v>
      </c>
      <c r="R604" s="33">
        <v>5000964228</v>
      </c>
      <c r="S604" s="29">
        <v>1410</v>
      </c>
      <c r="T604" s="31" t="s">
        <v>1558</v>
      </c>
      <c r="U604" s="31">
        <v>8500061203</v>
      </c>
      <c r="V604" s="31">
        <v>5000975461</v>
      </c>
      <c r="W604" s="50" t="s">
        <v>1601</v>
      </c>
      <c r="X604" s="34">
        <f>400+400+610</f>
        <v>1410</v>
      </c>
      <c r="Y604" s="34">
        <f>4000+4000+6100</f>
        <v>14100</v>
      </c>
      <c r="Z604" s="34" t="s">
        <v>267</v>
      </c>
      <c r="AA604" s="34">
        <f t="shared" si="28"/>
        <v>0</v>
      </c>
      <c r="AB604" s="34">
        <f t="shared" si="27"/>
        <v>0</v>
      </c>
      <c r="AC604" s="25" t="s">
        <v>1371</v>
      </c>
      <c r="AD604" s="35"/>
      <c r="AE604" s="35"/>
      <c r="AF604" s="35"/>
      <c r="AG604" s="35"/>
      <c r="AH604" s="35"/>
    </row>
    <row r="605" spans="1:34" ht="28.5" customHeight="1">
      <c r="A605" s="23"/>
      <c r="B605" s="81"/>
      <c r="C605" s="25"/>
      <c r="D605" s="25"/>
      <c r="E605" s="25">
        <v>10</v>
      </c>
      <c r="F605" s="25">
        <v>700</v>
      </c>
      <c r="G605" s="26">
        <f t="shared" si="29"/>
        <v>7000</v>
      </c>
      <c r="H605" s="27" t="s">
        <v>37</v>
      </c>
      <c r="I605" s="37">
        <v>45181</v>
      </c>
      <c r="J605" s="29">
        <v>700</v>
      </c>
      <c r="K605" s="29">
        <v>15</v>
      </c>
      <c r="L605" s="57" t="s">
        <v>1615</v>
      </c>
      <c r="M605" s="31">
        <f>6900+100</f>
        <v>7000</v>
      </c>
      <c r="N605" s="31">
        <f>70+8</f>
        <v>78</v>
      </c>
      <c r="O605" s="31" t="s">
        <v>1616</v>
      </c>
      <c r="P605" s="32" t="s">
        <v>28</v>
      </c>
      <c r="Q605" s="33">
        <v>8500061206</v>
      </c>
      <c r="R605" s="33">
        <v>5000971482</v>
      </c>
      <c r="S605" s="29">
        <v>700</v>
      </c>
      <c r="T605" s="31" t="s">
        <v>1558</v>
      </c>
      <c r="U605" s="31">
        <v>8500061203</v>
      </c>
      <c r="V605" s="31">
        <v>5000984084</v>
      </c>
      <c r="W605" s="50" t="s">
        <v>1702</v>
      </c>
      <c r="X605" s="34">
        <f>350+350</f>
        <v>700</v>
      </c>
      <c r="Y605" s="34">
        <f>3500+3500</f>
        <v>7000</v>
      </c>
      <c r="Z605" s="34" t="s">
        <v>800</v>
      </c>
      <c r="AA605" s="34">
        <f t="shared" si="28"/>
        <v>0</v>
      </c>
      <c r="AB605" s="34">
        <f t="shared" si="27"/>
        <v>0</v>
      </c>
      <c r="AC605" s="25" t="s">
        <v>1371</v>
      </c>
      <c r="AD605" s="35"/>
      <c r="AE605" s="35"/>
      <c r="AF605" s="35"/>
      <c r="AG605" s="35"/>
      <c r="AH605" s="35"/>
    </row>
    <row r="606" spans="1:34" ht="28.5" customHeight="1">
      <c r="A606" s="23" t="s">
        <v>1481</v>
      </c>
      <c r="B606" s="81">
        <v>6000024661</v>
      </c>
      <c r="C606" s="44" t="s">
        <v>1480</v>
      </c>
      <c r="D606" s="44" t="s">
        <v>1482</v>
      </c>
      <c r="E606" s="25">
        <v>10</v>
      </c>
      <c r="F606" s="25">
        <v>600</v>
      </c>
      <c r="G606" s="26">
        <f t="shared" si="29"/>
        <v>6000</v>
      </c>
      <c r="H606" s="27" t="s">
        <v>27</v>
      </c>
      <c r="I606" s="37" t="s">
        <v>1692</v>
      </c>
      <c r="J606" s="25">
        <v>600</v>
      </c>
      <c r="K606" s="29">
        <f>1+5</f>
        <v>6</v>
      </c>
      <c r="L606" s="57" t="s">
        <v>1594</v>
      </c>
      <c r="M606" s="31">
        <f>4900+1100</f>
        <v>6000</v>
      </c>
      <c r="N606" s="31">
        <v>60</v>
      </c>
      <c r="O606" s="31" t="s">
        <v>1596</v>
      </c>
      <c r="P606" s="32" t="s">
        <v>28</v>
      </c>
      <c r="Q606" s="33">
        <v>8500061216</v>
      </c>
      <c r="R606" s="33">
        <v>5000971480</v>
      </c>
      <c r="S606" s="25">
        <v>600</v>
      </c>
      <c r="T606" s="31" t="s">
        <v>1558</v>
      </c>
      <c r="U606" s="31">
        <v>8500061215</v>
      </c>
      <c r="V606" s="31">
        <v>5000979351</v>
      </c>
      <c r="W606" s="50">
        <v>45190</v>
      </c>
      <c r="X606" s="34">
        <v>600</v>
      </c>
      <c r="Y606" s="34">
        <v>6000</v>
      </c>
      <c r="Z606" s="34" t="s">
        <v>800</v>
      </c>
      <c r="AA606" s="34">
        <f t="shared" si="28"/>
        <v>0</v>
      </c>
      <c r="AB606" s="34">
        <f t="shared" si="27"/>
        <v>0</v>
      </c>
      <c r="AC606" s="25" t="s">
        <v>1371</v>
      </c>
      <c r="AD606" s="35"/>
      <c r="AE606" s="35"/>
      <c r="AF606" s="35"/>
      <c r="AG606" s="35"/>
      <c r="AH606" s="35"/>
    </row>
    <row r="607" spans="1:34" ht="19.5" customHeight="1">
      <c r="A607" s="23"/>
      <c r="B607" s="81"/>
      <c r="C607" s="25"/>
      <c r="D607" s="25"/>
      <c r="E607" s="25">
        <v>10</v>
      </c>
      <c r="F607" s="25">
        <v>1410</v>
      </c>
      <c r="G607" s="26">
        <f t="shared" si="29"/>
        <v>14100</v>
      </c>
      <c r="H607" s="27" t="s">
        <v>46</v>
      </c>
      <c r="I607" s="37">
        <v>45178</v>
      </c>
      <c r="J607" s="25">
        <v>1410</v>
      </c>
      <c r="K607" s="29">
        <v>20</v>
      </c>
      <c r="L607" s="57" t="s">
        <v>1594</v>
      </c>
      <c r="M607" s="31">
        <f>10800+2700+600</f>
        <v>14100</v>
      </c>
      <c r="N607" s="31">
        <v>141</v>
      </c>
      <c r="O607" s="31" t="s">
        <v>1595</v>
      </c>
      <c r="P607" s="32" t="s">
        <v>28</v>
      </c>
      <c r="Q607" s="33">
        <v>8500061216</v>
      </c>
      <c r="R607" s="33">
        <v>5000964230</v>
      </c>
      <c r="S607" s="25">
        <v>1410</v>
      </c>
      <c r="T607" s="31" t="s">
        <v>1558</v>
      </c>
      <c r="U607" s="31">
        <v>8500061215</v>
      </c>
      <c r="V607" s="31">
        <v>5000975898</v>
      </c>
      <c r="W607" s="50">
        <v>45192</v>
      </c>
      <c r="X607" s="34">
        <v>1410</v>
      </c>
      <c r="Y607" s="34">
        <v>14100</v>
      </c>
      <c r="Z607" s="34" t="s">
        <v>800</v>
      </c>
      <c r="AA607" s="34">
        <f t="shared" si="28"/>
        <v>0</v>
      </c>
      <c r="AB607" s="34">
        <f t="shared" si="27"/>
        <v>0</v>
      </c>
      <c r="AC607" s="25" t="s">
        <v>1371</v>
      </c>
      <c r="AD607" s="35"/>
      <c r="AE607" s="35"/>
      <c r="AF607" s="35"/>
      <c r="AG607" s="35"/>
      <c r="AH607" s="35"/>
    </row>
    <row r="608" spans="1:34" ht="15.6">
      <c r="A608" s="23"/>
      <c r="B608" s="81"/>
      <c r="C608" s="25"/>
      <c r="D608" s="25"/>
      <c r="E608" s="25">
        <v>10</v>
      </c>
      <c r="F608" s="25">
        <v>650</v>
      </c>
      <c r="G608" s="26">
        <f t="shared" si="29"/>
        <v>6500</v>
      </c>
      <c r="H608" s="27" t="s">
        <v>37</v>
      </c>
      <c r="I608" s="37">
        <v>45181</v>
      </c>
      <c r="J608" s="25">
        <v>650</v>
      </c>
      <c r="K608" s="29">
        <v>13</v>
      </c>
      <c r="L608" s="57">
        <v>45183</v>
      </c>
      <c r="M608" s="31">
        <v>6500</v>
      </c>
      <c r="N608" s="31">
        <v>65</v>
      </c>
      <c r="O608" s="31"/>
      <c r="P608" s="32"/>
      <c r="Q608" s="33">
        <v>8500061216</v>
      </c>
      <c r="R608" s="33">
        <v>5000971480</v>
      </c>
      <c r="S608" s="25">
        <v>650</v>
      </c>
      <c r="T608" s="31" t="s">
        <v>1558</v>
      </c>
      <c r="U608" s="31">
        <v>8500061215</v>
      </c>
      <c r="V608" s="31">
        <v>5000979351</v>
      </c>
      <c r="W608" s="50">
        <v>45203</v>
      </c>
      <c r="X608" s="34">
        <v>650</v>
      </c>
      <c r="Y608" s="34">
        <v>6500</v>
      </c>
      <c r="Z608" s="34" t="s">
        <v>803</v>
      </c>
      <c r="AA608" s="34">
        <f t="shared" si="28"/>
        <v>0</v>
      </c>
      <c r="AB608" s="34">
        <f t="shared" si="27"/>
        <v>0</v>
      </c>
      <c r="AC608" s="25" t="s">
        <v>1371</v>
      </c>
      <c r="AD608" s="35"/>
      <c r="AE608" s="35"/>
      <c r="AF608" s="35"/>
      <c r="AG608" s="35"/>
      <c r="AH608" s="35"/>
    </row>
    <row r="609" spans="1:34" ht="15.6">
      <c r="A609" s="23" t="s">
        <v>715</v>
      </c>
      <c r="B609" s="81">
        <v>6000024745</v>
      </c>
      <c r="C609" s="44" t="s">
        <v>1499</v>
      </c>
      <c r="D609" s="44">
        <v>6000024745</v>
      </c>
      <c r="E609" s="25">
        <v>10</v>
      </c>
      <c r="F609" s="25">
        <v>2380</v>
      </c>
      <c r="G609" s="26">
        <f t="shared" si="29"/>
        <v>23800</v>
      </c>
      <c r="H609" s="27" t="s">
        <v>37</v>
      </c>
      <c r="I609" s="37">
        <v>45178</v>
      </c>
      <c r="J609" s="29">
        <v>2380</v>
      </c>
      <c r="K609" s="29">
        <v>10</v>
      </c>
      <c r="L609" s="57">
        <v>45181</v>
      </c>
      <c r="M609" s="31">
        <v>23800</v>
      </c>
      <c r="N609" s="31">
        <v>238</v>
      </c>
      <c r="O609" s="31"/>
      <c r="P609" s="32" t="s">
        <v>924</v>
      </c>
      <c r="Q609" s="33">
        <v>8500061139</v>
      </c>
      <c r="R609" s="33">
        <v>5000958244</v>
      </c>
      <c r="S609" s="29">
        <v>2380</v>
      </c>
      <c r="T609" s="31" t="s">
        <v>87</v>
      </c>
      <c r="U609" s="31">
        <v>8500061138</v>
      </c>
      <c r="V609" s="31">
        <v>5000971802</v>
      </c>
      <c r="W609" s="50">
        <v>45192</v>
      </c>
      <c r="X609" s="34">
        <v>2380</v>
      </c>
      <c r="Y609" s="34">
        <v>23800</v>
      </c>
      <c r="Z609" s="34" t="s">
        <v>1609</v>
      </c>
      <c r="AA609" s="34">
        <f t="shared" si="28"/>
        <v>0</v>
      </c>
      <c r="AB609" s="34">
        <f t="shared" ref="AB609:AB672" si="30">M609-Y609</f>
        <v>0</v>
      </c>
      <c r="AC609" s="25" t="s">
        <v>1371</v>
      </c>
      <c r="AD609" s="35"/>
      <c r="AE609" s="35"/>
      <c r="AF609" s="35"/>
      <c r="AG609" s="35"/>
      <c r="AH609" s="35"/>
    </row>
    <row r="610" spans="1:34" ht="15.6">
      <c r="A610" s="23"/>
      <c r="B610" s="81"/>
      <c r="C610" s="44"/>
      <c r="D610" s="44"/>
      <c r="E610" s="25"/>
      <c r="F610" s="25"/>
      <c r="G610" s="26"/>
      <c r="H610" s="27" t="s">
        <v>1506</v>
      </c>
      <c r="I610" s="37">
        <v>45178</v>
      </c>
      <c r="J610" s="29">
        <v>2380</v>
      </c>
      <c r="K610" s="29">
        <v>20</v>
      </c>
      <c r="L610" s="56"/>
      <c r="M610" s="31"/>
      <c r="N610" s="31"/>
      <c r="O610" s="31"/>
      <c r="P610" s="32" t="s">
        <v>924</v>
      </c>
      <c r="Q610" s="33"/>
      <c r="R610" s="33"/>
      <c r="S610" s="29">
        <v>2380</v>
      </c>
      <c r="T610" s="31"/>
      <c r="U610" s="31"/>
      <c r="V610" s="31"/>
      <c r="W610" s="50"/>
      <c r="X610" s="34">
        <v>2380</v>
      </c>
      <c r="Y610" s="34"/>
      <c r="Z610" s="34"/>
      <c r="AA610" s="34">
        <f t="shared" si="28"/>
        <v>0</v>
      </c>
      <c r="AB610" s="34">
        <f t="shared" si="30"/>
        <v>0</v>
      </c>
      <c r="AC610" s="25" t="s">
        <v>1371</v>
      </c>
      <c r="AD610" s="35"/>
      <c r="AE610" s="35"/>
      <c r="AF610" s="35"/>
      <c r="AG610" s="35"/>
      <c r="AH610" s="35"/>
    </row>
    <row r="611" spans="1:34" ht="46.8">
      <c r="A611" s="23" t="s">
        <v>715</v>
      </c>
      <c r="B611" s="81">
        <v>6000024746</v>
      </c>
      <c r="C611" s="44" t="s">
        <v>1499</v>
      </c>
      <c r="D611" s="44">
        <v>6000024746</v>
      </c>
      <c r="E611" s="25">
        <v>10</v>
      </c>
      <c r="F611" s="25">
        <v>990</v>
      </c>
      <c r="G611" s="26">
        <f t="shared" ref="G611:G642" si="31">F611*E611</f>
        <v>9900</v>
      </c>
      <c r="H611" s="27" t="s">
        <v>27</v>
      </c>
      <c r="I611" s="37">
        <v>45177</v>
      </c>
      <c r="J611" s="29">
        <v>990</v>
      </c>
      <c r="K611" s="29">
        <v>20</v>
      </c>
      <c r="L611" s="57">
        <v>45181</v>
      </c>
      <c r="M611" s="31">
        <v>9900</v>
      </c>
      <c r="N611" s="31">
        <v>90</v>
      </c>
      <c r="O611" s="31"/>
      <c r="P611" s="32" t="s">
        <v>924</v>
      </c>
      <c r="Q611" s="33">
        <v>8500061142</v>
      </c>
      <c r="R611" s="33">
        <v>5000953885</v>
      </c>
      <c r="S611" s="29">
        <v>990</v>
      </c>
      <c r="T611" s="31" t="s">
        <v>87</v>
      </c>
      <c r="U611" s="31">
        <v>8500061140</v>
      </c>
      <c r="V611" s="31">
        <v>5000971797</v>
      </c>
      <c r="W611" s="50" t="s">
        <v>1652</v>
      </c>
      <c r="X611" s="34">
        <f>200+300+490</f>
        <v>990</v>
      </c>
      <c r="Y611" s="34">
        <f>2000+3000+4900</f>
        <v>9900</v>
      </c>
      <c r="Z611" s="34" t="s">
        <v>1607</v>
      </c>
      <c r="AA611" s="34">
        <f t="shared" si="28"/>
        <v>0</v>
      </c>
      <c r="AB611" s="34">
        <f t="shared" si="30"/>
        <v>0</v>
      </c>
      <c r="AC611" s="25" t="s">
        <v>1371</v>
      </c>
      <c r="AD611" s="35"/>
      <c r="AE611" s="35"/>
      <c r="AF611" s="35"/>
      <c r="AG611" s="35"/>
      <c r="AH611" s="35"/>
    </row>
    <row r="612" spans="1:34" ht="15.6">
      <c r="A612" s="23"/>
      <c r="B612" s="81"/>
      <c r="C612" s="25"/>
      <c r="D612" s="25"/>
      <c r="E612" s="25">
        <v>10</v>
      </c>
      <c r="F612" s="25">
        <v>100</v>
      </c>
      <c r="G612" s="26">
        <f t="shared" si="31"/>
        <v>1000</v>
      </c>
      <c r="H612" s="27" t="s">
        <v>46</v>
      </c>
      <c r="I612" s="37">
        <v>45177</v>
      </c>
      <c r="J612" s="29">
        <v>100</v>
      </c>
      <c r="K612" s="29">
        <v>10</v>
      </c>
      <c r="L612" s="57">
        <v>45181</v>
      </c>
      <c r="M612" s="31">
        <v>1000</v>
      </c>
      <c r="N612" s="31">
        <v>10</v>
      </c>
      <c r="O612" s="31" t="s">
        <v>1343</v>
      </c>
      <c r="P612" s="32" t="s">
        <v>924</v>
      </c>
      <c r="Q612" s="33">
        <v>8500061142</v>
      </c>
      <c r="R612" s="33">
        <v>5000953885</v>
      </c>
      <c r="S612" s="29">
        <v>100</v>
      </c>
      <c r="T612" s="31" t="s">
        <v>87</v>
      </c>
      <c r="U612" s="31">
        <v>8500061140</v>
      </c>
      <c r="V612" s="31">
        <v>5000971799</v>
      </c>
      <c r="W612" s="50">
        <v>45187</v>
      </c>
      <c r="X612" s="34">
        <v>100</v>
      </c>
      <c r="Y612" s="34">
        <v>1000</v>
      </c>
      <c r="Z612" s="34" t="s">
        <v>1608</v>
      </c>
      <c r="AA612" s="34">
        <f t="shared" si="28"/>
        <v>0</v>
      </c>
      <c r="AB612" s="34">
        <f t="shared" si="30"/>
        <v>0</v>
      </c>
      <c r="AC612" s="25" t="s">
        <v>1371</v>
      </c>
      <c r="AD612" s="35"/>
      <c r="AE612" s="35"/>
      <c r="AF612" s="35"/>
      <c r="AG612" s="35"/>
      <c r="AH612" s="35"/>
    </row>
    <row r="613" spans="1:34" ht="62.4">
      <c r="A613" s="23"/>
      <c r="B613" s="81"/>
      <c r="C613" s="25"/>
      <c r="D613" s="25"/>
      <c r="E613" s="25">
        <v>10</v>
      </c>
      <c r="F613" s="25">
        <v>590</v>
      </c>
      <c r="G613" s="26">
        <f t="shared" si="31"/>
        <v>5900</v>
      </c>
      <c r="H613" s="27" t="s">
        <v>37</v>
      </c>
      <c r="I613" s="37" t="s">
        <v>1646</v>
      </c>
      <c r="J613" s="29">
        <f>560+30</f>
        <v>590</v>
      </c>
      <c r="K613" s="29">
        <v>10</v>
      </c>
      <c r="L613" s="57">
        <v>45181</v>
      </c>
      <c r="M613" s="31">
        <v>5900</v>
      </c>
      <c r="N613" s="31">
        <v>59</v>
      </c>
      <c r="O613" s="31"/>
      <c r="P613" s="32" t="s">
        <v>924</v>
      </c>
      <c r="Q613" s="33">
        <v>8500061142</v>
      </c>
      <c r="R613" s="33">
        <v>5000958248</v>
      </c>
      <c r="S613" s="29">
        <f>560+30</f>
        <v>590</v>
      </c>
      <c r="T613" s="31" t="s">
        <v>87</v>
      </c>
      <c r="U613" s="31">
        <v>8500061140</v>
      </c>
      <c r="V613" s="31">
        <v>5000971792</v>
      </c>
      <c r="W613" s="50" t="s">
        <v>1620</v>
      </c>
      <c r="X613" s="34">
        <f>200+359+31</f>
        <v>590</v>
      </c>
      <c r="Y613" s="34">
        <f>2000+3590+310</f>
        <v>5900</v>
      </c>
      <c r="Z613" s="34" t="s">
        <v>1609</v>
      </c>
      <c r="AA613" s="34">
        <f t="shared" si="28"/>
        <v>0</v>
      </c>
      <c r="AB613" s="34">
        <f t="shared" si="30"/>
        <v>0</v>
      </c>
      <c r="AC613" s="25" t="s">
        <v>1371</v>
      </c>
      <c r="AD613" s="35"/>
      <c r="AE613" s="35"/>
      <c r="AF613" s="35"/>
      <c r="AG613" s="35"/>
      <c r="AH613" s="35"/>
    </row>
    <row r="614" spans="1:34" ht="46.8">
      <c r="A614" s="23"/>
      <c r="B614" s="81"/>
      <c r="C614" s="25"/>
      <c r="D614" s="25"/>
      <c r="E614" s="25">
        <v>10</v>
      </c>
      <c r="F614" s="25">
        <v>700</v>
      </c>
      <c r="G614" s="26">
        <f t="shared" si="31"/>
        <v>7000</v>
      </c>
      <c r="H614" s="27" t="s">
        <v>146</v>
      </c>
      <c r="I614" s="37">
        <v>45177</v>
      </c>
      <c r="J614" s="29">
        <v>700</v>
      </c>
      <c r="K614" s="29">
        <v>20</v>
      </c>
      <c r="L614" s="57" t="s">
        <v>1639</v>
      </c>
      <c r="M614" s="45">
        <f>6678+322</f>
        <v>7000</v>
      </c>
      <c r="N614" s="31">
        <v>70</v>
      </c>
      <c r="O614" s="31" t="s">
        <v>736</v>
      </c>
      <c r="P614" s="32" t="s">
        <v>924</v>
      </c>
      <c r="Q614" s="33">
        <v>8500061142</v>
      </c>
      <c r="R614" s="53" t="s">
        <v>1701</v>
      </c>
      <c r="S614" s="29">
        <v>700</v>
      </c>
      <c r="T614" s="31" t="s">
        <v>87</v>
      </c>
      <c r="U614" s="31">
        <v>8500061140</v>
      </c>
      <c r="V614" s="31">
        <v>5000971792</v>
      </c>
      <c r="W614" s="50">
        <v>45206</v>
      </c>
      <c r="X614" s="34">
        <f>500+200</f>
        <v>700</v>
      </c>
      <c r="Y614" s="34">
        <f>5000+2000</f>
        <v>7000</v>
      </c>
      <c r="Z614" s="34" t="s">
        <v>1740</v>
      </c>
      <c r="AA614" s="34">
        <f t="shared" si="28"/>
        <v>0</v>
      </c>
      <c r="AB614" s="34">
        <f t="shared" si="30"/>
        <v>0</v>
      </c>
      <c r="AC614" s="25" t="s">
        <v>1371</v>
      </c>
      <c r="AD614" s="35"/>
      <c r="AE614" s="35"/>
      <c r="AF614" s="35"/>
      <c r="AG614" s="35"/>
      <c r="AH614" s="35"/>
    </row>
    <row r="615" spans="1:34" ht="16.5" customHeight="1">
      <c r="A615" s="23"/>
      <c r="B615" s="81"/>
      <c r="C615" s="25"/>
      <c r="D615" s="25"/>
      <c r="E615" s="25"/>
      <c r="F615" s="25"/>
      <c r="G615" s="26">
        <f t="shared" si="31"/>
        <v>0</v>
      </c>
      <c r="H615" s="27" t="s">
        <v>1506</v>
      </c>
      <c r="I615" s="37">
        <v>45178</v>
      </c>
      <c r="J615" s="29">
        <v>2380</v>
      </c>
      <c r="K615" s="29">
        <v>20</v>
      </c>
      <c r="L615" s="56"/>
      <c r="M615" s="31"/>
      <c r="N615" s="31"/>
      <c r="O615" s="31"/>
      <c r="P615" s="32"/>
      <c r="Q615" s="33"/>
      <c r="R615" s="33"/>
      <c r="S615" s="29">
        <v>2380</v>
      </c>
      <c r="T615" s="31" t="s">
        <v>1557</v>
      </c>
      <c r="U615" s="31"/>
      <c r="V615" s="31"/>
      <c r="W615" s="50"/>
      <c r="X615" s="34">
        <v>2380</v>
      </c>
      <c r="Y615" s="34"/>
      <c r="Z615" s="34"/>
      <c r="AA615" s="34">
        <f t="shared" si="28"/>
        <v>0</v>
      </c>
      <c r="AB615" s="34">
        <f t="shared" si="30"/>
        <v>0</v>
      </c>
      <c r="AC615" s="25" t="s">
        <v>1371</v>
      </c>
      <c r="AD615" s="35"/>
      <c r="AE615" s="35"/>
      <c r="AF615" s="35"/>
      <c r="AG615" s="35"/>
      <c r="AH615" s="35"/>
    </row>
    <row r="616" spans="1:34" ht="15.6">
      <c r="A616" s="23" t="s">
        <v>707</v>
      </c>
      <c r="B616" s="81">
        <v>2000001155</v>
      </c>
      <c r="C616" s="44" t="s">
        <v>1519</v>
      </c>
      <c r="D616" s="44">
        <v>2000001155</v>
      </c>
      <c r="E616" s="25">
        <v>10</v>
      </c>
      <c r="F616" s="25">
        <v>40</v>
      </c>
      <c r="G616" s="26">
        <f t="shared" si="31"/>
        <v>400</v>
      </c>
      <c r="H616" s="27" t="s">
        <v>46</v>
      </c>
      <c r="I616" s="37">
        <v>45187</v>
      </c>
      <c r="J616" s="25">
        <v>40</v>
      </c>
      <c r="K616" s="9">
        <f>6+2</f>
        <v>8</v>
      </c>
      <c r="L616" s="57">
        <v>45187</v>
      </c>
      <c r="M616" s="31">
        <v>400</v>
      </c>
      <c r="N616" s="31">
        <v>4</v>
      </c>
      <c r="O616" s="31" t="s">
        <v>1567</v>
      </c>
      <c r="P616" s="32" t="s">
        <v>160</v>
      </c>
      <c r="Q616" s="33">
        <v>8500061284</v>
      </c>
      <c r="R616" s="33">
        <v>5000994505</v>
      </c>
      <c r="S616" s="25">
        <v>40</v>
      </c>
      <c r="T616" s="31" t="s">
        <v>87</v>
      </c>
      <c r="U616" s="31">
        <v>8500061283</v>
      </c>
      <c r="V616" s="31">
        <v>5000990870</v>
      </c>
      <c r="W616" s="50">
        <v>45202</v>
      </c>
      <c r="X616" s="34">
        <v>40</v>
      </c>
      <c r="Y616" s="34">
        <v>400</v>
      </c>
      <c r="Z616" s="34" t="s">
        <v>800</v>
      </c>
      <c r="AA616" s="34">
        <f t="shared" si="28"/>
        <v>0</v>
      </c>
      <c r="AB616" s="34">
        <f t="shared" si="30"/>
        <v>0</v>
      </c>
      <c r="AC616" s="25" t="s">
        <v>1371</v>
      </c>
      <c r="AD616" s="35"/>
      <c r="AE616" s="35"/>
      <c r="AF616" s="35"/>
      <c r="AG616" s="35"/>
      <c r="AH616" s="35"/>
    </row>
    <row r="617" spans="1:34" ht="15.6">
      <c r="A617" s="23"/>
      <c r="B617" s="81"/>
      <c r="C617" s="25"/>
      <c r="D617" s="44"/>
      <c r="E617" s="25">
        <v>10</v>
      </c>
      <c r="F617" s="25">
        <v>65</v>
      </c>
      <c r="G617" s="26">
        <f t="shared" si="31"/>
        <v>650</v>
      </c>
      <c r="H617" s="27" t="s">
        <v>37</v>
      </c>
      <c r="I617" s="37">
        <v>45187</v>
      </c>
      <c r="J617" s="25">
        <v>65</v>
      </c>
      <c r="K617" s="29">
        <f>6+1</f>
        <v>7</v>
      </c>
      <c r="L617" s="57">
        <v>45187</v>
      </c>
      <c r="M617" s="31">
        <v>650</v>
      </c>
      <c r="N617" s="31">
        <v>7</v>
      </c>
      <c r="O617" s="31" t="s">
        <v>1567</v>
      </c>
      <c r="P617" s="32" t="s">
        <v>160</v>
      </c>
      <c r="Q617" s="33">
        <v>8500061284</v>
      </c>
      <c r="R617" s="33">
        <v>5000994505</v>
      </c>
      <c r="S617" s="25">
        <v>65</v>
      </c>
      <c r="T617" s="31" t="s">
        <v>87</v>
      </c>
      <c r="U617" s="31">
        <v>8500061283</v>
      </c>
      <c r="V617" s="31">
        <v>5000990870</v>
      </c>
      <c r="W617" s="50">
        <v>45202</v>
      </c>
      <c r="X617" s="34">
        <v>65</v>
      </c>
      <c r="Y617" s="34">
        <v>650</v>
      </c>
      <c r="Z617" s="34" t="s">
        <v>800</v>
      </c>
      <c r="AA617" s="34">
        <f t="shared" si="28"/>
        <v>0</v>
      </c>
      <c r="AB617" s="34">
        <f t="shared" si="30"/>
        <v>0</v>
      </c>
      <c r="AC617" s="25" t="s">
        <v>1371</v>
      </c>
      <c r="AD617" s="35"/>
      <c r="AE617" s="35"/>
      <c r="AF617" s="35"/>
      <c r="AG617" s="35"/>
      <c r="AH617" s="35"/>
    </row>
    <row r="618" spans="1:34" ht="15.6">
      <c r="A618" s="23"/>
      <c r="B618" s="81"/>
      <c r="C618" s="44" t="s">
        <v>1520</v>
      </c>
      <c r="D618" s="44">
        <v>2000001155</v>
      </c>
      <c r="E618" s="25">
        <v>10</v>
      </c>
      <c r="F618" s="25">
        <v>50</v>
      </c>
      <c r="G618" s="26">
        <f t="shared" si="31"/>
        <v>500</v>
      </c>
      <c r="H618" s="27" t="s">
        <v>27</v>
      </c>
      <c r="I618" s="37">
        <v>45187</v>
      </c>
      <c r="J618" s="25">
        <v>50</v>
      </c>
      <c r="K618" s="29">
        <f>1+12</f>
        <v>13</v>
      </c>
      <c r="L618" s="57">
        <v>45184</v>
      </c>
      <c r="M618" s="31">
        <v>500</v>
      </c>
      <c r="N618" s="31">
        <v>5</v>
      </c>
      <c r="O618" s="31" t="s">
        <v>1584</v>
      </c>
      <c r="P618" s="32" t="s">
        <v>160</v>
      </c>
      <c r="Q618" s="33">
        <v>8500061288</v>
      </c>
      <c r="R618" s="33">
        <v>5000994506</v>
      </c>
      <c r="S618" s="25">
        <v>50</v>
      </c>
      <c r="T618" s="31" t="s">
        <v>1557</v>
      </c>
      <c r="U618" s="31">
        <v>8500061287</v>
      </c>
      <c r="V618" s="31">
        <v>5000983312</v>
      </c>
      <c r="W618" s="50">
        <v>45202</v>
      </c>
      <c r="X618" s="34">
        <v>50</v>
      </c>
      <c r="Y618" s="34">
        <v>500</v>
      </c>
      <c r="Z618" s="34" t="s">
        <v>800</v>
      </c>
      <c r="AA618" s="34">
        <f t="shared" si="28"/>
        <v>0</v>
      </c>
      <c r="AB618" s="34">
        <f t="shared" si="30"/>
        <v>0</v>
      </c>
      <c r="AC618" s="25" t="s">
        <v>1371</v>
      </c>
      <c r="AD618" s="35"/>
      <c r="AE618" s="35"/>
      <c r="AF618" s="35"/>
      <c r="AG618" s="35"/>
      <c r="AH618" s="35"/>
    </row>
    <row r="619" spans="1:34" ht="15.6">
      <c r="A619" s="23"/>
      <c r="B619" s="81"/>
      <c r="C619" s="25"/>
      <c r="D619" s="44"/>
      <c r="E619" s="25">
        <v>10</v>
      </c>
      <c r="F619" s="25">
        <v>50</v>
      </c>
      <c r="G619" s="26">
        <f t="shared" si="31"/>
        <v>500</v>
      </c>
      <c r="H619" s="27" t="s">
        <v>46</v>
      </c>
      <c r="I619" s="37">
        <v>45187</v>
      </c>
      <c r="J619" s="25">
        <v>50</v>
      </c>
      <c r="K619" s="29">
        <f>1+2</f>
        <v>3</v>
      </c>
      <c r="L619" s="57">
        <v>45184</v>
      </c>
      <c r="M619" s="31">
        <v>500</v>
      </c>
      <c r="N619" s="31">
        <v>5</v>
      </c>
      <c r="O619" s="31" t="s">
        <v>1584</v>
      </c>
      <c r="P619" s="32" t="s">
        <v>160</v>
      </c>
      <c r="Q619" s="33">
        <v>8500061288</v>
      </c>
      <c r="R619" s="33">
        <v>5000994506</v>
      </c>
      <c r="S619" s="25">
        <v>50</v>
      </c>
      <c r="T619" s="31" t="s">
        <v>1557</v>
      </c>
      <c r="U619" s="31">
        <v>8500061287</v>
      </c>
      <c r="V619" s="31">
        <v>5000983312</v>
      </c>
      <c r="W619" s="50">
        <v>45189</v>
      </c>
      <c r="X619" s="34">
        <v>50</v>
      </c>
      <c r="Y619" s="34">
        <v>500</v>
      </c>
      <c r="Z619" s="34" t="s">
        <v>1608</v>
      </c>
      <c r="AA619" s="34">
        <f t="shared" si="28"/>
        <v>0</v>
      </c>
      <c r="AB619" s="34">
        <f t="shared" si="30"/>
        <v>0</v>
      </c>
      <c r="AC619" s="25" t="s">
        <v>1371</v>
      </c>
      <c r="AD619" s="35"/>
      <c r="AE619" s="35"/>
      <c r="AF619" s="35"/>
      <c r="AG619" s="35"/>
      <c r="AH619" s="35"/>
    </row>
    <row r="620" spans="1:34" ht="15.6">
      <c r="A620" s="23"/>
      <c r="B620" s="81"/>
      <c r="C620" s="44"/>
      <c r="D620" s="44"/>
      <c r="E620" s="25">
        <v>10</v>
      </c>
      <c r="F620" s="25">
        <v>50</v>
      </c>
      <c r="G620" s="26">
        <f t="shared" si="31"/>
        <v>500</v>
      </c>
      <c r="H620" s="27" t="s">
        <v>37</v>
      </c>
      <c r="I620" s="37">
        <v>45187</v>
      </c>
      <c r="J620" s="25">
        <v>50</v>
      </c>
      <c r="K620" s="29">
        <f>1+11</f>
        <v>12</v>
      </c>
      <c r="L620" s="57">
        <v>45184</v>
      </c>
      <c r="M620" s="31">
        <v>500</v>
      </c>
      <c r="N620" s="31">
        <v>5</v>
      </c>
      <c r="O620" s="31" t="s">
        <v>1584</v>
      </c>
      <c r="P620" s="32" t="s">
        <v>160</v>
      </c>
      <c r="Q620" s="33">
        <v>8500061288</v>
      </c>
      <c r="R620" s="33">
        <v>5000994506</v>
      </c>
      <c r="S620" s="25">
        <v>50</v>
      </c>
      <c r="T620" s="31" t="s">
        <v>1557</v>
      </c>
      <c r="U620" s="31">
        <v>8500061287</v>
      </c>
      <c r="V620" s="31">
        <v>5000983312</v>
      </c>
      <c r="W620" s="50">
        <v>45192</v>
      </c>
      <c r="X620" s="34">
        <v>50</v>
      </c>
      <c r="Y620" s="34">
        <v>500</v>
      </c>
      <c r="Z620" s="34" t="s">
        <v>1609</v>
      </c>
      <c r="AA620" s="34">
        <f t="shared" si="28"/>
        <v>0</v>
      </c>
      <c r="AB620" s="34">
        <f t="shared" si="30"/>
        <v>0</v>
      </c>
      <c r="AC620" s="25" t="s">
        <v>1371</v>
      </c>
      <c r="AD620" s="35"/>
      <c r="AE620" s="35"/>
      <c r="AF620" s="35"/>
      <c r="AG620" s="35"/>
      <c r="AH620" s="35"/>
    </row>
    <row r="621" spans="1:34" ht="21" customHeight="1">
      <c r="A621" s="23"/>
      <c r="B621" s="81"/>
      <c r="C621" s="44" t="s">
        <v>1521</v>
      </c>
      <c r="D621" s="44">
        <v>2000001155</v>
      </c>
      <c r="E621" s="25">
        <v>10</v>
      </c>
      <c r="F621" s="25">
        <v>100</v>
      </c>
      <c r="G621" s="26">
        <f t="shared" si="31"/>
        <v>1000</v>
      </c>
      <c r="H621" s="27" t="s">
        <v>46</v>
      </c>
      <c r="I621" s="37">
        <v>45183</v>
      </c>
      <c r="J621" s="25">
        <v>100</v>
      </c>
      <c r="K621" s="29">
        <f>7+1</f>
        <v>8</v>
      </c>
      <c r="L621" s="57">
        <v>45184</v>
      </c>
      <c r="M621" s="31">
        <v>1000</v>
      </c>
      <c r="N621" s="31">
        <v>18</v>
      </c>
      <c r="O621" s="31" t="s">
        <v>1583</v>
      </c>
      <c r="P621" s="32" t="s">
        <v>160</v>
      </c>
      <c r="Q621" s="33">
        <v>8500061322</v>
      </c>
      <c r="R621" s="33">
        <v>5000977009</v>
      </c>
      <c r="S621" s="25">
        <v>100</v>
      </c>
      <c r="T621" s="31" t="s">
        <v>1557</v>
      </c>
      <c r="U621" s="31">
        <v>8500061321</v>
      </c>
      <c r="V621" s="31">
        <v>5000983319</v>
      </c>
      <c r="W621" s="50">
        <v>45195</v>
      </c>
      <c r="X621" s="34">
        <v>100</v>
      </c>
      <c r="Y621" s="34">
        <v>1000</v>
      </c>
      <c r="Z621" s="34" t="s">
        <v>800</v>
      </c>
      <c r="AA621" s="34">
        <f t="shared" si="28"/>
        <v>0</v>
      </c>
      <c r="AB621" s="34">
        <f t="shared" si="30"/>
        <v>0</v>
      </c>
      <c r="AC621" s="25" t="s">
        <v>1371</v>
      </c>
    </row>
    <row r="622" spans="1:34" ht="15.6">
      <c r="A622" s="23"/>
      <c r="B622" s="81"/>
      <c r="C622" s="25"/>
      <c r="D622" s="44"/>
      <c r="E622" s="25">
        <v>10</v>
      </c>
      <c r="F622" s="25">
        <v>105</v>
      </c>
      <c r="G622" s="26">
        <f t="shared" si="31"/>
        <v>1050</v>
      </c>
      <c r="H622" s="27" t="s">
        <v>37</v>
      </c>
      <c r="I622" s="37">
        <v>45183</v>
      </c>
      <c r="J622" s="25">
        <v>105</v>
      </c>
      <c r="K622" s="29">
        <f>7+7</f>
        <v>14</v>
      </c>
      <c r="L622" s="57">
        <v>45184</v>
      </c>
      <c r="M622" s="31">
        <v>1050</v>
      </c>
      <c r="N622" s="31">
        <v>19</v>
      </c>
      <c r="O622" s="31" t="s">
        <v>1583</v>
      </c>
      <c r="P622" s="32" t="s">
        <v>160</v>
      </c>
      <c r="Q622" s="33">
        <v>8500061322</v>
      </c>
      <c r="R622" s="33">
        <v>5000977009</v>
      </c>
      <c r="S622" s="25">
        <v>105</v>
      </c>
      <c r="T622" s="31" t="s">
        <v>1557</v>
      </c>
      <c r="U622" s="31">
        <v>5000983319</v>
      </c>
      <c r="V622" s="31">
        <v>5000983319</v>
      </c>
      <c r="W622" s="50">
        <v>45201</v>
      </c>
      <c r="X622" s="34">
        <v>105</v>
      </c>
      <c r="Y622" s="34">
        <v>1050</v>
      </c>
      <c r="Z622" s="34" t="s">
        <v>800</v>
      </c>
      <c r="AA622" s="34">
        <f t="shared" si="28"/>
        <v>0</v>
      </c>
      <c r="AB622" s="34">
        <f t="shared" si="30"/>
        <v>0</v>
      </c>
      <c r="AC622" s="25" t="s">
        <v>1371</v>
      </c>
      <c r="AD622" s="5" t="s">
        <v>1668</v>
      </c>
    </row>
    <row r="623" spans="1:34" ht="16.5" customHeight="1">
      <c r="A623" s="23"/>
      <c r="B623" s="81"/>
      <c r="C623" s="25"/>
      <c r="D623" s="44"/>
      <c r="E623" s="25">
        <v>10</v>
      </c>
      <c r="F623" s="25">
        <v>50</v>
      </c>
      <c r="G623" s="26">
        <f t="shared" si="31"/>
        <v>500</v>
      </c>
      <c r="H623" s="27" t="s">
        <v>146</v>
      </c>
      <c r="I623" s="37" t="s">
        <v>1612</v>
      </c>
      <c r="J623" s="25">
        <v>50</v>
      </c>
      <c r="K623" s="29">
        <f>4+5</f>
        <v>9</v>
      </c>
      <c r="L623" s="57">
        <v>45184</v>
      </c>
      <c r="M623" s="31">
        <v>500</v>
      </c>
      <c r="N623" s="31">
        <v>13</v>
      </c>
      <c r="O623" s="31" t="s">
        <v>1583</v>
      </c>
      <c r="P623" s="32" t="s">
        <v>160</v>
      </c>
      <c r="Q623" s="33">
        <v>8500061325</v>
      </c>
      <c r="R623" s="33">
        <v>5000977021</v>
      </c>
      <c r="S623" s="25">
        <v>50</v>
      </c>
      <c r="T623" s="31" t="s">
        <v>1557</v>
      </c>
      <c r="U623" s="31">
        <v>8500061324</v>
      </c>
      <c r="V623" s="31">
        <v>5000983340</v>
      </c>
      <c r="W623" s="50">
        <v>45201</v>
      </c>
      <c r="X623" s="34">
        <v>50</v>
      </c>
      <c r="Y623" s="34">
        <v>500</v>
      </c>
      <c r="Z623" s="34" t="s">
        <v>800</v>
      </c>
      <c r="AA623" s="34">
        <f t="shared" si="28"/>
        <v>0</v>
      </c>
      <c r="AB623" s="34">
        <f t="shared" si="30"/>
        <v>0</v>
      </c>
      <c r="AC623" s="25" t="s">
        <v>1371</v>
      </c>
      <c r="AD623" s="5" t="s">
        <v>1668</v>
      </c>
    </row>
    <row r="624" spans="1:34" ht="23.25" customHeight="1">
      <c r="A624" s="23"/>
      <c r="B624" s="81"/>
      <c r="C624" s="44" t="s">
        <v>1522</v>
      </c>
      <c r="D624" s="44">
        <v>2000001155</v>
      </c>
      <c r="E624" s="25">
        <v>10</v>
      </c>
      <c r="F624" s="25">
        <v>30</v>
      </c>
      <c r="G624" s="26">
        <f t="shared" si="31"/>
        <v>300</v>
      </c>
      <c r="H624" s="27" t="s">
        <v>46</v>
      </c>
      <c r="I624" s="37">
        <v>45187</v>
      </c>
      <c r="J624" s="25">
        <v>30</v>
      </c>
      <c r="K624" s="29">
        <f>5+1</f>
        <v>6</v>
      </c>
      <c r="L624" s="57">
        <v>45184</v>
      </c>
      <c r="M624" s="31">
        <v>300</v>
      </c>
      <c r="N624" s="31">
        <v>11</v>
      </c>
      <c r="O624" s="31" t="s">
        <v>1583</v>
      </c>
      <c r="P624" s="32" t="s">
        <v>160</v>
      </c>
      <c r="Q624" s="33">
        <v>8500061329</v>
      </c>
      <c r="R624" s="33">
        <v>5000994507</v>
      </c>
      <c r="S624" s="25">
        <v>30</v>
      </c>
      <c r="T624" s="31" t="s">
        <v>1557</v>
      </c>
      <c r="U624" s="31">
        <v>8500061327</v>
      </c>
      <c r="V624" s="31">
        <v>5000983341</v>
      </c>
      <c r="W624" s="50">
        <v>45201</v>
      </c>
      <c r="X624" s="34">
        <v>30</v>
      </c>
      <c r="Y624" s="34">
        <v>300</v>
      </c>
      <c r="Z624" s="34" t="s">
        <v>800</v>
      </c>
      <c r="AA624" s="34">
        <f t="shared" si="28"/>
        <v>0</v>
      </c>
      <c r="AB624" s="34">
        <f t="shared" si="30"/>
        <v>0</v>
      </c>
      <c r="AC624" s="25" t="s">
        <v>1371</v>
      </c>
    </row>
    <row r="625" spans="1:29" ht="15.6">
      <c r="A625" s="23"/>
      <c r="B625" s="81"/>
      <c r="C625" s="25"/>
      <c r="D625" s="44"/>
      <c r="E625" s="25">
        <v>10</v>
      </c>
      <c r="F625" s="25">
        <v>100</v>
      </c>
      <c r="G625" s="26">
        <f t="shared" si="31"/>
        <v>1000</v>
      </c>
      <c r="H625" s="27" t="s">
        <v>37</v>
      </c>
      <c r="I625" s="37">
        <v>45187</v>
      </c>
      <c r="J625" s="25">
        <v>100</v>
      </c>
      <c r="K625" s="29">
        <f>7+3</f>
        <v>10</v>
      </c>
      <c r="L625" s="57">
        <v>45184</v>
      </c>
      <c r="M625" s="31">
        <v>1000</v>
      </c>
      <c r="N625" s="31">
        <v>18</v>
      </c>
      <c r="O625" s="31" t="s">
        <v>1583</v>
      </c>
      <c r="P625" s="32" t="s">
        <v>160</v>
      </c>
      <c r="Q625" s="33">
        <v>8500061329</v>
      </c>
      <c r="R625" s="33">
        <v>5000994507</v>
      </c>
      <c r="S625" s="25">
        <v>100</v>
      </c>
      <c r="T625" s="31" t="s">
        <v>1557</v>
      </c>
      <c r="U625" s="31">
        <v>8500061327</v>
      </c>
      <c r="V625" s="31">
        <v>5000983341</v>
      </c>
      <c r="W625" s="50">
        <v>45202</v>
      </c>
      <c r="X625" s="34">
        <v>100</v>
      </c>
      <c r="Y625" s="34">
        <v>1000</v>
      </c>
      <c r="Z625" s="34" t="s">
        <v>800</v>
      </c>
      <c r="AA625" s="34">
        <f t="shared" si="28"/>
        <v>0</v>
      </c>
      <c r="AB625" s="34">
        <f t="shared" si="30"/>
        <v>0</v>
      </c>
      <c r="AC625" s="25" t="s">
        <v>1371</v>
      </c>
    </row>
    <row r="626" spans="1:29" ht="15.6">
      <c r="A626" s="23"/>
      <c r="B626" s="81"/>
      <c r="C626" s="25"/>
      <c r="D626" s="44"/>
      <c r="E626" s="25">
        <v>10</v>
      </c>
      <c r="F626" s="25">
        <v>71</v>
      </c>
      <c r="G626" s="26">
        <f t="shared" si="31"/>
        <v>710</v>
      </c>
      <c r="H626" s="27" t="s">
        <v>146</v>
      </c>
      <c r="I626" s="37">
        <v>45187</v>
      </c>
      <c r="J626" s="25">
        <v>71</v>
      </c>
      <c r="K626" s="29">
        <f>6+3</f>
        <v>9</v>
      </c>
      <c r="L626" s="57">
        <v>45184</v>
      </c>
      <c r="M626" s="31">
        <v>710</v>
      </c>
      <c r="N626" s="31">
        <v>15</v>
      </c>
      <c r="O626" s="31" t="s">
        <v>1583</v>
      </c>
      <c r="P626" s="32" t="s">
        <v>160</v>
      </c>
      <c r="Q626" s="33">
        <v>8500061331</v>
      </c>
      <c r="R626" s="33">
        <v>5000994508</v>
      </c>
      <c r="S626" s="25">
        <v>71</v>
      </c>
      <c r="T626" s="31" t="s">
        <v>1557</v>
      </c>
      <c r="U626" s="31">
        <v>8500061330</v>
      </c>
      <c r="V626" s="31">
        <v>5000983343</v>
      </c>
      <c r="W626" s="50">
        <v>45201</v>
      </c>
      <c r="X626" s="34">
        <v>71</v>
      </c>
      <c r="Y626" s="34">
        <v>710</v>
      </c>
      <c r="Z626" s="34" t="s">
        <v>800</v>
      </c>
      <c r="AA626" s="34">
        <f t="shared" si="28"/>
        <v>0</v>
      </c>
      <c r="AB626" s="34">
        <f t="shared" si="30"/>
        <v>0</v>
      </c>
      <c r="AC626" s="25" t="s">
        <v>1371</v>
      </c>
    </row>
    <row r="627" spans="1:29" ht="15.6">
      <c r="A627" s="23" t="s">
        <v>707</v>
      </c>
      <c r="B627" s="81">
        <v>2000001154</v>
      </c>
      <c r="C627" s="44" t="s">
        <v>1523</v>
      </c>
      <c r="D627" s="44">
        <v>200001154</v>
      </c>
      <c r="E627" s="25">
        <v>10</v>
      </c>
      <c r="F627" s="25">
        <v>100</v>
      </c>
      <c r="G627" s="26">
        <f t="shared" si="31"/>
        <v>1000</v>
      </c>
      <c r="H627" s="27" t="s">
        <v>37</v>
      </c>
      <c r="I627" s="37">
        <v>45187</v>
      </c>
      <c r="J627" s="29">
        <v>100</v>
      </c>
      <c r="K627" s="29">
        <f>2+3</f>
        <v>5</v>
      </c>
      <c r="L627" s="57">
        <v>45182</v>
      </c>
      <c r="M627" s="31">
        <v>1000</v>
      </c>
      <c r="N627" s="31">
        <v>10</v>
      </c>
      <c r="O627" s="31" t="s">
        <v>1556</v>
      </c>
      <c r="P627" s="32" t="s">
        <v>160</v>
      </c>
      <c r="Q627" s="33">
        <v>8500061656</v>
      </c>
      <c r="R627" s="33">
        <v>5000994490</v>
      </c>
      <c r="S627" s="29">
        <v>100</v>
      </c>
      <c r="T627" s="31" t="s">
        <v>1557</v>
      </c>
      <c r="U627" s="31">
        <v>8500061655</v>
      </c>
      <c r="V627" s="31">
        <v>5000975462</v>
      </c>
      <c r="W627" s="50">
        <v>45188</v>
      </c>
      <c r="X627" s="34">
        <v>100</v>
      </c>
      <c r="Y627" s="34">
        <v>1000</v>
      </c>
      <c r="Z627" s="34" t="s">
        <v>800</v>
      </c>
      <c r="AA627" s="34">
        <f t="shared" si="28"/>
        <v>0</v>
      </c>
      <c r="AB627" s="34">
        <f t="shared" si="30"/>
        <v>0</v>
      </c>
      <c r="AC627" s="25" t="s">
        <v>1371</v>
      </c>
    </row>
    <row r="628" spans="1:29" ht="19.5" customHeight="1">
      <c r="A628" s="23" t="s">
        <v>720</v>
      </c>
      <c r="B628" s="81">
        <v>2000001151</v>
      </c>
      <c r="C628" s="44" t="s">
        <v>1524</v>
      </c>
      <c r="D628" s="44">
        <v>2000001151</v>
      </c>
      <c r="E628" s="25">
        <v>10</v>
      </c>
      <c r="F628" s="25">
        <v>500</v>
      </c>
      <c r="G628" s="26">
        <f t="shared" si="31"/>
        <v>5000</v>
      </c>
      <c r="H628" s="27" t="s">
        <v>46</v>
      </c>
      <c r="I628" s="37">
        <v>45180</v>
      </c>
      <c r="J628" s="29">
        <v>500</v>
      </c>
      <c r="K628" s="29">
        <v>15</v>
      </c>
      <c r="L628" s="57">
        <v>45181</v>
      </c>
      <c r="M628" s="31">
        <v>5000</v>
      </c>
      <c r="N628" s="31">
        <v>50</v>
      </c>
      <c r="O628" s="31" t="s">
        <v>814</v>
      </c>
      <c r="P628" s="32" t="s">
        <v>160</v>
      </c>
      <c r="Q628" s="33">
        <v>8500061129</v>
      </c>
      <c r="R628" s="33">
        <v>5000967952</v>
      </c>
      <c r="S628" s="29">
        <v>500</v>
      </c>
      <c r="T628" s="31" t="s">
        <v>87</v>
      </c>
      <c r="U628" s="31">
        <v>8500061128</v>
      </c>
      <c r="V628" s="31">
        <v>5000971810</v>
      </c>
      <c r="W628" s="50">
        <v>45192</v>
      </c>
      <c r="X628" s="34">
        <v>500</v>
      </c>
      <c r="Y628" s="34">
        <v>5000</v>
      </c>
      <c r="Z628" s="34" t="s">
        <v>800</v>
      </c>
      <c r="AA628" s="34">
        <f t="shared" si="28"/>
        <v>0</v>
      </c>
      <c r="AB628" s="34">
        <f t="shared" si="30"/>
        <v>0</v>
      </c>
      <c r="AC628" s="25" t="s">
        <v>1371</v>
      </c>
    </row>
    <row r="629" spans="1:29" ht="15.6">
      <c r="A629" s="23" t="s">
        <v>286</v>
      </c>
      <c r="B629" s="81">
        <v>6000024756</v>
      </c>
      <c r="C629" s="44" t="s">
        <v>332</v>
      </c>
      <c r="D629" s="44">
        <v>311102383</v>
      </c>
      <c r="E629" s="25">
        <v>8</v>
      </c>
      <c r="F629" s="25">
        <v>180</v>
      </c>
      <c r="G629" s="26">
        <f t="shared" si="31"/>
        <v>1440</v>
      </c>
      <c r="H629" s="27" t="s">
        <v>27</v>
      </c>
      <c r="I629" s="37">
        <v>45180</v>
      </c>
      <c r="J629" s="29">
        <v>180</v>
      </c>
      <c r="K629" s="29">
        <v>3</v>
      </c>
      <c r="L629" s="57">
        <v>45181</v>
      </c>
      <c r="M629" s="31">
        <v>1440</v>
      </c>
      <c r="N629" s="31">
        <v>8</v>
      </c>
      <c r="O629" s="31" t="s">
        <v>824</v>
      </c>
      <c r="P629" s="32" t="s">
        <v>160</v>
      </c>
      <c r="Q629" s="33">
        <v>8500061212</v>
      </c>
      <c r="R629" s="33">
        <v>5000967964</v>
      </c>
      <c r="S629" s="29">
        <v>180</v>
      </c>
      <c r="T629" s="31" t="s">
        <v>152</v>
      </c>
      <c r="U629" s="31">
        <v>8500061211</v>
      </c>
      <c r="V629" s="31">
        <v>5000971721</v>
      </c>
      <c r="W629" s="50">
        <v>45229</v>
      </c>
      <c r="X629" s="34">
        <v>180</v>
      </c>
      <c r="Y629" s="34">
        <v>1440</v>
      </c>
      <c r="Z629" s="34" t="s">
        <v>800</v>
      </c>
      <c r="AA629" s="34">
        <f t="shared" si="28"/>
        <v>0</v>
      </c>
      <c r="AB629" s="34">
        <f t="shared" si="30"/>
        <v>0</v>
      </c>
      <c r="AC629" s="25" t="s">
        <v>1371</v>
      </c>
    </row>
    <row r="630" spans="1:29" ht="15.6">
      <c r="A630" s="23"/>
      <c r="B630" s="81"/>
      <c r="C630" s="25"/>
      <c r="D630" s="25"/>
      <c r="E630" s="25">
        <v>8</v>
      </c>
      <c r="F630" s="25">
        <v>340</v>
      </c>
      <c r="G630" s="26">
        <f t="shared" si="31"/>
        <v>2720</v>
      </c>
      <c r="H630" s="27" t="s">
        <v>46</v>
      </c>
      <c r="I630" s="37">
        <v>45180</v>
      </c>
      <c r="J630" s="29">
        <v>340</v>
      </c>
      <c r="K630" s="29">
        <f>5+1</f>
        <v>6</v>
      </c>
      <c r="L630" s="57">
        <v>45181</v>
      </c>
      <c r="M630" s="31">
        <v>2720</v>
      </c>
      <c r="N630" s="31">
        <v>14</v>
      </c>
      <c r="O630" s="31" t="s">
        <v>922</v>
      </c>
      <c r="P630" s="32" t="s">
        <v>160</v>
      </c>
      <c r="Q630" s="33">
        <v>8500061210</v>
      </c>
      <c r="R630" s="33">
        <v>5000967966</v>
      </c>
      <c r="S630" s="29">
        <v>340</v>
      </c>
      <c r="T630" s="31" t="s">
        <v>152</v>
      </c>
      <c r="U630" s="31">
        <v>8500061209</v>
      </c>
      <c r="V630" s="31">
        <v>5000971722</v>
      </c>
      <c r="W630" s="50">
        <v>45232</v>
      </c>
      <c r="X630" s="34">
        <v>340</v>
      </c>
      <c r="Y630" s="34">
        <v>2720</v>
      </c>
      <c r="Z630" s="34" t="s">
        <v>800</v>
      </c>
      <c r="AA630" s="34">
        <f t="shared" si="28"/>
        <v>0</v>
      </c>
      <c r="AB630" s="34">
        <f t="shared" si="30"/>
        <v>0</v>
      </c>
      <c r="AC630" s="25" t="s">
        <v>1371</v>
      </c>
    </row>
    <row r="631" spans="1:29" ht="35.25" customHeight="1">
      <c r="A631" s="23"/>
      <c r="B631" s="81"/>
      <c r="C631" s="25"/>
      <c r="D631" s="25"/>
      <c r="E631" s="25">
        <v>8</v>
      </c>
      <c r="F631" s="25">
        <v>400</v>
      </c>
      <c r="G631" s="26">
        <f t="shared" si="31"/>
        <v>3200</v>
      </c>
      <c r="H631" s="27" t="s">
        <v>37</v>
      </c>
      <c r="I631" s="37">
        <v>45180</v>
      </c>
      <c r="J631" s="29">
        <v>400</v>
      </c>
      <c r="K631" s="29">
        <f>6+8</f>
        <v>14</v>
      </c>
      <c r="L631" s="57" t="s">
        <v>1576</v>
      </c>
      <c r="M631" s="31">
        <f>1200+2000</f>
        <v>3200</v>
      </c>
      <c r="N631" s="31">
        <v>16</v>
      </c>
      <c r="O631" s="31" t="s">
        <v>1577</v>
      </c>
      <c r="P631" s="32" t="s">
        <v>160</v>
      </c>
      <c r="Q631" s="33">
        <v>8500061208</v>
      </c>
      <c r="R631" s="33">
        <v>5000967969</v>
      </c>
      <c r="S631" s="29">
        <v>400</v>
      </c>
      <c r="T631" s="31" t="s">
        <v>152</v>
      </c>
      <c r="U631" s="31">
        <v>8500061207</v>
      </c>
      <c r="V631" s="31">
        <v>5000971723</v>
      </c>
      <c r="W631" s="50">
        <v>45231</v>
      </c>
      <c r="X631" s="34">
        <v>400</v>
      </c>
      <c r="Y631" s="34">
        <v>3200</v>
      </c>
      <c r="Z631" s="34" t="s">
        <v>800</v>
      </c>
      <c r="AA631" s="34">
        <f t="shared" si="28"/>
        <v>0</v>
      </c>
      <c r="AB631" s="34">
        <f t="shared" si="30"/>
        <v>0</v>
      </c>
      <c r="AC631" s="25" t="s">
        <v>1371</v>
      </c>
    </row>
    <row r="632" spans="1:29" ht="35.25" customHeight="1">
      <c r="A632" s="23"/>
      <c r="B632" s="81"/>
      <c r="C632" s="25"/>
      <c r="D632" s="25"/>
      <c r="E632" s="25">
        <v>8</v>
      </c>
      <c r="F632" s="25">
        <v>260</v>
      </c>
      <c r="G632" s="26">
        <f t="shared" si="31"/>
        <v>2080</v>
      </c>
      <c r="H632" s="27" t="s">
        <v>146</v>
      </c>
      <c r="I632" s="37">
        <v>45180</v>
      </c>
      <c r="J632" s="29">
        <v>260</v>
      </c>
      <c r="K632" s="29">
        <f>4+4</f>
        <v>8</v>
      </c>
      <c r="L632" s="57">
        <v>45181</v>
      </c>
      <c r="M632" s="31">
        <v>2080</v>
      </c>
      <c r="N632" s="31">
        <v>11</v>
      </c>
      <c r="O632" s="31" t="s">
        <v>823</v>
      </c>
      <c r="P632" s="32" t="s">
        <v>160</v>
      </c>
      <c r="Q632" s="33">
        <v>8500061214</v>
      </c>
      <c r="R632" s="33">
        <v>5000967980</v>
      </c>
      <c r="S632" s="29">
        <v>260</v>
      </c>
      <c r="T632" s="31" t="s">
        <v>152</v>
      </c>
      <c r="U632" s="31">
        <v>8500061213</v>
      </c>
      <c r="V632" s="31">
        <v>5000971724</v>
      </c>
      <c r="W632" s="50">
        <v>45239</v>
      </c>
      <c r="X632" s="34">
        <v>260</v>
      </c>
      <c r="Y632" s="34">
        <v>2080</v>
      </c>
      <c r="Z632" s="34" t="s">
        <v>800</v>
      </c>
      <c r="AA632" s="34">
        <f t="shared" si="28"/>
        <v>0</v>
      </c>
      <c r="AB632" s="34">
        <f t="shared" si="30"/>
        <v>0</v>
      </c>
      <c r="AC632" s="25" t="s">
        <v>1371</v>
      </c>
    </row>
    <row r="633" spans="1:29" ht="30.75" customHeight="1">
      <c r="A633" s="23" t="s">
        <v>692</v>
      </c>
      <c r="B633" s="81">
        <v>6000024928</v>
      </c>
      <c r="C633" s="44" t="s">
        <v>1529</v>
      </c>
      <c r="D633" s="44" t="s">
        <v>1526</v>
      </c>
      <c r="E633" s="25">
        <v>20</v>
      </c>
      <c r="F633" s="25">
        <v>400</v>
      </c>
      <c r="G633" s="26">
        <f t="shared" si="31"/>
        <v>8000</v>
      </c>
      <c r="H633" s="27" t="s">
        <v>27</v>
      </c>
      <c r="I633" s="37">
        <v>45180</v>
      </c>
      <c r="J633" s="29">
        <v>400</v>
      </c>
      <c r="K633" s="29">
        <v>5</v>
      </c>
      <c r="L633" s="57" t="s">
        <v>1623</v>
      </c>
      <c r="M633" s="31">
        <f>7850+150</f>
        <v>8000</v>
      </c>
      <c r="N633" s="31">
        <v>80</v>
      </c>
      <c r="O633" s="31" t="s">
        <v>1621</v>
      </c>
      <c r="P633" s="32" t="s">
        <v>160</v>
      </c>
      <c r="Q633" s="33">
        <v>8500061463</v>
      </c>
      <c r="R633" s="33">
        <v>5000968009</v>
      </c>
      <c r="S633" s="29">
        <v>400</v>
      </c>
      <c r="T633" s="31" t="s">
        <v>1558</v>
      </c>
      <c r="U633" s="31">
        <v>8500061462</v>
      </c>
      <c r="V633" s="31">
        <v>5000990787</v>
      </c>
      <c r="W633" s="50" t="s">
        <v>1804</v>
      </c>
      <c r="X633" s="34">
        <f>200+200</f>
        <v>400</v>
      </c>
      <c r="Y633" s="34">
        <f>4000+4000</f>
        <v>8000</v>
      </c>
      <c r="Z633" s="34" t="s">
        <v>1783</v>
      </c>
      <c r="AA633" s="34">
        <f t="shared" si="28"/>
        <v>0</v>
      </c>
      <c r="AB633" s="34">
        <f t="shared" si="30"/>
        <v>0</v>
      </c>
      <c r="AC633" s="25" t="s">
        <v>1371</v>
      </c>
    </row>
    <row r="634" spans="1:29" ht="28.5" customHeight="1">
      <c r="A634" s="23"/>
      <c r="C634" s="25"/>
      <c r="D634" s="44" t="s">
        <v>1525</v>
      </c>
      <c r="E634" s="25">
        <v>20</v>
      </c>
      <c r="F634" s="25">
        <v>640</v>
      </c>
      <c r="G634" s="26">
        <f t="shared" si="31"/>
        <v>12800</v>
      </c>
      <c r="H634" s="27" t="s">
        <v>46</v>
      </c>
      <c r="I634" s="37" t="s">
        <v>1604</v>
      </c>
      <c r="J634" s="29">
        <f>637+3</f>
        <v>640</v>
      </c>
      <c r="K634" s="29">
        <f>7+2</f>
        <v>9</v>
      </c>
      <c r="L634" s="57" t="s">
        <v>1625</v>
      </c>
      <c r="M634" s="31">
        <f>3600+8650+550</f>
        <v>12800</v>
      </c>
      <c r="N634" s="31">
        <v>128</v>
      </c>
      <c r="O634" s="31" t="s">
        <v>1626</v>
      </c>
      <c r="P634" s="32" t="s">
        <v>160</v>
      </c>
      <c r="Q634" s="33">
        <v>8500061461</v>
      </c>
      <c r="R634" s="33">
        <v>5000971835</v>
      </c>
      <c r="S634" s="29">
        <f>637+3</f>
        <v>640</v>
      </c>
      <c r="T634" s="31" t="s">
        <v>1558</v>
      </c>
      <c r="U634" s="31">
        <v>8500061460</v>
      </c>
      <c r="V634" s="31">
        <v>5000990789</v>
      </c>
      <c r="W634" s="50" t="s">
        <v>1804</v>
      </c>
      <c r="X634" s="34">
        <f>300+340</f>
        <v>640</v>
      </c>
      <c r="Y634" s="34">
        <f>6000+6800</f>
        <v>12800</v>
      </c>
      <c r="Z634" s="34" t="s">
        <v>1783</v>
      </c>
      <c r="AA634" s="34">
        <f t="shared" si="28"/>
        <v>0</v>
      </c>
      <c r="AB634" s="34">
        <f t="shared" si="30"/>
        <v>0</v>
      </c>
      <c r="AC634" s="25" t="s">
        <v>1371</v>
      </c>
    </row>
    <row r="635" spans="1:29" ht="27.6">
      <c r="A635" s="23"/>
      <c r="B635" s="81"/>
      <c r="C635" s="25"/>
      <c r="D635" s="44" t="s">
        <v>1527</v>
      </c>
      <c r="E635" s="25">
        <v>20</v>
      </c>
      <c r="F635" s="25">
        <v>400</v>
      </c>
      <c r="G635" s="26">
        <f t="shared" si="31"/>
        <v>8000</v>
      </c>
      <c r="H635" s="27" t="s">
        <v>37</v>
      </c>
      <c r="I635" s="37">
        <v>45180</v>
      </c>
      <c r="J635" s="29">
        <v>400</v>
      </c>
      <c r="K635" s="29">
        <v>5</v>
      </c>
      <c r="L635" s="57">
        <v>45187</v>
      </c>
      <c r="M635" s="31">
        <f>6500+1500</f>
        <v>8000</v>
      </c>
      <c r="N635" s="31">
        <v>80</v>
      </c>
      <c r="O635" s="31" t="s">
        <v>1627</v>
      </c>
      <c r="P635" s="32" t="s">
        <v>160</v>
      </c>
      <c r="Q635" s="33">
        <v>8500061459</v>
      </c>
      <c r="R635" s="33">
        <v>5000968021</v>
      </c>
      <c r="S635" s="29">
        <v>400</v>
      </c>
      <c r="T635" s="31" t="s">
        <v>1558</v>
      </c>
      <c r="U635" s="31">
        <v>8500061458</v>
      </c>
      <c r="V635" s="31">
        <v>5000991973</v>
      </c>
      <c r="W635" s="50">
        <v>45215</v>
      </c>
      <c r="X635" s="34">
        <v>400</v>
      </c>
      <c r="Y635" s="34">
        <v>8000</v>
      </c>
      <c r="Z635" s="34" t="s">
        <v>1784</v>
      </c>
      <c r="AA635" s="34">
        <f t="shared" si="28"/>
        <v>0</v>
      </c>
      <c r="AB635" s="34">
        <f t="shared" si="30"/>
        <v>0</v>
      </c>
      <c r="AC635" s="25" t="s">
        <v>1371</v>
      </c>
    </row>
    <row r="636" spans="1:29" ht="27.6">
      <c r="A636" s="23"/>
      <c r="B636" s="81"/>
      <c r="C636" s="25"/>
      <c r="D636" s="44" t="s">
        <v>1528</v>
      </c>
      <c r="E636" s="25">
        <v>20</v>
      </c>
      <c r="F636" s="25">
        <v>100</v>
      </c>
      <c r="G636" s="26">
        <f t="shared" si="31"/>
        <v>2000</v>
      </c>
      <c r="H636" s="27" t="s">
        <v>146</v>
      </c>
      <c r="I636" s="37">
        <v>45180</v>
      </c>
      <c r="J636" s="29">
        <v>100</v>
      </c>
      <c r="K636" s="29">
        <f>1+1</f>
        <v>2</v>
      </c>
      <c r="L636" s="57">
        <v>45189</v>
      </c>
      <c r="M636" s="31">
        <v>2000</v>
      </c>
      <c r="N636" s="31">
        <v>20</v>
      </c>
      <c r="O636" s="31" t="s">
        <v>1628</v>
      </c>
      <c r="P636" s="32" t="s">
        <v>160</v>
      </c>
      <c r="Q636" s="33">
        <v>85000061465</v>
      </c>
      <c r="R636" s="33">
        <v>5000968024</v>
      </c>
      <c r="S636" s="29">
        <v>100</v>
      </c>
      <c r="T636" s="31" t="s">
        <v>1558</v>
      </c>
      <c r="U636" s="31">
        <v>8500061464</v>
      </c>
      <c r="V636" s="31">
        <v>5001002209</v>
      </c>
      <c r="W636" s="50">
        <v>45210</v>
      </c>
      <c r="X636" s="34">
        <v>100</v>
      </c>
      <c r="Y636" s="34">
        <v>2000</v>
      </c>
      <c r="Z636" s="34" t="s">
        <v>800</v>
      </c>
      <c r="AA636" s="34">
        <f t="shared" si="28"/>
        <v>0</v>
      </c>
      <c r="AB636" s="34">
        <f t="shared" si="30"/>
        <v>0</v>
      </c>
      <c r="AC636" s="25" t="s">
        <v>1371</v>
      </c>
    </row>
    <row r="637" spans="1:29" ht="27.6">
      <c r="A637" s="23" t="s">
        <v>692</v>
      </c>
      <c r="B637" s="81">
        <v>6000024927</v>
      </c>
      <c r="C637" s="44" t="s">
        <v>1529</v>
      </c>
      <c r="D637" s="44" t="s">
        <v>1531</v>
      </c>
      <c r="E637" s="25">
        <v>20</v>
      </c>
      <c r="F637" s="25">
        <v>540</v>
      </c>
      <c r="G637" s="26">
        <f t="shared" si="31"/>
        <v>10800</v>
      </c>
      <c r="H637" s="27" t="s">
        <v>27</v>
      </c>
      <c r="I637" s="37">
        <v>45187</v>
      </c>
      <c r="J637" s="29">
        <v>540</v>
      </c>
      <c r="K637" s="29">
        <f>6+1</f>
        <v>7</v>
      </c>
      <c r="L637" s="57">
        <v>45185</v>
      </c>
      <c r="M637" s="31">
        <v>10800</v>
      </c>
      <c r="N637" s="31">
        <v>108</v>
      </c>
      <c r="O637" s="31" t="s">
        <v>876</v>
      </c>
      <c r="P637" s="32" t="s">
        <v>160</v>
      </c>
      <c r="Q637" s="33">
        <v>8500061471</v>
      </c>
      <c r="R637" s="33">
        <v>5000994509</v>
      </c>
      <c r="S637" s="29">
        <v>540</v>
      </c>
      <c r="T637" s="31" t="s">
        <v>1558</v>
      </c>
      <c r="U637" s="31">
        <v>8500061470</v>
      </c>
      <c r="V637" s="31">
        <v>5000990718</v>
      </c>
      <c r="W637" s="50">
        <v>45204</v>
      </c>
      <c r="X637" s="34">
        <v>540</v>
      </c>
      <c r="Y637" s="34">
        <v>10800</v>
      </c>
      <c r="Z637" s="34" t="s">
        <v>800</v>
      </c>
      <c r="AA637" s="34">
        <f t="shared" si="28"/>
        <v>0</v>
      </c>
      <c r="AB637" s="34">
        <f t="shared" si="30"/>
        <v>0</v>
      </c>
      <c r="AC637" s="25" t="s">
        <v>1371</v>
      </c>
    </row>
    <row r="638" spans="1:29" ht="31.2">
      <c r="A638" s="23"/>
      <c r="B638" s="81"/>
      <c r="C638" s="25"/>
      <c r="D638" s="44" t="s">
        <v>1532</v>
      </c>
      <c r="E638" s="25">
        <v>20</v>
      </c>
      <c r="F638" s="25">
        <v>500</v>
      </c>
      <c r="G638" s="26">
        <f t="shared" si="31"/>
        <v>10000</v>
      </c>
      <c r="H638" s="27" t="s">
        <v>46</v>
      </c>
      <c r="I638" s="37">
        <v>45181</v>
      </c>
      <c r="J638" s="29">
        <v>500</v>
      </c>
      <c r="K638" s="29">
        <f>5+2</f>
        <v>7</v>
      </c>
      <c r="L638" s="57" t="s">
        <v>1623</v>
      </c>
      <c r="M638" s="31">
        <f>7850+2150</f>
        <v>10000</v>
      </c>
      <c r="N638" s="31">
        <v>100</v>
      </c>
      <c r="O638" s="31" t="s">
        <v>1622</v>
      </c>
      <c r="P638" s="32" t="s">
        <v>160</v>
      </c>
      <c r="Q638" s="33">
        <v>8500061469</v>
      </c>
      <c r="R638" s="33">
        <v>5000971837</v>
      </c>
      <c r="S638" s="29">
        <v>500</v>
      </c>
      <c r="T638" s="31" t="s">
        <v>1558</v>
      </c>
      <c r="U638" s="31">
        <v>8500061468</v>
      </c>
      <c r="V638" s="31">
        <v>5000990719</v>
      </c>
      <c r="W638" s="50">
        <v>45204</v>
      </c>
      <c r="X638" s="34">
        <v>500</v>
      </c>
      <c r="Y638" s="34">
        <v>10000</v>
      </c>
      <c r="Z638" s="34" t="s">
        <v>800</v>
      </c>
      <c r="AA638" s="34">
        <f t="shared" si="28"/>
        <v>0</v>
      </c>
      <c r="AB638" s="34">
        <f t="shared" si="30"/>
        <v>0</v>
      </c>
      <c r="AC638" s="25" t="s">
        <v>1371</v>
      </c>
    </row>
    <row r="639" spans="1:29" ht="46.8">
      <c r="A639" s="23"/>
      <c r="B639" s="81"/>
      <c r="C639" s="25"/>
      <c r="D639" s="44" t="s">
        <v>1530</v>
      </c>
      <c r="E639" s="25">
        <v>20</v>
      </c>
      <c r="F639" s="25">
        <v>500</v>
      </c>
      <c r="G639" s="26">
        <f t="shared" si="31"/>
        <v>10000</v>
      </c>
      <c r="H639" s="27" t="s">
        <v>37</v>
      </c>
      <c r="I639" s="37">
        <v>45180</v>
      </c>
      <c r="J639" s="29">
        <v>500</v>
      </c>
      <c r="K639" s="29">
        <f>5+2</f>
        <v>7</v>
      </c>
      <c r="L639" s="57" t="s">
        <v>1650</v>
      </c>
      <c r="M639" s="31">
        <f>8400+1450+150</f>
        <v>10000</v>
      </c>
      <c r="N639" s="31">
        <v>100</v>
      </c>
      <c r="O639" s="31" t="s">
        <v>1651</v>
      </c>
      <c r="P639" s="32" t="s">
        <v>160</v>
      </c>
      <c r="Q639" s="33">
        <v>8500061467</v>
      </c>
      <c r="R639" s="33">
        <v>5000968025</v>
      </c>
      <c r="S639" s="29">
        <v>500</v>
      </c>
      <c r="T639" s="31" t="s">
        <v>1558</v>
      </c>
      <c r="U639" s="31">
        <v>8500061466</v>
      </c>
      <c r="V639" s="31">
        <v>5000991972</v>
      </c>
      <c r="W639" s="50">
        <v>45204</v>
      </c>
      <c r="X639" s="34">
        <v>500</v>
      </c>
      <c r="Y639" s="34">
        <v>10000</v>
      </c>
      <c r="Z639" s="34" t="s">
        <v>800</v>
      </c>
      <c r="AA639" s="34">
        <f t="shared" si="28"/>
        <v>0</v>
      </c>
      <c r="AB639" s="34">
        <f t="shared" si="30"/>
        <v>0</v>
      </c>
      <c r="AC639" s="25" t="s">
        <v>1371</v>
      </c>
    </row>
    <row r="640" spans="1:29" ht="15.6">
      <c r="A640" s="23" t="s">
        <v>1539</v>
      </c>
      <c r="B640" s="81">
        <v>6000024729</v>
      </c>
      <c r="C640" s="25" t="s">
        <v>1540</v>
      </c>
      <c r="D640" s="44">
        <v>6000024749</v>
      </c>
      <c r="E640" s="25">
        <v>10</v>
      </c>
      <c r="F640" s="25">
        <v>110</v>
      </c>
      <c r="G640" s="26">
        <f t="shared" si="31"/>
        <v>1100</v>
      </c>
      <c r="H640" s="27" t="s">
        <v>27</v>
      </c>
      <c r="I640" s="37">
        <v>45181</v>
      </c>
      <c r="J640" s="25">
        <v>110</v>
      </c>
      <c r="K640" s="29">
        <v>1</v>
      </c>
      <c r="L640" s="57">
        <v>45184</v>
      </c>
      <c r="M640" s="31">
        <v>1100</v>
      </c>
      <c r="N640" s="31">
        <v>21</v>
      </c>
      <c r="O640" s="31" t="s">
        <v>898</v>
      </c>
      <c r="P640" s="32" t="s">
        <v>1557</v>
      </c>
      <c r="Q640" s="33">
        <v>8500061246</v>
      </c>
      <c r="R640" s="33">
        <v>5000968439</v>
      </c>
      <c r="S640" s="25">
        <v>110</v>
      </c>
      <c r="T640" s="31" t="s">
        <v>87</v>
      </c>
      <c r="U640" s="31">
        <v>8500061245</v>
      </c>
      <c r="V640" s="31">
        <v>5000983021</v>
      </c>
      <c r="W640" s="50">
        <v>45205</v>
      </c>
      <c r="X640" s="34">
        <v>110</v>
      </c>
      <c r="Y640" s="34">
        <v>1100</v>
      </c>
      <c r="Z640" s="34" t="s">
        <v>800</v>
      </c>
      <c r="AA640" s="34">
        <f t="shared" si="28"/>
        <v>0</v>
      </c>
      <c r="AB640" s="34">
        <f t="shared" si="30"/>
        <v>0</v>
      </c>
      <c r="AC640" s="25" t="s">
        <v>1371</v>
      </c>
    </row>
    <row r="641" spans="1:29" ht="15.6">
      <c r="A641" s="23"/>
      <c r="B641" s="81"/>
      <c r="C641" s="25"/>
      <c r="D641" s="44"/>
      <c r="E641" s="25">
        <v>10</v>
      </c>
      <c r="F641" s="25">
        <v>370</v>
      </c>
      <c r="G641" s="26">
        <f t="shared" si="31"/>
        <v>3700</v>
      </c>
      <c r="H641" s="27" t="s">
        <v>46</v>
      </c>
      <c r="I641" s="37">
        <v>45181</v>
      </c>
      <c r="J641" s="25">
        <v>370</v>
      </c>
      <c r="K641" s="29">
        <v>2</v>
      </c>
      <c r="L641" s="57">
        <v>45184</v>
      </c>
      <c r="M641" s="31">
        <v>3700</v>
      </c>
      <c r="N641" s="31">
        <v>47</v>
      </c>
      <c r="O641" s="31" t="s">
        <v>878</v>
      </c>
      <c r="P641" s="32" t="s">
        <v>1557</v>
      </c>
      <c r="Q641" s="33">
        <v>8500061246</v>
      </c>
      <c r="R641" s="33">
        <v>5000968439</v>
      </c>
      <c r="S641" s="25">
        <v>370</v>
      </c>
      <c r="T641" s="31" t="s">
        <v>87</v>
      </c>
      <c r="U641" s="31">
        <v>8500061245</v>
      </c>
      <c r="V641" s="31">
        <v>5000983021</v>
      </c>
      <c r="W641" s="50">
        <v>45205</v>
      </c>
      <c r="X641" s="34">
        <v>370</v>
      </c>
      <c r="Y641" s="34">
        <v>3700</v>
      </c>
      <c r="Z641" s="34" t="s">
        <v>800</v>
      </c>
      <c r="AA641" s="34">
        <f t="shared" si="28"/>
        <v>0</v>
      </c>
      <c r="AB641" s="34">
        <f t="shared" si="30"/>
        <v>0</v>
      </c>
      <c r="AC641" s="25" t="s">
        <v>1371</v>
      </c>
    </row>
    <row r="642" spans="1:29" ht="15.6">
      <c r="A642" s="23"/>
      <c r="B642" s="81"/>
      <c r="C642" s="25"/>
      <c r="D642" s="25"/>
      <c r="E642" s="25">
        <v>10</v>
      </c>
      <c r="F642" s="25">
        <v>350</v>
      </c>
      <c r="G642" s="26">
        <f t="shared" si="31"/>
        <v>3500</v>
      </c>
      <c r="H642" s="27" t="s">
        <v>37</v>
      </c>
      <c r="I642" s="37">
        <v>45181</v>
      </c>
      <c r="J642" s="25">
        <v>350</v>
      </c>
      <c r="K642" s="29">
        <v>3</v>
      </c>
      <c r="L642" s="57">
        <v>45184</v>
      </c>
      <c r="M642" s="31">
        <v>3500</v>
      </c>
      <c r="N642" s="31">
        <v>45</v>
      </c>
      <c r="O642" s="31" t="s">
        <v>1580</v>
      </c>
      <c r="P642" s="32" t="s">
        <v>1557</v>
      </c>
      <c r="Q642" s="33">
        <v>8500061246</v>
      </c>
      <c r="R642" s="33">
        <v>5000968439</v>
      </c>
      <c r="S642" s="25">
        <v>350</v>
      </c>
      <c r="T642" s="31" t="s">
        <v>87</v>
      </c>
      <c r="U642" s="31">
        <v>8500061245</v>
      </c>
      <c r="V642" s="31">
        <v>5000983021</v>
      </c>
      <c r="W642" s="50">
        <v>45206</v>
      </c>
      <c r="X642" s="34">
        <v>350</v>
      </c>
      <c r="Y642" s="34">
        <v>3500</v>
      </c>
      <c r="Z642" s="34" t="s">
        <v>800</v>
      </c>
      <c r="AA642" s="34">
        <f t="shared" si="28"/>
        <v>0</v>
      </c>
      <c r="AB642" s="34">
        <f t="shared" si="30"/>
        <v>0</v>
      </c>
      <c r="AC642" s="25" t="s">
        <v>1371</v>
      </c>
    </row>
    <row r="643" spans="1:29" ht="15.6">
      <c r="A643" s="23"/>
      <c r="B643" s="81"/>
      <c r="C643" s="25"/>
      <c r="D643" s="25"/>
      <c r="E643" s="25">
        <v>10</v>
      </c>
      <c r="F643" s="25">
        <v>270</v>
      </c>
      <c r="G643" s="26">
        <f t="shared" ref="G643:G674" si="32">F643*E643</f>
        <v>2700</v>
      </c>
      <c r="H643" s="27" t="s">
        <v>146</v>
      </c>
      <c r="I643" s="37">
        <v>45181</v>
      </c>
      <c r="J643" s="25">
        <v>270</v>
      </c>
      <c r="K643" s="29">
        <v>2</v>
      </c>
      <c r="L643" s="57">
        <v>45184</v>
      </c>
      <c r="M643" s="31">
        <v>2700</v>
      </c>
      <c r="N643" s="31">
        <v>37</v>
      </c>
      <c r="O643" s="31" t="s">
        <v>1579</v>
      </c>
      <c r="P643" s="32" t="s">
        <v>1557</v>
      </c>
      <c r="Q643" s="33">
        <v>8500061246</v>
      </c>
      <c r="R643" s="33">
        <v>5000968439</v>
      </c>
      <c r="S643" s="25">
        <v>270</v>
      </c>
      <c r="T643" s="31" t="s">
        <v>87</v>
      </c>
      <c r="U643" s="31">
        <v>8500061245</v>
      </c>
      <c r="V643" s="31">
        <v>5000983021</v>
      </c>
      <c r="W643" s="50">
        <v>45210</v>
      </c>
      <c r="X643" s="34">
        <v>270</v>
      </c>
      <c r="Y643" s="34">
        <v>2700</v>
      </c>
      <c r="Z643" s="34" t="s">
        <v>800</v>
      </c>
      <c r="AA643" s="34">
        <f t="shared" si="28"/>
        <v>0</v>
      </c>
      <c r="AB643" s="34">
        <f t="shared" si="30"/>
        <v>0</v>
      </c>
      <c r="AC643" s="25" t="s">
        <v>1371</v>
      </c>
    </row>
    <row r="644" spans="1:29" ht="15.6">
      <c r="A644" s="23" t="s">
        <v>1539</v>
      </c>
      <c r="B644" s="81">
        <v>6000024729</v>
      </c>
      <c r="C644" s="25" t="s">
        <v>1541</v>
      </c>
      <c r="D644" s="44">
        <v>6000024749</v>
      </c>
      <c r="E644" s="25">
        <v>10</v>
      </c>
      <c r="F644" s="25">
        <v>215</v>
      </c>
      <c r="G644" s="26">
        <f t="shared" si="32"/>
        <v>2150</v>
      </c>
      <c r="H644" s="27" t="s">
        <v>27</v>
      </c>
      <c r="I644" s="37">
        <v>45181</v>
      </c>
      <c r="J644" s="25">
        <v>215</v>
      </c>
      <c r="K644" s="29">
        <v>1</v>
      </c>
      <c r="L644" s="57">
        <v>45183</v>
      </c>
      <c r="M644" s="31">
        <v>2150</v>
      </c>
      <c r="N644" s="31">
        <v>32</v>
      </c>
      <c r="O644" s="31" t="s">
        <v>1567</v>
      </c>
      <c r="P644" s="32" t="s">
        <v>1557</v>
      </c>
      <c r="Q644" s="33">
        <v>8500061248</v>
      </c>
      <c r="R644" s="33">
        <v>5000968470</v>
      </c>
      <c r="S644" s="25">
        <v>215</v>
      </c>
      <c r="T644" s="31" t="s">
        <v>87</v>
      </c>
      <c r="U644" s="31">
        <v>8500061247</v>
      </c>
      <c r="V644" s="31">
        <v>5000976867</v>
      </c>
      <c r="W644" s="50">
        <v>45206</v>
      </c>
      <c r="X644" s="34">
        <v>215</v>
      </c>
      <c r="Y644" s="34">
        <v>2150</v>
      </c>
      <c r="Z644" s="34" t="s">
        <v>800</v>
      </c>
      <c r="AA644" s="34">
        <f t="shared" si="28"/>
        <v>0</v>
      </c>
      <c r="AB644" s="34">
        <f t="shared" si="30"/>
        <v>0</v>
      </c>
      <c r="AC644" s="25" t="s">
        <v>1371</v>
      </c>
    </row>
    <row r="645" spans="1:29" ht="15.6">
      <c r="A645" s="23"/>
      <c r="B645" s="81"/>
      <c r="C645" s="25"/>
      <c r="D645" s="25"/>
      <c r="E645" s="25">
        <v>10</v>
      </c>
      <c r="F645" s="25">
        <v>731</v>
      </c>
      <c r="G645" s="26">
        <f t="shared" si="32"/>
        <v>7310</v>
      </c>
      <c r="H645" s="27" t="s">
        <v>46</v>
      </c>
      <c r="I645" s="37">
        <v>45181</v>
      </c>
      <c r="J645" s="25">
        <v>731</v>
      </c>
      <c r="K645" s="29">
        <v>3</v>
      </c>
      <c r="L645" s="57">
        <v>45183</v>
      </c>
      <c r="M645" s="31">
        <v>7310</v>
      </c>
      <c r="N645" s="31">
        <v>83</v>
      </c>
      <c r="O645" s="31" t="s">
        <v>846</v>
      </c>
      <c r="P645" s="32" t="s">
        <v>1557</v>
      </c>
      <c r="Q645" s="33">
        <v>8500061248</v>
      </c>
      <c r="R645" s="33">
        <v>5000968470</v>
      </c>
      <c r="S645" s="25">
        <v>731</v>
      </c>
      <c r="T645" s="31" t="s">
        <v>87</v>
      </c>
      <c r="U645" s="31">
        <v>8500061247</v>
      </c>
      <c r="V645" s="31">
        <v>5000976867</v>
      </c>
      <c r="W645" s="50">
        <v>45206</v>
      </c>
      <c r="X645" s="34">
        <v>731</v>
      </c>
      <c r="Y645" s="34">
        <v>7310</v>
      </c>
      <c r="Z645" s="34" t="s">
        <v>800</v>
      </c>
      <c r="AA645" s="34">
        <f t="shared" si="28"/>
        <v>0</v>
      </c>
      <c r="AB645" s="34">
        <f t="shared" si="30"/>
        <v>0</v>
      </c>
      <c r="AC645" s="25" t="s">
        <v>1371</v>
      </c>
    </row>
    <row r="646" spans="1:29" ht="15.6">
      <c r="A646" s="23"/>
      <c r="B646" s="81"/>
      <c r="C646" s="25"/>
      <c r="D646" s="25"/>
      <c r="E646" s="25">
        <v>10</v>
      </c>
      <c r="F646" s="25">
        <v>688</v>
      </c>
      <c r="G646" s="26">
        <f t="shared" si="32"/>
        <v>6880</v>
      </c>
      <c r="H646" s="27" t="s">
        <v>37</v>
      </c>
      <c r="I646" s="37">
        <v>45181</v>
      </c>
      <c r="J646" s="25">
        <v>688</v>
      </c>
      <c r="K646" s="29">
        <v>3</v>
      </c>
      <c r="L646" s="57">
        <v>45183</v>
      </c>
      <c r="M646" s="31">
        <v>6880</v>
      </c>
      <c r="N646" s="31">
        <v>79</v>
      </c>
      <c r="O646" s="31" t="s">
        <v>1568</v>
      </c>
      <c r="P646" s="32" t="s">
        <v>1557</v>
      </c>
      <c r="Q646" s="33">
        <v>8500061248</v>
      </c>
      <c r="R646" s="33">
        <v>5000968470</v>
      </c>
      <c r="S646" s="25">
        <v>688</v>
      </c>
      <c r="T646" s="31" t="s">
        <v>87</v>
      </c>
      <c r="U646" s="31">
        <v>8500061247</v>
      </c>
      <c r="V646" s="31">
        <v>5000976867</v>
      </c>
      <c r="W646" s="50">
        <v>45211</v>
      </c>
      <c r="X646" s="34">
        <v>688</v>
      </c>
      <c r="Y646" s="34">
        <v>6880</v>
      </c>
      <c r="Z646" s="34" t="s">
        <v>754</v>
      </c>
      <c r="AA646" s="34">
        <f t="shared" si="28"/>
        <v>0</v>
      </c>
      <c r="AB646" s="34">
        <f t="shared" si="30"/>
        <v>0</v>
      </c>
      <c r="AC646" s="25" t="s">
        <v>1371</v>
      </c>
    </row>
    <row r="647" spans="1:29" ht="15.6">
      <c r="A647" s="23"/>
      <c r="B647" s="81"/>
      <c r="C647" s="25"/>
      <c r="D647" s="25"/>
      <c r="E647" s="25">
        <v>10</v>
      </c>
      <c r="F647" s="25">
        <v>516</v>
      </c>
      <c r="G647" s="26">
        <f t="shared" si="32"/>
        <v>5160</v>
      </c>
      <c r="H647" s="27" t="s">
        <v>146</v>
      </c>
      <c r="I647" s="37">
        <v>45181</v>
      </c>
      <c r="J647" s="25">
        <v>516</v>
      </c>
      <c r="K647" s="29">
        <v>2</v>
      </c>
      <c r="L647" s="57">
        <v>45183</v>
      </c>
      <c r="M647" s="31">
        <v>5160</v>
      </c>
      <c r="N647" s="31">
        <v>62</v>
      </c>
      <c r="O647" s="31" t="s">
        <v>1569</v>
      </c>
      <c r="P647" s="32" t="s">
        <v>1557</v>
      </c>
      <c r="Q647" s="33">
        <v>8500061248</v>
      </c>
      <c r="R647" s="33">
        <v>5000968470</v>
      </c>
      <c r="S647" s="25">
        <v>516</v>
      </c>
      <c r="T647" s="31" t="s">
        <v>87</v>
      </c>
      <c r="U647" s="31">
        <v>8500061247</v>
      </c>
      <c r="V647" s="31">
        <v>5000976867</v>
      </c>
      <c r="W647" s="50">
        <v>45211</v>
      </c>
      <c r="X647" s="34">
        <v>516</v>
      </c>
      <c r="Y647" s="34">
        <v>5160</v>
      </c>
      <c r="Z647" s="34" t="s">
        <v>754</v>
      </c>
      <c r="AA647" s="34">
        <f t="shared" si="28"/>
        <v>0</v>
      </c>
      <c r="AB647" s="34">
        <f t="shared" si="30"/>
        <v>0</v>
      </c>
      <c r="AC647" s="25" t="s">
        <v>1371</v>
      </c>
    </row>
    <row r="648" spans="1:29" ht="15.6">
      <c r="A648" s="23" t="s">
        <v>1539</v>
      </c>
      <c r="B648" s="81">
        <v>6000024729</v>
      </c>
      <c r="C648" s="25" t="s">
        <v>1542</v>
      </c>
      <c r="D648" s="44">
        <v>6000024749</v>
      </c>
      <c r="E648" s="25">
        <v>10</v>
      </c>
      <c r="F648" s="25">
        <v>105</v>
      </c>
      <c r="G648" s="26">
        <f t="shared" si="32"/>
        <v>1050</v>
      </c>
      <c r="H648" s="27" t="s">
        <v>27</v>
      </c>
      <c r="I648" s="37">
        <v>45181</v>
      </c>
      <c r="J648" s="25">
        <v>105</v>
      </c>
      <c r="K648" s="29">
        <v>1</v>
      </c>
      <c r="L648" s="57">
        <v>45184</v>
      </c>
      <c r="M648" s="46">
        <v>1050</v>
      </c>
      <c r="N648" s="31">
        <v>21</v>
      </c>
      <c r="O648" s="31" t="s">
        <v>898</v>
      </c>
      <c r="P648" s="32" t="s">
        <v>1557</v>
      </c>
      <c r="Q648" s="33">
        <v>8500061250</v>
      </c>
      <c r="R648" s="33">
        <v>5000968471</v>
      </c>
      <c r="S648" s="25">
        <v>105</v>
      </c>
      <c r="T648" s="31" t="s">
        <v>87</v>
      </c>
      <c r="U648" s="31">
        <v>8500061249</v>
      </c>
      <c r="V648" s="31">
        <v>5000983024</v>
      </c>
      <c r="W648" s="50">
        <v>45205</v>
      </c>
      <c r="X648" s="34">
        <v>105</v>
      </c>
      <c r="Y648" s="34">
        <v>1050</v>
      </c>
      <c r="Z648" s="34" t="s">
        <v>800</v>
      </c>
      <c r="AA648" s="34">
        <f t="shared" si="28"/>
        <v>0</v>
      </c>
      <c r="AB648" s="34">
        <f t="shared" si="30"/>
        <v>0</v>
      </c>
      <c r="AC648" s="25" t="s">
        <v>1371</v>
      </c>
    </row>
    <row r="649" spans="1:29" ht="15.6">
      <c r="A649" s="23"/>
      <c r="B649" s="81"/>
      <c r="C649" s="25"/>
      <c r="D649" s="25"/>
      <c r="E649" s="25">
        <v>10</v>
      </c>
      <c r="F649" s="25">
        <v>357</v>
      </c>
      <c r="G649" s="26">
        <f t="shared" si="32"/>
        <v>3570</v>
      </c>
      <c r="H649" s="27" t="s">
        <v>46</v>
      </c>
      <c r="I649" s="37">
        <v>45181</v>
      </c>
      <c r="J649" s="25">
        <v>357</v>
      </c>
      <c r="K649" s="29">
        <v>3</v>
      </c>
      <c r="L649" s="57">
        <v>45184</v>
      </c>
      <c r="M649" s="46">
        <v>3570</v>
      </c>
      <c r="N649" s="31">
        <v>46</v>
      </c>
      <c r="O649" s="31" t="s">
        <v>878</v>
      </c>
      <c r="P649" s="32" t="s">
        <v>1557</v>
      </c>
      <c r="Q649" s="33">
        <v>8500061250</v>
      </c>
      <c r="R649" s="33">
        <v>5000968471</v>
      </c>
      <c r="S649" s="25">
        <v>357</v>
      </c>
      <c r="T649" s="31" t="s">
        <v>87</v>
      </c>
      <c r="U649" s="31">
        <v>8500061249</v>
      </c>
      <c r="V649" s="31">
        <v>5000983024</v>
      </c>
      <c r="W649" s="50">
        <v>45203</v>
      </c>
      <c r="X649" s="34">
        <v>357</v>
      </c>
      <c r="Y649" s="34">
        <v>3570</v>
      </c>
      <c r="Z649" s="34" t="s">
        <v>800</v>
      </c>
      <c r="AA649" s="34">
        <f t="shared" si="28"/>
        <v>0</v>
      </c>
      <c r="AB649" s="34">
        <f t="shared" si="30"/>
        <v>0</v>
      </c>
      <c r="AC649" s="25" t="s">
        <v>1371</v>
      </c>
    </row>
    <row r="650" spans="1:29" ht="15.6">
      <c r="A650" s="23"/>
      <c r="B650" s="81"/>
      <c r="C650" s="25"/>
      <c r="D650" s="25"/>
      <c r="E650" s="25">
        <v>10</v>
      </c>
      <c r="F650" s="25">
        <v>336</v>
      </c>
      <c r="G650" s="26">
        <f t="shared" si="32"/>
        <v>3360</v>
      </c>
      <c r="H650" s="27" t="s">
        <v>37</v>
      </c>
      <c r="I650" s="37">
        <v>45181</v>
      </c>
      <c r="J650" s="25">
        <v>336</v>
      </c>
      <c r="K650" s="29">
        <v>2</v>
      </c>
      <c r="L650" s="57">
        <v>45184</v>
      </c>
      <c r="M650" s="46">
        <v>3360</v>
      </c>
      <c r="N650" s="31">
        <v>44</v>
      </c>
      <c r="O650" s="31" t="s">
        <v>897</v>
      </c>
      <c r="P650" s="32" t="s">
        <v>1557</v>
      </c>
      <c r="Q650" s="33">
        <v>8500061250</v>
      </c>
      <c r="R650" s="33">
        <v>5000968471</v>
      </c>
      <c r="S650" s="25">
        <v>336</v>
      </c>
      <c r="T650" s="31" t="s">
        <v>87</v>
      </c>
      <c r="U650" s="31">
        <v>8500061249</v>
      </c>
      <c r="V650" s="31">
        <v>5000983024</v>
      </c>
      <c r="W650" s="50">
        <v>45203</v>
      </c>
      <c r="X650" s="34">
        <v>336</v>
      </c>
      <c r="Y650" s="34">
        <v>3360</v>
      </c>
      <c r="Z650" s="34" t="s">
        <v>800</v>
      </c>
      <c r="AA650" s="34">
        <f t="shared" si="28"/>
        <v>0</v>
      </c>
      <c r="AB650" s="34">
        <f t="shared" si="30"/>
        <v>0</v>
      </c>
      <c r="AC650" s="25" t="s">
        <v>1371</v>
      </c>
    </row>
    <row r="651" spans="1:29" ht="15.6">
      <c r="A651" s="23"/>
      <c r="B651" s="81"/>
      <c r="C651" s="25"/>
      <c r="D651" s="25"/>
      <c r="E651" s="25">
        <v>10</v>
      </c>
      <c r="F651" s="25">
        <v>252</v>
      </c>
      <c r="G651" s="26">
        <f t="shared" si="32"/>
        <v>2520</v>
      </c>
      <c r="H651" s="27" t="s">
        <v>146</v>
      </c>
      <c r="I651" s="37">
        <v>45181</v>
      </c>
      <c r="J651" s="25">
        <v>252</v>
      </c>
      <c r="K651" s="29">
        <v>2</v>
      </c>
      <c r="L651" s="57">
        <v>45184</v>
      </c>
      <c r="M651" s="46">
        <v>2520</v>
      </c>
      <c r="N651" s="31">
        <v>35</v>
      </c>
      <c r="O651" s="31" t="s">
        <v>1440</v>
      </c>
      <c r="P651" s="32" t="s">
        <v>1557</v>
      </c>
      <c r="Q651" s="33">
        <v>8500061250</v>
      </c>
      <c r="R651" s="33">
        <v>5000968471</v>
      </c>
      <c r="S651" s="25">
        <v>252</v>
      </c>
      <c r="T651" s="31" t="s">
        <v>87</v>
      </c>
      <c r="U651" s="31">
        <v>8500061249</v>
      </c>
      <c r="V651" s="31">
        <v>5000983024</v>
      </c>
      <c r="W651" s="50">
        <v>45203</v>
      </c>
      <c r="X651" s="34">
        <v>252</v>
      </c>
      <c r="Y651" s="34">
        <v>2520</v>
      </c>
      <c r="Z651" s="34" t="s">
        <v>800</v>
      </c>
      <c r="AA651" s="34">
        <f t="shared" si="28"/>
        <v>0</v>
      </c>
      <c r="AB651" s="34">
        <f t="shared" si="30"/>
        <v>0</v>
      </c>
      <c r="AC651" s="25" t="s">
        <v>1371</v>
      </c>
    </row>
    <row r="652" spans="1:29" ht="15.6">
      <c r="A652" s="23" t="s">
        <v>868</v>
      </c>
      <c r="B652" s="81">
        <v>6000024868</v>
      </c>
      <c r="C652" s="44" t="s">
        <v>1544</v>
      </c>
      <c r="D652" s="25">
        <v>6000024868</v>
      </c>
      <c r="E652" s="25">
        <v>20</v>
      </c>
      <c r="F652" s="25">
        <v>50</v>
      </c>
      <c r="G652" s="26">
        <f t="shared" si="32"/>
        <v>1000</v>
      </c>
      <c r="H652" s="27" t="s">
        <v>243</v>
      </c>
      <c r="I652" s="37">
        <v>45181</v>
      </c>
      <c r="J652" s="29">
        <v>50</v>
      </c>
      <c r="K652" s="29">
        <v>6</v>
      </c>
      <c r="L652" s="57">
        <v>45190</v>
      </c>
      <c r="M652" s="31">
        <v>1000</v>
      </c>
      <c r="N652" s="31">
        <f>20+10</f>
        <v>30</v>
      </c>
      <c r="O652" s="31" t="s">
        <v>1369</v>
      </c>
      <c r="P652" s="32" t="s">
        <v>28</v>
      </c>
      <c r="Q652" s="33">
        <v>8500061227</v>
      </c>
      <c r="R652" s="33">
        <v>5000971633</v>
      </c>
      <c r="S652" s="29">
        <v>50</v>
      </c>
      <c r="T652" s="31" t="s">
        <v>655</v>
      </c>
      <c r="U652" s="31">
        <v>8500061226</v>
      </c>
      <c r="V652" s="31">
        <v>5001002266</v>
      </c>
      <c r="W652" s="50">
        <v>45205</v>
      </c>
      <c r="X652" s="34">
        <v>50</v>
      </c>
      <c r="Y652" s="34">
        <v>1000</v>
      </c>
      <c r="Z652" s="34" t="s">
        <v>1608</v>
      </c>
      <c r="AA652" s="34">
        <f t="shared" ref="AA652:AA699" si="33">J652-X652</f>
        <v>0</v>
      </c>
      <c r="AB652" s="34">
        <f t="shared" si="30"/>
        <v>0</v>
      </c>
      <c r="AC652" s="25" t="s">
        <v>1371</v>
      </c>
    </row>
    <row r="653" spans="1:29" ht="15.6">
      <c r="A653" s="23"/>
      <c r="B653" s="81"/>
      <c r="C653" s="25"/>
      <c r="D653" s="25"/>
      <c r="E653" s="25">
        <v>20</v>
      </c>
      <c r="F653" s="25">
        <v>150</v>
      </c>
      <c r="G653" s="26">
        <f t="shared" si="32"/>
        <v>3000</v>
      </c>
      <c r="H653" s="27" t="s">
        <v>27</v>
      </c>
      <c r="I653" s="37">
        <v>45182</v>
      </c>
      <c r="J653" s="25">
        <v>150</v>
      </c>
      <c r="K653" s="29">
        <v>7</v>
      </c>
      <c r="L653" s="57">
        <v>45190</v>
      </c>
      <c r="M653" s="31">
        <v>3000</v>
      </c>
      <c r="N653" s="31">
        <f>50+10</f>
        <v>60</v>
      </c>
      <c r="O653" s="31" t="s">
        <v>1369</v>
      </c>
      <c r="P653" s="32" t="s">
        <v>28</v>
      </c>
      <c r="Q653" s="33">
        <v>8500061227</v>
      </c>
      <c r="R653" s="33">
        <v>5000975466</v>
      </c>
      <c r="S653" s="25">
        <v>150</v>
      </c>
      <c r="T653" s="31" t="s">
        <v>655</v>
      </c>
      <c r="U653" s="31">
        <v>8500061226</v>
      </c>
      <c r="V653" s="31">
        <v>5001002266</v>
      </c>
      <c r="W653" s="50">
        <v>45191</v>
      </c>
      <c r="X653" s="34">
        <v>150</v>
      </c>
      <c r="Y653" s="34">
        <v>3000</v>
      </c>
      <c r="Z653" s="34" t="s">
        <v>1607</v>
      </c>
      <c r="AA653" s="34">
        <f t="shared" si="33"/>
        <v>0</v>
      </c>
      <c r="AB653" s="34">
        <f t="shared" si="30"/>
        <v>0</v>
      </c>
      <c r="AC653" s="25" t="s">
        <v>1371</v>
      </c>
    </row>
    <row r="654" spans="1:29" ht="15.6">
      <c r="A654" s="23"/>
      <c r="B654" s="81"/>
      <c r="C654" s="25"/>
      <c r="D654" s="25"/>
      <c r="E654" s="25">
        <v>20</v>
      </c>
      <c r="F654" s="25">
        <v>250</v>
      </c>
      <c r="G654" s="26">
        <f t="shared" si="32"/>
        <v>5000</v>
      </c>
      <c r="H654" s="27" t="s">
        <v>46</v>
      </c>
      <c r="I654" s="37">
        <v>45182</v>
      </c>
      <c r="J654" s="25">
        <v>250</v>
      </c>
      <c r="K654" s="29">
        <v>10</v>
      </c>
      <c r="L654" s="57">
        <v>45190</v>
      </c>
      <c r="M654" s="31">
        <v>5000</v>
      </c>
      <c r="N654" s="31">
        <f>100+10</f>
        <v>110</v>
      </c>
      <c r="O654" s="31" t="s">
        <v>1369</v>
      </c>
      <c r="P654" s="32" t="s">
        <v>28</v>
      </c>
      <c r="Q654" s="33">
        <v>8500061227</v>
      </c>
      <c r="R654" s="33">
        <v>5000975466</v>
      </c>
      <c r="S654" s="25">
        <v>250</v>
      </c>
      <c r="T654" s="31" t="s">
        <v>655</v>
      </c>
      <c r="U654" s="31">
        <v>8500061226</v>
      </c>
      <c r="V654" s="31">
        <v>5001002266</v>
      </c>
      <c r="W654" s="50">
        <v>45190</v>
      </c>
      <c r="X654" s="34">
        <v>250</v>
      </c>
      <c r="Y654" s="34">
        <v>5000</v>
      </c>
      <c r="Z654" s="34" t="s">
        <v>1608</v>
      </c>
      <c r="AA654" s="34">
        <f t="shared" si="33"/>
        <v>0</v>
      </c>
      <c r="AB654" s="34">
        <f t="shared" si="30"/>
        <v>0</v>
      </c>
      <c r="AC654" s="25" t="s">
        <v>1371</v>
      </c>
    </row>
    <row r="655" spans="1:29" ht="15.6">
      <c r="A655" s="23"/>
      <c r="B655" s="81"/>
      <c r="C655" s="25"/>
      <c r="D655" s="25"/>
      <c r="E655" s="25">
        <v>20</v>
      </c>
      <c r="F655" s="25">
        <v>150</v>
      </c>
      <c r="G655" s="26">
        <f t="shared" si="32"/>
        <v>3000</v>
      </c>
      <c r="H655" s="27" t="s">
        <v>37</v>
      </c>
      <c r="I655" s="37">
        <v>45182</v>
      </c>
      <c r="J655" s="25">
        <v>150</v>
      </c>
      <c r="K655" s="29">
        <v>9</v>
      </c>
      <c r="L655" s="57">
        <v>45190</v>
      </c>
      <c r="M655" s="31">
        <v>3000</v>
      </c>
      <c r="N655" s="31">
        <f>50+10</f>
        <v>60</v>
      </c>
      <c r="O655" s="31" t="s">
        <v>1369</v>
      </c>
      <c r="P655" s="32" t="s">
        <v>28</v>
      </c>
      <c r="Q655" s="33">
        <v>8500061227</v>
      </c>
      <c r="R655" s="33">
        <v>5000975466</v>
      </c>
      <c r="S655" s="25">
        <v>150</v>
      </c>
      <c r="T655" s="31" t="s">
        <v>655</v>
      </c>
      <c r="U655" s="31">
        <v>8500061226</v>
      </c>
      <c r="V655" s="31">
        <v>5001002266</v>
      </c>
      <c r="W655" s="50">
        <v>45190</v>
      </c>
      <c r="X655" s="34">
        <v>150</v>
      </c>
      <c r="Y655" s="34">
        <v>3000</v>
      </c>
      <c r="Z655" s="34" t="s">
        <v>1609</v>
      </c>
      <c r="AA655" s="34">
        <f t="shared" si="33"/>
        <v>0</v>
      </c>
      <c r="AB655" s="34">
        <f t="shared" si="30"/>
        <v>0</v>
      </c>
      <c r="AC655" s="25" t="s">
        <v>1371</v>
      </c>
    </row>
    <row r="656" spans="1:29" ht="15.6">
      <c r="A656" s="23" t="s">
        <v>868</v>
      </c>
      <c r="B656" s="81">
        <v>6000024868</v>
      </c>
      <c r="C656" s="44" t="s">
        <v>1545</v>
      </c>
      <c r="D656" s="25">
        <v>6000024868</v>
      </c>
      <c r="E656" s="25">
        <v>20</v>
      </c>
      <c r="F656" s="25">
        <v>115</v>
      </c>
      <c r="G656" s="26">
        <f t="shared" si="32"/>
        <v>2300</v>
      </c>
      <c r="H656" s="27" t="s">
        <v>243</v>
      </c>
      <c r="I656" s="37">
        <v>45185</v>
      </c>
      <c r="J656" s="29">
        <v>115</v>
      </c>
      <c r="K656" s="29">
        <v>7</v>
      </c>
      <c r="L656" s="57">
        <v>45192</v>
      </c>
      <c r="M656" s="31">
        <v>2300</v>
      </c>
      <c r="N656" s="31">
        <f>50+10</f>
        <v>60</v>
      </c>
      <c r="O656" s="31" t="s">
        <v>1648</v>
      </c>
      <c r="P656" s="32" t="s">
        <v>28</v>
      </c>
      <c r="Q656" s="33">
        <v>8500061238</v>
      </c>
      <c r="R656" s="33">
        <v>5000990797</v>
      </c>
      <c r="S656" s="29">
        <v>115</v>
      </c>
      <c r="T656" s="31" t="s">
        <v>655</v>
      </c>
      <c r="U656" s="31">
        <v>8500061237</v>
      </c>
      <c r="V656" s="31">
        <v>5001010903</v>
      </c>
      <c r="W656" s="50">
        <v>45204</v>
      </c>
      <c r="X656" s="34">
        <v>115</v>
      </c>
      <c r="Y656" s="34">
        <v>2300</v>
      </c>
      <c r="Z656" s="34" t="s">
        <v>800</v>
      </c>
      <c r="AA656" s="34">
        <f t="shared" si="33"/>
        <v>0</v>
      </c>
      <c r="AB656" s="34">
        <f t="shared" si="30"/>
        <v>0</v>
      </c>
      <c r="AC656" s="25" t="s">
        <v>1371</v>
      </c>
    </row>
    <row r="657" spans="1:30" ht="15.6">
      <c r="A657" s="23"/>
      <c r="B657" s="81"/>
      <c r="C657" s="25"/>
      <c r="D657" s="25"/>
      <c r="E657" s="25">
        <v>20</v>
      </c>
      <c r="F657" s="25">
        <v>400</v>
      </c>
      <c r="G657" s="26">
        <f t="shared" si="32"/>
        <v>8000</v>
      </c>
      <c r="H657" s="27" t="s">
        <v>27</v>
      </c>
      <c r="I657" s="37">
        <v>45181</v>
      </c>
      <c r="J657" s="29">
        <v>400</v>
      </c>
      <c r="K657" s="29">
        <v>9</v>
      </c>
      <c r="L657" s="57">
        <v>45192</v>
      </c>
      <c r="M657" s="31">
        <v>8000</v>
      </c>
      <c r="N657" s="31">
        <v>100</v>
      </c>
      <c r="O657" s="31" t="s">
        <v>876</v>
      </c>
      <c r="P657" s="32" t="s">
        <v>28</v>
      </c>
      <c r="Q657" s="33">
        <v>8500061238</v>
      </c>
      <c r="R657" s="33">
        <v>5000971629</v>
      </c>
      <c r="S657" s="29">
        <v>400</v>
      </c>
      <c r="T657" s="31" t="s">
        <v>655</v>
      </c>
      <c r="U657" s="31">
        <v>8500061237</v>
      </c>
      <c r="V657" s="31">
        <v>5001010903</v>
      </c>
      <c r="W657" s="50">
        <v>45204</v>
      </c>
      <c r="X657" s="34">
        <v>400</v>
      </c>
      <c r="Y657" s="34">
        <v>8000</v>
      </c>
      <c r="Z657" s="34" t="s">
        <v>800</v>
      </c>
      <c r="AA657" s="34">
        <f t="shared" si="33"/>
        <v>0</v>
      </c>
      <c r="AB657" s="34">
        <f t="shared" si="30"/>
        <v>0</v>
      </c>
      <c r="AC657" s="25" t="s">
        <v>1371</v>
      </c>
    </row>
    <row r="658" spans="1:30" ht="15" customHeight="1">
      <c r="A658" s="23" t="s">
        <v>868</v>
      </c>
      <c r="B658" s="81">
        <v>6000024868</v>
      </c>
      <c r="C658" s="44" t="s">
        <v>1546</v>
      </c>
      <c r="D658" s="25">
        <v>6000024868</v>
      </c>
      <c r="E658" s="25">
        <v>20</v>
      </c>
      <c r="F658" s="25">
        <v>200</v>
      </c>
      <c r="G658" s="26">
        <f t="shared" si="32"/>
        <v>4000</v>
      </c>
      <c r="H658" s="27" t="s">
        <v>243</v>
      </c>
      <c r="I658" s="37">
        <v>45185</v>
      </c>
      <c r="J658" s="29">
        <v>200</v>
      </c>
      <c r="K658" s="29">
        <v>8</v>
      </c>
      <c r="L658" s="57">
        <v>45187</v>
      </c>
      <c r="M658" s="31">
        <v>4000</v>
      </c>
      <c r="N658" s="31">
        <f>50+10</f>
        <v>60</v>
      </c>
      <c r="O658" s="31" t="s">
        <v>1602</v>
      </c>
      <c r="P658" s="32" t="s">
        <v>28</v>
      </c>
      <c r="Q658" s="33">
        <v>8500061242</v>
      </c>
      <c r="R658" s="33">
        <v>5000990798</v>
      </c>
      <c r="S658" s="29">
        <v>200</v>
      </c>
      <c r="T658" s="31" t="s">
        <v>655</v>
      </c>
      <c r="U658" s="31">
        <v>8500061241</v>
      </c>
      <c r="V658" s="31">
        <v>5000991099</v>
      </c>
      <c r="W658" s="50">
        <v>45203</v>
      </c>
      <c r="X658" s="34">
        <v>200</v>
      </c>
      <c r="Y658" s="34">
        <v>4000</v>
      </c>
      <c r="Z658" s="34" t="s">
        <v>800</v>
      </c>
      <c r="AA658" s="34">
        <f t="shared" si="33"/>
        <v>0</v>
      </c>
      <c r="AB658" s="34">
        <f t="shared" si="30"/>
        <v>0</v>
      </c>
      <c r="AC658" s="25" t="s">
        <v>1371</v>
      </c>
    </row>
    <row r="659" spans="1:30" ht="31.2">
      <c r="A659" s="23"/>
      <c r="B659" s="81"/>
      <c r="C659" s="25"/>
      <c r="D659" s="25"/>
      <c r="E659" s="25">
        <v>20</v>
      </c>
      <c r="F659" s="25">
        <v>350</v>
      </c>
      <c r="G659" s="26">
        <f t="shared" si="32"/>
        <v>7000</v>
      </c>
      <c r="H659" s="27" t="s">
        <v>27</v>
      </c>
      <c r="I659" s="37">
        <v>45181</v>
      </c>
      <c r="J659" s="29">
        <v>350</v>
      </c>
      <c r="K659" s="29">
        <v>12</v>
      </c>
      <c r="L659" s="57" t="s">
        <v>1642</v>
      </c>
      <c r="M659" s="31">
        <f>6800+200</f>
        <v>7000</v>
      </c>
      <c r="N659" s="31">
        <v>110</v>
      </c>
      <c r="O659" s="31" t="s">
        <v>1603</v>
      </c>
      <c r="P659" s="32" t="s">
        <v>28</v>
      </c>
      <c r="Q659" s="33">
        <v>8500061244</v>
      </c>
      <c r="R659" s="33">
        <v>5000971623</v>
      </c>
      <c r="S659" s="29">
        <v>350</v>
      </c>
      <c r="T659" s="31" t="s">
        <v>655</v>
      </c>
      <c r="U659" s="31">
        <v>8500061243</v>
      </c>
      <c r="V659" s="47">
        <v>5000991171</v>
      </c>
      <c r="W659" s="50">
        <v>45203</v>
      </c>
      <c r="X659" s="34">
        <v>350</v>
      </c>
      <c r="Y659" s="34">
        <v>7000</v>
      </c>
      <c r="Z659" s="34" t="s">
        <v>800</v>
      </c>
      <c r="AA659" s="34">
        <f t="shared" si="33"/>
        <v>0</v>
      </c>
      <c r="AB659" s="34">
        <f t="shared" si="30"/>
        <v>0</v>
      </c>
      <c r="AC659" s="25" t="s">
        <v>1371</v>
      </c>
    </row>
    <row r="660" spans="1:30" ht="34.5" customHeight="1">
      <c r="A660" s="23" t="s">
        <v>868</v>
      </c>
      <c r="B660" s="81">
        <v>6000024867</v>
      </c>
      <c r="C660" s="44" t="s">
        <v>1544</v>
      </c>
      <c r="D660" s="25">
        <v>6000024867</v>
      </c>
      <c r="E660" s="25">
        <v>20</v>
      </c>
      <c r="F660" s="25">
        <v>150</v>
      </c>
      <c r="G660" s="26">
        <f t="shared" si="32"/>
        <v>3000</v>
      </c>
      <c r="H660" s="27" t="s">
        <v>243</v>
      </c>
      <c r="I660" s="37">
        <v>45181</v>
      </c>
      <c r="J660" s="25">
        <v>150</v>
      </c>
      <c r="K660" s="29">
        <v>2</v>
      </c>
      <c r="L660" s="57">
        <v>45190</v>
      </c>
      <c r="M660" s="31">
        <v>3000</v>
      </c>
      <c r="N660" s="31">
        <v>47</v>
      </c>
      <c r="O660" s="31" t="s">
        <v>1369</v>
      </c>
      <c r="P660" s="32" t="s">
        <v>28</v>
      </c>
      <c r="Q660" s="33">
        <v>8500061240</v>
      </c>
      <c r="R660" s="33">
        <v>5000971636</v>
      </c>
      <c r="S660" s="25">
        <v>150</v>
      </c>
      <c r="T660" s="31" t="s">
        <v>655</v>
      </c>
      <c r="U660" s="31">
        <v>8500061239</v>
      </c>
      <c r="V660" s="31">
        <v>5001002265</v>
      </c>
      <c r="W660" s="50">
        <v>45205</v>
      </c>
      <c r="X660" s="34">
        <v>150</v>
      </c>
      <c r="Y660" s="34">
        <v>3000</v>
      </c>
      <c r="Z660" s="34" t="s">
        <v>1608</v>
      </c>
      <c r="AA660" s="34">
        <f t="shared" si="33"/>
        <v>0</v>
      </c>
      <c r="AB660" s="34">
        <f t="shared" si="30"/>
        <v>0</v>
      </c>
      <c r="AC660" s="25" t="s">
        <v>1371</v>
      </c>
    </row>
    <row r="661" spans="1:30" ht="42" customHeight="1">
      <c r="A661" s="23"/>
      <c r="B661" s="81"/>
      <c r="C661" s="25"/>
      <c r="D661" s="25"/>
      <c r="E661" s="25">
        <v>20</v>
      </c>
      <c r="F661" s="25">
        <v>800</v>
      </c>
      <c r="G661" s="26">
        <f t="shared" si="32"/>
        <v>16000</v>
      </c>
      <c r="H661" s="27" t="s">
        <v>27</v>
      </c>
      <c r="I661" s="37">
        <v>45181</v>
      </c>
      <c r="J661" s="25">
        <v>800</v>
      </c>
      <c r="K661" s="29">
        <v>8</v>
      </c>
      <c r="L661" s="57" t="s">
        <v>1677</v>
      </c>
      <c r="M661" s="31">
        <f>7000+8535+465</f>
        <v>16000</v>
      </c>
      <c r="N661" s="31">
        <f>135</f>
        <v>135</v>
      </c>
      <c r="O661" s="31" t="s">
        <v>1676</v>
      </c>
      <c r="P661" s="32" t="s">
        <v>28</v>
      </c>
      <c r="Q661" s="33">
        <v>8500061240</v>
      </c>
      <c r="R661" s="33">
        <v>5000971636</v>
      </c>
      <c r="S661" s="25">
        <v>800</v>
      </c>
      <c r="T661" s="31" t="s">
        <v>655</v>
      </c>
      <c r="U661" s="31">
        <v>8500061239</v>
      </c>
      <c r="V661" s="31">
        <v>5001002265</v>
      </c>
      <c r="W661" s="50">
        <v>45198</v>
      </c>
      <c r="X661" s="34">
        <v>800</v>
      </c>
      <c r="Y661" s="34">
        <v>16000</v>
      </c>
      <c r="Z661" s="34" t="s">
        <v>1607</v>
      </c>
      <c r="AA661" s="34">
        <f t="shared" si="33"/>
        <v>0</v>
      </c>
      <c r="AB661" s="34">
        <f t="shared" si="30"/>
        <v>0</v>
      </c>
      <c r="AC661" s="25" t="s">
        <v>1371</v>
      </c>
    </row>
    <row r="662" spans="1:30" ht="31.2">
      <c r="A662" s="23"/>
      <c r="B662" s="81"/>
      <c r="C662" s="25"/>
      <c r="D662" s="25"/>
      <c r="E662" s="25">
        <v>20</v>
      </c>
      <c r="F662" s="25">
        <v>450</v>
      </c>
      <c r="G662" s="26">
        <f t="shared" si="32"/>
        <v>9000</v>
      </c>
      <c r="H662" s="27" t="s">
        <v>46</v>
      </c>
      <c r="I662" s="37">
        <v>45181</v>
      </c>
      <c r="J662" s="25">
        <v>450</v>
      </c>
      <c r="K662" s="29">
        <v>6</v>
      </c>
      <c r="L662" s="56" t="s">
        <v>1678</v>
      </c>
      <c r="M662" s="31">
        <f>8900+100</f>
        <v>9000</v>
      </c>
      <c r="N662" s="31">
        <v>100</v>
      </c>
      <c r="O662" s="31" t="s">
        <v>1509</v>
      </c>
      <c r="P662" s="32" t="s">
        <v>28</v>
      </c>
      <c r="Q662" s="33">
        <v>8500061240</v>
      </c>
      <c r="R662" s="33">
        <v>5000971636</v>
      </c>
      <c r="S662" s="25">
        <v>450</v>
      </c>
      <c r="T662" s="31" t="s">
        <v>655</v>
      </c>
      <c r="U662" s="31">
        <v>8500061239</v>
      </c>
      <c r="V662" s="31">
        <v>5001006212</v>
      </c>
      <c r="W662" s="50" t="s">
        <v>1697</v>
      </c>
      <c r="X662" s="34">
        <f>445+5</f>
        <v>450</v>
      </c>
      <c r="Y662" s="34">
        <f>8900+100</f>
        <v>9000</v>
      </c>
      <c r="Z662" s="34" t="s">
        <v>1698</v>
      </c>
      <c r="AA662" s="34">
        <f t="shared" si="33"/>
        <v>0</v>
      </c>
      <c r="AB662" s="34">
        <f t="shared" si="30"/>
        <v>0</v>
      </c>
      <c r="AC662" s="25" t="s">
        <v>1371</v>
      </c>
    </row>
    <row r="663" spans="1:30" ht="31.2">
      <c r="A663" s="23"/>
      <c r="B663" s="81"/>
      <c r="C663" s="25"/>
      <c r="D663" s="25"/>
      <c r="E663" s="25">
        <v>20</v>
      </c>
      <c r="F663" s="25">
        <v>180</v>
      </c>
      <c r="G663" s="26">
        <f t="shared" si="32"/>
        <v>3600</v>
      </c>
      <c r="H663" s="27" t="s">
        <v>37</v>
      </c>
      <c r="I663" s="37">
        <v>45182</v>
      </c>
      <c r="J663" s="29">
        <v>180</v>
      </c>
      <c r="K663" s="29">
        <v>4</v>
      </c>
      <c r="L663" s="56" t="s">
        <v>1731</v>
      </c>
      <c r="M663" s="31">
        <f>3585+15</f>
        <v>3600</v>
      </c>
      <c r="N663" s="31">
        <f>3+50</f>
        <v>53</v>
      </c>
      <c r="O663" s="31" t="s">
        <v>1412</v>
      </c>
      <c r="Q663" s="33">
        <v>8500061240</v>
      </c>
      <c r="R663" s="33">
        <v>5000975590</v>
      </c>
      <c r="S663" s="29">
        <v>180</v>
      </c>
      <c r="T663" s="31" t="s">
        <v>655</v>
      </c>
      <c r="U663" s="31">
        <v>8500061239</v>
      </c>
      <c r="V663" s="31">
        <v>5001006212</v>
      </c>
      <c r="W663" s="50">
        <v>45191</v>
      </c>
      <c r="X663" s="34">
        <f>179+1</f>
        <v>180</v>
      </c>
      <c r="Y663" s="34">
        <f>3580+20</f>
        <v>3600</v>
      </c>
      <c r="Z663" s="34" t="s">
        <v>1609</v>
      </c>
      <c r="AA663" s="34">
        <f t="shared" si="33"/>
        <v>0</v>
      </c>
      <c r="AB663" s="34">
        <f t="shared" si="30"/>
        <v>0</v>
      </c>
      <c r="AC663" s="25" t="s">
        <v>1371</v>
      </c>
    </row>
    <row r="664" spans="1:30" ht="15.6">
      <c r="A664" s="23" t="s">
        <v>178</v>
      </c>
      <c r="B664" s="81">
        <v>6000024932</v>
      </c>
      <c r="C664" s="44" t="s">
        <v>844</v>
      </c>
      <c r="D664" s="44">
        <v>4923105004</v>
      </c>
      <c r="E664" s="25">
        <v>4</v>
      </c>
      <c r="F664" s="25">
        <v>105</v>
      </c>
      <c r="G664" s="26">
        <f t="shared" si="32"/>
        <v>420</v>
      </c>
      <c r="H664" s="27" t="s">
        <v>27</v>
      </c>
      <c r="I664" s="37">
        <v>48480</v>
      </c>
      <c r="J664" s="29">
        <v>105</v>
      </c>
      <c r="K664" s="29">
        <v>1</v>
      </c>
      <c r="L664" s="57">
        <v>45181</v>
      </c>
      <c r="M664" s="31">
        <v>420</v>
      </c>
      <c r="N664" s="31">
        <f>1+1</f>
        <v>2</v>
      </c>
      <c r="O664" s="31" t="s">
        <v>1549</v>
      </c>
      <c r="P664" s="32" t="s">
        <v>1557</v>
      </c>
      <c r="Q664" s="33">
        <v>8500061279</v>
      </c>
      <c r="R664" s="33">
        <v>5001010929</v>
      </c>
      <c r="S664" s="29">
        <v>105</v>
      </c>
      <c r="T664" s="31" t="s">
        <v>152</v>
      </c>
      <c r="U664" s="31">
        <v>8500061277</v>
      </c>
      <c r="V664" s="31">
        <v>5000971687</v>
      </c>
      <c r="W664" s="50">
        <v>45208</v>
      </c>
      <c r="X664" s="34">
        <v>105</v>
      </c>
      <c r="Y664" s="34">
        <v>420</v>
      </c>
      <c r="Z664" s="34" t="s">
        <v>800</v>
      </c>
      <c r="AA664" s="34">
        <f t="shared" si="33"/>
        <v>0</v>
      </c>
      <c r="AB664" s="34">
        <f t="shared" si="30"/>
        <v>0</v>
      </c>
      <c r="AC664" s="25" t="s">
        <v>1371</v>
      </c>
    </row>
    <row r="665" spans="1:30" ht="15.6">
      <c r="A665" s="23" t="s">
        <v>178</v>
      </c>
      <c r="B665" s="81">
        <v>6000024932</v>
      </c>
      <c r="C665" s="44" t="s">
        <v>842</v>
      </c>
      <c r="D665" s="44">
        <v>4923105004</v>
      </c>
      <c r="E665" s="25">
        <v>4</v>
      </c>
      <c r="F665" s="25">
        <v>1000</v>
      </c>
      <c r="G665" s="26">
        <f t="shared" si="32"/>
        <v>4000</v>
      </c>
      <c r="H665" s="27" t="s">
        <v>46</v>
      </c>
      <c r="I665" s="37">
        <v>45183</v>
      </c>
      <c r="J665" s="25">
        <v>1000</v>
      </c>
      <c r="K665" s="29">
        <v>10</v>
      </c>
      <c r="L665" s="57">
        <v>45185</v>
      </c>
      <c r="M665" s="31">
        <v>4000</v>
      </c>
      <c r="N665" s="31">
        <v>40</v>
      </c>
      <c r="O665" s="31"/>
      <c r="P665" s="32" t="s">
        <v>1557</v>
      </c>
      <c r="Q665" s="33">
        <v>8500061282</v>
      </c>
      <c r="R665" s="33">
        <v>5000975910</v>
      </c>
      <c r="S665" s="25">
        <v>1000</v>
      </c>
      <c r="T665" s="31" t="s">
        <v>87</v>
      </c>
      <c r="U665" s="31">
        <v>8500061281</v>
      </c>
      <c r="V665" s="31">
        <v>5000984162</v>
      </c>
      <c r="W665" s="50">
        <v>45184</v>
      </c>
      <c r="X665" s="34">
        <v>1000</v>
      </c>
      <c r="Y665" s="34">
        <v>4000</v>
      </c>
      <c r="Z665" s="34" t="s">
        <v>1560</v>
      </c>
      <c r="AA665" s="34">
        <f t="shared" si="33"/>
        <v>0</v>
      </c>
      <c r="AB665" s="34">
        <f t="shared" si="30"/>
        <v>0</v>
      </c>
      <c r="AC665" s="25" t="s">
        <v>1371</v>
      </c>
    </row>
    <row r="666" spans="1:30" ht="15.6">
      <c r="A666" s="23"/>
      <c r="B666" s="81"/>
      <c r="C666" s="25"/>
      <c r="D666" s="25"/>
      <c r="E666" s="25">
        <v>4</v>
      </c>
      <c r="F666" s="25">
        <v>2100</v>
      </c>
      <c r="G666" s="26">
        <f t="shared" si="32"/>
        <v>8400</v>
      </c>
      <c r="H666" s="27" t="s">
        <v>37</v>
      </c>
      <c r="I666" s="37">
        <v>45183</v>
      </c>
      <c r="J666" s="25">
        <v>2100</v>
      </c>
      <c r="K666" s="29">
        <v>20</v>
      </c>
      <c r="L666" s="57">
        <v>45185</v>
      </c>
      <c r="M666" s="31">
        <v>8400</v>
      </c>
      <c r="N666" s="31">
        <v>84</v>
      </c>
      <c r="O666" s="31"/>
      <c r="P666" s="32" t="s">
        <v>1557</v>
      </c>
      <c r="Q666" s="33">
        <v>8500061282</v>
      </c>
      <c r="R666" s="33">
        <v>5000975910</v>
      </c>
      <c r="S666" s="25">
        <v>2100</v>
      </c>
      <c r="T666" s="31" t="s">
        <v>87</v>
      </c>
      <c r="U666" s="31">
        <v>8500061281</v>
      </c>
      <c r="V666" s="31">
        <v>5000984162</v>
      </c>
      <c r="W666" s="50">
        <v>45188</v>
      </c>
      <c r="X666" s="34">
        <v>2100</v>
      </c>
      <c r="Y666" s="34">
        <v>8400</v>
      </c>
      <c r="Z666" s="34" t="s">
        <v>1619</v>
      </c>
      <c r="AA666" s="34">
        <f t="shared" si="33"/>
        <v>0</v>
      </c>
      <c r="AB666" s="34">
        <f t="shared" si="30"/>
        <v>0</v>
      </c>
      <c r="AC666" s="25" t="s">
        <v>1371</v>
      </c>
    </row>
    <row r="667" spans="1:30" ht="15.6">
      <c r="A667" s="23"/>
      <c r="B667" s="81"/>
      <c r="C667" s="25"/>
      <c r="D667" s="25"/>
      <c r="E667" s="25">
        <v>4</v>
      </c>
      <c r="F667" s="25">
        <v>2100</v>
      </c>
      <c r="G667" s="26">
        <f t="shared" si="32"/>
        <v>8400</v>
      </c>
      <c r="H667" s="27" t="s">
        <v>146</v>
      </c>
      <c r="I667" s="37">
        <v>45183</v>
      </c>
      <c r="J667" s="25">
        <v>2100</v>
      </c>
      <c r="K667" s="29">
        <v>21</v>
      </c>
      <c r="L667" s="57">
        <v>45185</v>
      </c>
      <c r="M667" s="31">
        <v>8400</v>
      </c>
      <c r="N667" s="31">
        <v>84</v>
      </c>
      <c r="O667" s="31"/>
      <c r="P667" s="32" t="s">
        <v>1557</v>
      </c>
      <c r="Q667" s="33">
        <v>8500061282</v>
      </c>
      <c r="R667" s="33">
        <v>5000975910</v>
      </c>
      <c r="S667" s="25">
        <v>2100</v>
      </c>
      <c r="T667" s="31" t="s">
        <v>87</v>
      </c>
      <c r="U667" s="31">
        <v>8500061281</v>
      </c>
      <c r="V667" s="31">
        <v>5000984162</v>
      </c>
      <c r="W667" s="50">
        <v>45192</v>
      </c>
      <c r="X667" s="34">
        <v>2100</v>
      </c>
      <c r="Y667" s="34">
        <v>8400</v>
      </c>
      <c r="Z667" s="34" t="s">
        <v>1653</v>
      </c>
      <c r="AA667" s="34">
        <f t="shared" si="33"/>
        <v>0</v>
      </c>
      <c r="AB667" s="34">
        <f t="shared" si="30"/>
        <v>0</v>
      </c>
      <c r="AC667" s="25" t="s">
        <v>1371</v>
      </c>
    </row>
    <row r="668" spans="1:30" ht="15.6">
      <c r="A668" s="23" t="s">
        <v>352</v>
      </c>
      <c r="B668" s="81">
        <v>6000024920</v>
      </c>
      <c r="C668" s="44" t="s">
        <v>515</v>
      </c>
      <c r="D668" s="24">
        <v>6000024920</v>
      </c>
      <c r="E668" s="25">
        <v>10</v>
      </c>
      <c r="F668" s="25">
        <v>200</v>
      </c>
      <c r="G668" s="26">
        <f t="shared" si="32"/>
        <v>2000</v>
      </c>
      <c r="H668" s="27" t="s">
        <v>27</v>
      </c>
      <c r="I668" s="37">
        <v>45185</v>
      </c>
      <c r="J668" s="29">
        <v>200</v>
      </c>
      <c r="K668" s="29">
        <v>3</v>
      </c>
      <c r="L668" s="57">
        <v>45189</v>
      </c>
      <c r="M668" s="31">
        <v>2000</v>
      </c>
      <c r="N668" s="31">
        <v>20</v>
      </c>
      <c r="O668" s="31" t="s">
        <v>1633</v>
      </c>
      <c r="P668" s="32" t="s">
        <v>28</v>
      </c>
      <c r="Q668" s="33">
        <v>85000612118</v>
      </c>
      <c r="R668" s="33">
        <v>5000990793</v>
      </c>
      <c r="S668" s="29">
        <v>200</v>
      </c>
      <c r="T668" s="31" t="s">
        <v>1558</v>
      </c>
      <c r="U668" s="31">
        <v>8500061217</v>
      </c>
      <c r="V668" s="31">
        <v>5001002226</v>
      </c>
      <c r="W668" s="50">
        <v>45209</v>
      </c>
      <c r="X668" s="34">
        <v>200</v>
      </c>
      <c r="Y668" s="34">
        <v>2000</v>
      </c>
      <c r="Z668" s="34" t="s">
        <v>1747</v>
      </c>
      <c r="AA668" s="34">
        <f t="shared" si="33"/>
        <v>0</v>
      </c>
      <c r="AB668" s="34">
        <f t="shared" si="30"/>
        <v>0</v>
      </c>
      <c r="AC668" s="25" t="s">
        <v>1371</v>
      </c>
    </row>
    <row r="669" spans="1:30" ht="15.6">
      <c r="A669" s="23"/>
      <c r="B669" s="81"/>
      <c r="C669" s="25"/>
      <c r="D669" s="25"/>
      <c r="E669" s="25">
        <v>10</v>
      </c>
      <c r="F669" s="25">
        <v>260</v>
      </c>
      <c r="G669" s="26">
        <f t="shared" si="32"/>
        <v>2600</v>
      </c>
      <c r="H669" s="27" t="s">
        <v>46</v>
      </c>
      <c r="I669" s="37">
        <v>45185</v>
      </c>
      <c r="J669" s="29">
        <v>260</v>
      </c>
      <c r="K669" s="29">
        <v>6</v>
      </c>
      <c r="L669" s="57">
        <v>45189</v>
      </c>
      <c r="M669" s="31">
        <v>2600</v>
      </c>
      <c r="N669" s="31">
        <v>26</v>
      </c>
      <c r="O669" s="31" t="s">
        <v>821</v>
      </c>
      <c r="P669" s="32" t="s">
        <v>28</v>
      </c>
      <c r="Q669" s="33">
        <v>85000612118</v>
      </c>
      <c r="R669" s="33">
        <v>5000990793</v>
      </c>
      <c r="S669" s="29">
        <v>260</v>
      </c>
      <c r="T669" s="31" t="s">
        <v>1558</v>
      </c>
      <c r="U669" s="31">
        <v>8500061217</v>
      </c>
      <c r="V669" s="31">
        <v>5001002226</v>
      </c>
      <c r="W669" s="50">
        <v>48483</v>
      </c>
      <c r="X669" s="34">
        <v>260</v>
      </c>
      <c r="Y669" s="34">
        <v>2600</v>
      </c>
      <c r="Z669" s="34" t="s">
        <v>800</v>
      </c>
      <c r="AA669" s="34">
        <f t="shared" si="33"/>
        <v>0</v>
      </c>
      <c r="AB669" s="34">
        <f t="shared" si="30"/>
        <v>0</v>
      </c>
      <c r="AC669" s="25" t="s">
        <v>1371</v>
      </c>
    </row>
    <row r="670" spans="1:30" ht="15.6">
      <c r="A670" s="23"/>
      <c r="B670" s="81"/>
      <c r="C670" s="25"/>
      <c r="D670" s="25"/>
      <c r="E670" s="25">
        <v>10</v>
      </c>
      <c r="F670" s="25">
        <v>400</v>
      </c>
      <c r="G670" s="26">
        <f t="shared" si="32"/>
        <v>4000</v>
      </c>
      <c r="H670" s="27" t="s">
        <v>37</v>
      </c>
      <c r="I670" s="37">
        <v>45183</v>
      </c>
      <c r="J670" s="25">
        <v>400</v>
      </c>
      <c r="K670" s="29">
        <v>8</v>
      </c>
      <c r="L670" s="57">
        <v>45189</v>
      </c>
      <c r="M670" s="31">
        <v>4000</v>
      </c>
      <c r="N670" s="31">
        <v>40</v>
      </c>
      <c r="O670" s="31" t="s">
        <v>1634</v>
      </c>
      <c r="P670" s="32" t="s">
        <v>28</v>
      </c>
      <c r="Q670" s="33">
        <v>8500061218</v>
      </c>
      <c r="R670" s="33">
        <v>5000979451</v>
      </c>
      <c r="S670" s="25">
        <v>400</v>
      </c>
      <c r="T670" s="31" t="s">
        <v>1558</v>
      </c>
      <c r="U670" s="31">
        <v>8500061217</v>
      </c>
      <c r="V670" s="31">
        <v>5001002226</v>
      </c>
      <c r="W670" s="50">
        <v>45206</v>
      </c>
      <c r="X670" s="34">
        <v>400</v>
      </c>
      <c r="Y670" s="34">
        <v>4000</v>
      </c>
      <c r="Z670" s="34" t="s">
        <v>800</v>
      </c>
      <c r="AA670" s="34">
        <f t="shared" si="33"/>
        <v>0</v>
      </c>
      <c r="AB670" s="34">
        <f t="shared" si="30"/>
        <v>0</v>
      </c>
      <c r="AC670" s="25" t="s">
        <v>1371</v>
      </c>
      <c r="AD670" s="5" t="s">
        <v>1668</v>
      </c>
    </row>
    <row r="671" spans="1:30" ht="15.6">
      <c r="A671" s="23"/>
      <c r="B671" s="81"/>
      <c r="C671" s="25"/>
      <c r="D671" s="25"/>
      <c r="E671" s="25">
        <v>10</v>
      </c>
      <c r="F671" s="25">
        <v>500</v>
      </c>
      <c r="G671" s="26">
        <f t="shared" si="32"/>
        <v>5000</v>
      </c>
      <c r="H671" s="27" t="s">
        <v>146</v>
      </c>
      <c r="I671" s="37">
        <v>45183</v>
      </c>
      <c r="J671" s="25">
        <v>500</v>
      </c>
      <c r="K671" s="29">
        <v>5</v>
      </c>
      <c r="L671" s="57">
        <v>45189</v>
      </c>
      <c r="M671" s="31">
        <f>4850+150</f>
        <v>5000</v>
      </c>
      <c r="N671" s="31">
        <v>50</v>
      </c>
      <c r="O671" s="31" t="s">
        <v>1649</v>
      </c>
      <c r="P671" s="32" t="s">
        <v>28</v>
      </c>
      <c r="Q671" s="33">
        <v>8500061218</v>
      </c>
      <c r="R671" s="33">
        <v>5000979451</v>
      </c>
      <c r="S671" s="25">
        <v>500</v>
      </c>
      <c r="T671" s="31" t="s">
        <v>1558</v>
      </c>
      <c r="U671" s="31">
        <v>8500061217</v>
      </c>
      <c r="V671" s="31">
        <v>5001002226</v>
      </c>
      <c r="W671" s="50">
        <v>45206</v>
      </c>
      <c r="X671" s="34">
        <v>500</v>
      </c>
      <c r="Y671" s="34">
        <v>5000</v>
      </c>
      <c r="Z671" s="34" t="s">
        <v>800</v>
      </c>
      <c r="AA671" s="34">
        <f t="shared" si="33"/>
        <v>0</v>
      </c>
      <c r="AB671" s="34">
        <f t="shared" si="30"/>
        <v>0</v>
      </c>
      <c r="AC671" s="25" t="s">
        <v>1371</v>
      </c>
    </row>
    <row r="672" spans="1:30" ht="15.6">
      <c r="A672" s="23" t="s">
        <v>352</v>
      </c>
      <c r="B672" s="81">
        <v>6000024920</v>
      </c>
      <c r="C672" s="44" t="s">
        <v>520</v>
      </c>
      <c r="D672" s="24">
        <v>6000024920</v>
      </c>
      <c r="E672" s="25">
        <v>10</v>
      </c>
      <c r="F672" s="25">
        <v>100</v>
      </c>
      <c r="G672" s="26">
        <f t="shared" si="32"/>
        <v>1000</v>
      </c>
      <c r="H672" s="27" t="s">
        <v>37</v>
      </c>
      <c r="I672" s="37">
        <v>45184</v>
      </c>
      <c r="J672" s="29">
        <v>100</v>
      </c>
      <c r="K672" s="29">
        <v>2</v>
      </c>
      <c r="L672" s="57">
        <v>45189</v>
      </c>
      <c r="M672" s="31">
        <v>1000</v>
      </c>
      <c r="N672" s="31">
        <v>10</v>
      </c>
      <c r="O672" s="31" t="s">
        <v>1633</v>
      </c>
      <c r="P672" s="32" t="s">
        <v>28</v>
      </c>
      <c r="Q672" s="33">
        <v>8500061220</v>
      </c>
      <c r="R672" s="33">
        <v>5000983060</v>
      </c>
      <c r="S672" s="29">
        <v>100</v>
      </c>
      <c r="T672" s="31" t="s">
        <v>1558</v>
      </c>
      <c r="U672" s="31">
        <v>8500061219</v>
      </c>
      <c r="V672" s="31">
        <v>5001002227</v>
      </c>
      <c r="W672" s="50">
        <v>45192</v>
      </c>
      <c r="X672" s="34">
        <v>100</v>
      </c>
      <c r="Y672" s="34">
        <v>1000</v>
      </c>
      <c r="Z672" s="34" t="s">
        <v>800</v>
      </c>
      <c r="AA672" s="34">
        <f t="shared" si="33"/>
        <v>0</v>
      </c>
      <c r="AB672" s="34">
        <f t="shared" si="30"/>
        <v>0</v>
      </c>
      <c r="AC672" s="25" t="s">
        <v>1371</v>
      </c>
    </row>
    <row r="673" spans="1:29" ht="15.6">
      <c r="A673" s="23"/>
      <c r="B673" s="81"/>
      <c r="C673" s="25"/>
      <c r="D673" s="25"/>
      <c r="E673" s="25">
        <v>10</v>
      </c>
      <c r="F673" s="25">
        <v>100</v>
      </c>
      <c r="G673" s="26">
        <f t="shared" si="32"/>
        <v>1000</v>
      </c>
      <c r="H673" s="27" t="s">
        <v>146</v>
      </c>
      <c r="I673" s="37">
        <v>45184</v>
      </c>
      <c r="J673" s="29">
        <v>100</v>
      </c>
      <c r="K673" s="29">
        <v>2</v>
      </c>
      <c r="L673" s="57">
        <v>45189</v>
      </c>
      <c r="M673" s="31">
        <v>1000</v>
      </c>
      <c r="N673" s="31">
        <v>10</v>
      </c>
      <c r="O673" s="31" t="s">
        <v>1633</v>
      </c>
      <c r="P673" s="32" t="s">
        <v>28</v>
      </c>
      <c r="Q673" s="33">
        <v>8500061220</v>
      </c>
      <c r="R673" s="33">
        <v>5000983060</v>
      </c>
      <c r="S673" s="29">
        <v>100</v>
      </c>
      <c r="T673" s="31" t="s">
        <v>1558</v>
      </c>
      <c r="U673" s="31">
        <v>8500061219</v>
      </c>
      <c r="V673" s="31">
        <v>5001002227</v>
      </c>
      <c r="W673" s="50">
        <v>45213</v>
      </c>
      <c r="X673" s="34">
        <v>100</v>
      </c>
      <c r="Y673" s="34">
        <v>1000</v>
      </c>
      <c r="Z673" s="34" t="s">
        <v>800</v>
      </c>
      <c r="AA673" s="34">
        <f t="shared" si="33"/>
        <v>0</v>
      </c>
      <c r="AB673" s="34">
        <f t="shared" ref="AB673:AB699" si="34">M673-Y673</f>
        <v>0</v>
      </c>
      <c r="AC673" s="25" t="s">
        <v>1371</v>
      </c>
    </row>
    <row r="674" spans="1:29" ht="15.6">
      <c r="A674" s="23"/>
      <c r="B674" s="81"/>
      <c r="C674" s="25"/>
      <c r="D674" s="25"/>
      <c r="E674" s="25">
        <v>10</v>
      </c>
      <c r="F674" s="25">
        <v>200</v>
      </c>
      <c r="G674" s="26">
        <f t="shared" si="32"/>
        <v>2000</v>
      </c>
      <c r="H674" s="27" t="s">
        <v>365</v>
      </c>
      <c r="I674" s="37">
        <v>45184</v>
      </c>
      <c r="J674" s="29">
        <v>200</v>
      </c>
      <c r="K674" s="29">
        <v>2</v>
      </c>
      <c r="L674" s="57">
        <v>45189</v>
      </c>
      <c r="M674" s="31">
        <v>2000</v>
      </c>
      <c r="N674" s="31">
        <v>20</v>
      </c>
      <c r="O674" s="31" t="s">
        <v>1634</v>
      </c>
      <c r="P674" s="32" t="s">
        <v>28</v>
      </c>
      <c r="Q674" s="33">
        <v>8500061220</v>
      </c>
      <c r="R674" s="33">
        <v>5000983060</v>
      </c>
      <c r="S674" s="29">
        <v>200</v>
      </c>
      <c r="T674" s="31" t="s">
        <v>1558</v>
      </c>
      <c r="U674" s="31">
        <v>8500061219</v>
      </c>
      <c r="V674" s="31">
        <v>5001002227</v>
      </c>
      <c r="W674" s="50">
        <v>45196</v>
      </c>
      <c r="X674" s="34">
        <v>200</v>
      </c>
      <c r="Y674" s="34">
        <v>2000</v>
      </c>
      <c r="Z674" s="34" t="s">
        <v>800</v>
      </c>
      <c r="AA674" s="34">
        <f t="shared" si="33"/>
        <v>0</v>
      </c>
      <c r="AB674" s="34">
        <f t="shared" si="34"/>
        <v>0</v>
      </c>
      <c r="AC674" s="25" t="s">
        <v>1371</v>
      </c>
    </row>
    <row r="675" spans="1:29" ht="15.6">
      <c r="A675" s="23" t="s">
        <v>352</v>
      </c>
      <c r="B675" s="81">
        <v>6000024920</v>
      </c>
      <c r="C675" s="44" t="s">
        <v>1550</v>
      </c>
      <c r="D675" s="24">
        <v>6000024920</v>
      </c>
      <c r="E675" s="25">
        <v>20</v>
      </c>
      <c r="F675" s="25">
        <v>150</v>
      </c>
      <c r="G675" s="26">
        <f t="shared" ref="G675:G698" si="35">F675*E675</f>
        <v>3000</v>
      </c>
      <c r="H675" s="27" t="s">
        <v>27</v>
      </c>
      <c r="I675" s="37">
        <v>45183</v>
      </c>
      <c r="J675" s="25">
        <v>150</v>
      </c>
      <c r="K675" s="29">
        <v>8</v>
      </c>
      <c r="L675" s="57">
        <v>45181</v>
      </c>
      <c r="M675" s="31">
        <v>3000</v>
      </c>
      <c r="N675" s="31">
        <v>15</v>
      </c>
      <c r="O675" s="31" t="s">
        <v>916</v>
      </c>
      <c r="P675" s="32" t="s">
        <v>28</v>
      </c>
      <c r="Q675" s="33">
        <v>8500061222</v>
      </c>
      <c r="R675" s="33">
        <v>5000979450</v>
      </c>
      <c r="S675" s="25">
        <v>150</v>
      </c>
      <c r="T675" s="31" t="s">
        <v>152</v>
      </c>
      <c r="U675" s="31">
        <v>8500061221</v>
      </c>
      <c r="V675" s="31">
        <v>5000971707</v>
      </c>
      <c r="W675" s="50">
        <v>45213</v>
      </c>
      <c r="X675" s="34">
        <v>150</v>
      </c>
      <c r="Y675" s="34">
        <v>3000</v>
      </c>
      <c r="Z675" s="34" t="s">
        <v>800</v>
      </c>
      <c r="AA675" s="34">
        <f t="shared" si="33"/>
        <v>0</v>
      </c>
      <c r="AB675" s="34">
        <f t="shared" si="34"/>
        <v>0</v>
      </c>
      <c r="AC675" s="25" t="s">
        <v>1371</v>
      </c>
    </row>
    <row r="676" spans="1:29" ht="15.6">
      <c r="A676" s="23"/>
      <c r="B676" s="81"/>
      <c r="C676" s="25"/>
      <c r="D676" s="25"/>
      <c r="E676" s="25">
        <v>20</v>
      </c>
      <c r="F676" s="25">
        <v>250</v>
      </c>
      <c r="G676" s="26">
        <f t="shared" si="35"/>
        <v>5000</v>
      </c>
      <c r="H676" s="27" t="s">
        <v>46</v>
      </c>
      <c r="I676" s="37">
        <v>45183</v>
      </c>
      <c r="J676" s="25">
        <v>250</v>
      </c>
      <c r="K676" s="29">
        <v>9</v>
      </c>
      <c r="L676" s="57">
        <v>45181</v>
      </c>
      <c r="M676" s="31">
        <v>5000</v>
      </c>
      <c r="N676" s="31">
        <v>25</v>
      </c>
      <c r="O676" s="31" t="s">
        <v>1551</v>
      </c>
      <c r="P676" s="32" t="s">
        <v>28</v>
      </c>
      <c r="Q676" s="33">
        <v>8500061222</v>
      </c>
      <c r="R676" s="33">
        <v>5000979450</v>
      </c>
      <c r="S676" s="25">
        <v>250</v>
      </c>
      <c r="T676" s="31" t="s">
        <v>152</v>
      </c>
      <c r="U676" s="31">
        <v>8500061221</v>
      </c>
      <c r="V676" s="31">
        <v>5000971707</v>
      </c>
      <c r="W676" s="50">
        <v>45199</v>
      </c>
      <c r="X676" s="34">
        <v>250</v>
      </c>
      <c r="Y676" s="34">
        <v>5000</v>
      </c>
      <c r="Z676" s="34" t="s">
        <v>800</v>
      </c>
      <c r="AA676" s="34">
        <f t="shared" si="33"/>
        <v>0</v>
      </c>
      <c r="AB676" s="34">
        <f t="shared" si="34"/>
        <v>0</v>
      </c>
      <c r="AC676" s="25" t="s">
        <v>1371</v>
      </c>
    </row>
    <row r="677" spans="1:29" ht="15.6">
      <c r="A677" s="23"/>
      <c r="B677" s="81"/>
      <c r="C677" s="25"/>
      <c r="D677" s="25"/>
      <c r="E677" s="25">
        <v>20</v>
      </c>
      <c r="F677" s="25">
        <v>100</v>
      </c>
      <c r="G677" s="26">
        <f t="shared" si="35"/>
        <v>2000</v>
      </c>
      <c r="H677" s="27" t="s">
        <v>37</v>
      </c>
      <c r="I677" s="37">
        <v>45183</v>
      </c>
      <c r="J677" s="25">
        <v>100</v>
      </c>
      <c r="K677" s="29">
        <v>8</v>
      </c>
      <c r="L677" s="57">
        <v>45181</v>
      </c>
      <c r="M677" s="31">
        <v>2000</v>
      </c>
      <c r="N677" s="31">
        <v>10</v>
      </c>
      <c r="O677" s="31" t="s">
        <v>916</v>
      </c>
      <c r="P677" s="32" t="s">
        <v>28</v>
      </c>
      <c r="Q677" s="33">
        <v>8500061222</v>
      </c>
      <c r="R677" s="33">
        <v>5000979450</v>
      </c>
      <c r="S677" s="25">
        <v>100</v>
      </c>
      <c r="T677" s="31" t="s">
        <v>152</v>
      </c>
      <c r="U677" s="31">
        <v>8500061221</v>
      </c>
      <c r="V677" s="31">
        <v>5000971707</v>
      </c>
      <c r="W677" s="50">
        <v>45199</v>
      </c>
      <c r="X677" s="34">
        <v>100</v>
      </c>
      <c r="Y677" s="34">
        <v>2000</v>
      </c>
      <c r="Z677" s="34" t="s">
        <v>800</v>
      </c>
      <c r="AA677" s="34">
        <f t="shared" si="33"/>
        <v>0</v>
      </c>
      <c r="AB677" s="34">
        <f t="shared" si="34"/>
        <v>0</v>
      </c>
      <c r="AC677" s="25" t="s">
        <v>1371</v>
      </c>
    </row>
    <row r="678" spans="1:29" ht="15.6">
      <c r="A678" s="23" t="s">
        <v>707</v>
      </c>
      <c r="B678" s="81">
        <v>2000001150</v>
      </c>
      <c r="C678" s="25" t="s">
        <v>699</v>
      </c>
      <c r="D678" s="44">
        <v>2000001150</v>
      </c>
      <c r="E678" s="25">
        <v>10</v>
      </c>
      <c r="F678" s="25">
        <v>100</v>
      </c>
      <c r="G678" s="26">
        <f t="shared" si="35"/>
        <v>1000</v>
      </c>
      <c r="H678" s="27" t="s">
        <v>1552</v>
      </c>
      <c r="I678" s="37">
        <v>45197</v>
      </c>
      <c r="J678" s="29">
        <v>100</v>
      </c>
      <c r="K678" s="29">
        <v>7</v>
      </c>
      <c r="L678" s="57">
        <v>45183</v>
      </c>
      <c r="M678" s="31">
        <v>1000</v>
      </c>
      <c r="N678" s="31">
        <v>20</v>
      </c>
      <c r="O678" s="31" t="s">
        <v>814</v>
      </c>
      <c r="P678" s="32" t="s">
        <v>160</v>
      </c>
      <c r="Q678" s="33">
        <v>8500061171</v>
      </c>
      <c r="R678" s="33">
        <v>5001032849</v>
      </c>
      <c r="S678" s="29">
        <v>100</v>
      </c>
      <c r="T678" s="31" t="s">
        <v>87</v>
      </c>
      <c r="U678" s="31">
        <v>8500061170</v>
      </c>
      <c r="V678" s="31">
        <v>5000976839</v>
      </c>
      <c r="W678" s="50">
        <v>45199</v>
      </c>
      <c r="X678" s="34">
        <v>100</v>
      </c>
      <c r="Y678" s="34">
        <v>1000</v>
      </c>
      <c r="Z678" s="34" t="s">
        <v>800</v>
      </c>
      <c r="AA678" s="34">
        <f t="shared" si="33"/>
        <v>0</v>
      </c>
      <c r="AB678" s="34">
        <f t="shared" si="34"/>
        <v>0</v>
      </c>
      <c r="AC678" s="25" t="s">
        <v>1371</v>
      </c>
    </row>
    <row r="679" spans="1:29" ht="15.6">
      <c r="A679" s="23" t="s">
        <v>707</v>
      </c>
      <c r="B679" s="81">
        <v>2000001152</v>
      </c>
      <c r="C679" s="44" t="s">
        <v>1581</v>
      </c>
      <c r="D679" s="25"/>
      <c r="E679" s="25">
        <v>10</v>
      </c>
      <c r="F679" s="25">
        <v>15</v>
      </c>
      <c r="G679" s="26">
        <f t="shared" si="35"/>
        <v>150</v>
      </c>
      <c r="H679" s="27" t="s">
        <v>27</v>
      </c>
      <c r="I679" s="51">
        <v>45192</v>
      </c>
      <c r="J679" s="25">
        <v>15</v>
      </c>
      <c r="K679" s="29">
        <f>5+3</f>
        <v>8</v>
      </c>
      <c r="L679" s="57">
        <v>45184</v>
      </c>
      <c r="M679" s="31">
        <v>150</v>
      </c>
      <c r="N679" s="31">
        <v>10</v>
      </c>
      <c r="O679" s="31" t="s">
        <v>1583</v>
      </c>
      <c r="P679" s="32" t="s">
        <v>160</v>
      </c>
      <c r="Q679" s="33">
        <v>8500061229</v>
      </c>
      <c r="R679" s="33">
        <v>5001010598</v>
      </c>
      <c r="S679" s="25">
        <v>15</v>
      </c>
      <c r="T679" s="31" t="s">
        <v>1558</v>
      </c>
      <c r="U679" s="31">
        <v>8500061228</v>
      </c>
      <c r="V679" s="31">
        <v>5000983279</v>
      </c>
      <c r="W679" s="50">
        <v>45203</v>
      </c>
      <c r="X679" s="34">
        <v>15</v>
      </c>
      <c r="Y679" s="34">
        <v>150</v>
      </c>
      <c r="Z679" s="34" t="s">
        <v>800</v>
      </c>
      <c r="AA679" s="34">
        <f t="shared" si="33"/>
        <v>0</v>
      </c>
      <c r="AB679" s="34">
        <f t="shared" si="34"/>
        <v>0</v>
      </c>
      <c r="AC679" s="25" t="s">
        <v>1371</v>
      </c>
    </row>
    <row r="680" spans="1:29" ht="15.6">
      <c r="A680" s="23"/>
      <c r="B680" s="81"/>
      <c r="C680" s="25"/>
      <c r="D680" s="25"/>
      <c r="E680" s="25">
        <v>10</v>
      </c>
      <c r="F680" s="25">
        <v>36</v>
      </c>
      <c r="G680" s="26">
        <f t="shared" si="35"/>
        <v>360</v>
      </c>
      <c r="H680" s="27" t="s">
        <v>46</v>
      </c>
      <c r="I680" s="51">
        <v>45192</v>
      </c>
      <c r="J680" s="25">
        <v>36</v>
      </c>
      <c r="K680" s="29">
        <f>6+5</f>
        <v>11</v>
      </c>
      <c r="L680" s="57">
        <v>45184</v>
      </c>
      <c r="M680" s="31">
        <v>360</v>
      </c>
      <c r="N680" s="31">
        <v>12</v>
      </c>
      <c r="O680" s="31" t="s">
        <v>1584</v>
      </c>
      <c r="P680" s="32" t="s">
        <v>160</v>
      </c>
      <c r="Q680" s="33">
        <v>8500061229</v>
      </c>
      <c r="R680" s="33">
        <v>5001010598</v>
      </c>
      <c r="S680" s="25">
        <v>36</v>
      </c>
      <c r="T680" s="31" t="s">
        <v>1558</v>
      </c>
      <c r="U680" s="31">
        <v>8500061228</v>
      </c>
      <c r="V680" s="31">
        <v>5000983279</v>
      </c>
      <c r="W680" s="50">
        <v>45203</v>
      </c>
      <c r="X680" s="34">
        <v>36</v>
      </c>
      <c r="Y680" s="34">
        <v>360</v>
      </c>
      <c r="Z680" s="34" t="s">
        <v>800</v>
      </c>
      <c r="AA680" s="34">
        <f t="shared" si="33"/>
        <v>0</v>
      </c>
      <c r="AB680" s="34">
        <f t="shared" si="34"/>
        <v>0</v>
      </c>
      <c r="AC680" s="25" t="s">
        <v>1371</v>
      </c>
    </row>
    <row r="681" spans="1:29" ht="15.6">
      <c r="A681" s="23"/>
      <c r="B681" s="81"/>
      <c r="C681" s="25"/>
      <c r="D681" s="25"/>
      <c r="E681" s="25">
        <v>10</v>
      </c>
      <c r="F681" s="25">
        <v>36</v>
      </c>
      <c r="G681" s="26">
        <f t="shared" si="35"/>
        <v>360</v>
      </c>
      <c r="H681" s="27" t="s">
        <v>37</v>
      </c>
      <c r="I681" s="51">
        <v>45192</v>
      </c>
      <c r="J681" s="25">
        <v>36</v>
      </c>
      <c r="K681" s="29">
        <f>6+6</f>
        <v>12</v>
      </c>
      <c r="L681" s="57">
        <v>45184</v>
      </c>
      <c r="M681" s="31">
        <v>360</v>
      </c>
      <c r="N681" s="31">
        <v>12</v>
      </c>
      <c r="O681" s="31" t="s">
        <v>1583</v>
      </c>
      <c r="P681" s="32" t="s">
        <v>160</v>
      </c>
      <c r="Q681" s="33">
        <v>8500061229</v>
      </c>
      <c r="R681" s="33">
        <v>5001010598</v>
      </c>
      <c r="S681" s="25">
        <v>36</v>
      </c>
      <c r="T681" s="31" t="s">
        <v>1558</v>
      </c>
      <c r="U681" s="31">
        <v>8500061228</v>
      </c>
      <c r="V681" s="31">
        <v>5000983279</v>
      </c>
      <c r="W681" s="50">
        <v>45203</v>
      </c>
      <c r="X681" s="34">
        <v>36</v>
      </c>
      <c r="Y681" s="34">
        <v>360</v>
      </c>
      <c r="Z681" s="34" t="s">
        <v>800</v>
      </c>
      <c r="AA681" s="34">
        <f t="shared" si="33"/>
        <v>0</v>
      </c>
      <c r="AB681" s="34">
        <f t="shared" si="34"/>
        <v>0</v>
      </c>
      <c r="AC681" s="25" t="s">
        <v>1371</v>
      </c>
    </row>
    <row r="682" spans="1:29" ht="15.6">
      <c r="A682" s="23"/>
      <c r="B682" s="81"/>
      <c r="C682" s="25"/>
      <c r="D682" s="25"/>
      <c r="E682" s="25">
        <v>10</v>
      </c>
      <c r="F682" s="25">
        <v>25</v>
      </c>
      <c r="G682" s="26">
        <f t="shared" si="35"/>
        <v>250</v>
      </c>
      <c r="H682" s="27" t="s">
        <v>146</v>
      </c>
      <c r="I682" s="51">
        <v>45192</v>
      </c>
      <c r="J682" s="25">
        <v>25</v>
      </c>
      <c r="K682" s="29">
        <f>6+4</f>
        <v>10</v>
      </c>
      <c r="L682" s="57">
        <v>45184</v>
      </c>
      <c r="M682" s="31">
        <v>250</v>
      </c>
      <c r="N682" s="31">
        <v>11</v>
      </c>
      <c r="O682" s="31" t="s">
        <v>1584</v>
      </c>
      <c r="P682" s="32" t="s">
        <v>160</v>
      </c>
      <c r="Q682" s="33">
        <v>8500061231</v>
      </c>
      <c r="R682" s="33">
        <v>5001010599</v>
      </c>
      <c r="S682" s="25">
        <v>25</v>
      </c>
      <c r="T682" s="31" t="s">
        <v>1558</v>
      </c>
      <c r="U682" s="31">
        <v>8500061230</v>
      </c>
      <c r="V682" s="31">
        <v>5000983276</v>
      </c>
      <c r="W682" s="50">
        <v>45203</v>
      </c>
      <c r="X682" s="34">
        <v>25</v>
      </c>
      <c r="Y682" s="34">
        <v>250</v>
      </c>
      <c r="Z682" s="34" t="s">
        <v>800</v>
      </c>
      <c r="AA682" s="34">
        <f t="shared" si="33"/>
        <v>0</v>
      </c>
      <c r="AB682" s="34">
        <f t="shared" si="34"/>
        <v>0</v>
      </c>
      <c r="AC682" s="25" t="s">
        <v>1371</v>
      </c>
    </row>
    <row r="683" spans="1:29" ht="15.6">
      <c r="A683" s="23" t="s">
        <v>707</v>
      </c>
      <c r="B683" s="81">
        <v>2000001152</v>
      </c>
      <c r="C683" s="44" t="s">
        <v>1520</v>
      </c>
      <c r="D683" s="25"/>
      <c r="E683" s="25">
        <v>10</v>
      </c>
      <c r="F683" s="25">
        <v>25</v>
      </c>
      <c r="G683" s="26">
        <f t="shared" si="35"/>
        <v>250</v>
      </c>
      <c r="H683" s="27" t="s">
        <v>27</v>
      </c>
      <c r="I683" s="37">
        <v>45187</v>
      </c>
      <c r="J683" s="29">
        <v>25</v>
      </c>
      <c r="K683" s="29">
        <f>6+1</f>
        <v>7</v>
      </c>
      <c r="L683" s="57">
        <v>45184</v>
      </c>
      <c r="M683" s="31">
        <v>250</v>
      </c>
      <c r="N683" s="31">
        <v>11</v>
      </c>
      <c r="O683" s="31" t="s">
        <v>887</v>
      </c>
      <c r="P683" s="32" t="s">
        <v>160</v>
      </c>
      <c r="Q683" s="33">
        <v>8500061234</v>
      </c>
      <c r="R683" s="33">
        <v>5000994465</v>
      </c>
      <c r="S683" s="29">
        <v>25</v>
      </c>
      <c r="T683" s="31" t="s">
        <v>1558</v>
      </c>
      <c r="U683" s="31">
        <v>8500061233</v>
      </c>
      <c r="V683" s="31">
        <v>5000983247</v>
      </c>
      <c r="W683" s="50">
        <v>45204</v>
      </c>
      <c r="X683" s="34">
        <v>25</v>
      </c>
      <c r="Y683" s="34">
        <v>250</v>
      </c>
      <c r="Z683" s="34" t="s">
        <v>800</v>
      </c>
      <c r="AA683" s="34">
        <f t="shared" si="33"/>
        <v>0</v>
      </c>
      <c r="AB683" s="34">
        <f t="shared" si="34"/>
        <v>0</v>
      </c>
      <c r="AC683" s="25" t="s">
        <v>1371</v>
      </c>
    </row>
    <row r="684" spans="1:29" ht="15.6">
      <c r="A684" s="23"/>
      <c r="B684" s="81"/>
      <c r="C684" s="25"/>
      <c r="D684" s="25"/>
      <c r="E684" s="25">
        <v>10</v>
      </c>
      <c r="F684" s="25">
        <v>36</v>
      </c>
      <c r="G684" s="26">
        <f t="shared" si="35"/>
        <v>360</v>
      </c>
      <c r="H684" s="27" t="s">
        <v>46</v>
      </c>
      <c r="I684" s="37">
        <v>45187</v>
      </c>
      <c r="J684" s="29">
        <v>36</v>
      </c>
      <c r="K684" s="29">
        <f>6+2</f>
        <v>8</v>
      </c>
      <c r="L684" s="57">
        <v>45184</v>
      </c>
      <c r="M684" s="31">
        <v>360</v>
      </c>
      <c r="N684" s="31">
        <v>12</v>
      </c>
      <c r="O684" s="31" t="s">
        <v>1582</v>
      </c>
      <c r="P684" s="32" t="s">
        <v>160</v>
      </c>
      <c r="Q684" s="33">
        <v>8500061234</v>
      </c>
      <c r="R684" s="33">
        <v>5000994465</v>
      </c>
      <c r="S684" s="29">
        <v>36</v>
      </c>
      <c r="T684" s="31" t="s">
        <v>1558</v>
      </c>
      <c r="U684" s="31">
        <v>8500061233</v>
      </c>
      <c r="V684" s="31">
        <v>5000983247</v>
      </c>
      <c r="W684" s="50">
        <v>45189</v>
      </c>
      <c r="X684" s="34">
        <v>36</v>
      </c>
      <c r="Y684" s="34">
        <v>360</v>
      </c>
      <c r="Z684" s="34" t="s">
        <v>1608</v>
      </c>
      <c r="AA684" s="34">
        <f t="shared" si="33"/>
        <v>0</v>
      </c>
      <c r="AB684" s="34">
        <f t="shared" si="34"/>
        <v>0</v>
      </c>
      <c r="AC684" s="25" t="s">
        <v>1371</v>
      </c>
    </row>
    <row r="685" spans="1:29" ht="15.6">
      <c r="A685" s="23"/>
      <c r="B685" s="81"/>
      <c r="C685" s="25"/>
      <c r="D685" s="25"/>
      <c r="E685" s="25">
        <v>10</v>
      </c>
      <c r="F685" s="25">
        <v>36</v>
      </c>
      <c r="G685" s="26">
        <f t="shared" si="35"/>
        <v>360</v>
      </c>
      <c r="H685" s="27" t="s">
        <v>37</v>
      </c>
      <c r="I685" s="37">
        <v>45187</v>
      </c>
      <c r="J685" s="29">
        <v>36</v>
      </c>
      <c r="K685" s="29">
        <v>6</v>
      </c>
      <c r="L685" s="57">
        <v>45184</v>
      </c>
      <c r="M685" s="31">
        <v>360</v>
      </c>
      <c r="N685" s="31">
        <v>12</v>
      </c>
      <c r="O685" s="31" t="s">
        <v>1582</v>
      </c>
      <c r="P685" s="32" t="s">
        <v>160</v>
      </c>
      <c r="Q685" s="33">
        <v>8500061234</v>
      </c>
      <c r="R685" s="33">
        <v>5000994465</v>
      </c>
      <c r="S685" s="29">
        <v>36</v>
      </c>
      <c r="T685" s="31" t="s">
        <v>1558</v>
      </c>
      <c r="U685" s="31">
        <v>8500061233</v>
      </c>
      <c r="V685" s="31">
        <v>5000983247</v>
      </c>
      <c r="W685" s="50">
        <v>45192</v>
      </c>
      <c r="X685" s="34">
        <v>36</v>
      </c>
      <c r="Y685" s="34">
        <v>360</v>
      </c>
      <c r="Z685" s="34" t="s">
        <v>1609</v>
      </c>
      <c r="AA685" s="34">
        <f t="shared" si="33"/>
        <v>0</v>
      </c>
      <c r="AB685" s="34">
        <f t="shared" si="34"/>
        <v>0</v>
      </c>
      <c r="AC685" s="25" t="s">
        <v>1371</v>
      </c>
    </row>
    <row r="686" spans="1:29" ht="15.6">
      <c r="A686" s="23"/>
      <c r="B686" s="81"/>
      <c r="C686" s="25"/>
      <c r="D686" s="25"/>
      <c r="E686" s="25">
        <v>10</v>
      </c>
      <c r="F686" s="25">
        <v>15</v>
      </c>
      <c r="G686" s="26">
        <f t="shared" si="35"/>
        <v>150</v>
      </c>
      <c r="H686" s="27" t="s">
        <v>146</v>
      </c>
      <c r="I686" s="37">
        <v>45187</v>
      </c>
      <c r="J686" s="29">
        <v>15</v>
      </c>
      <c r="K686" s="29">
        <f>5+2</f>
        <v>7</v>
      </c>
      <c r="L686" s="57">
        <v>45184</v>
      </c>
      <c r="M686" s="31">
        <v>150</v>
      </c>
      <c r="N686" s="31">
        <v>10</v>
      </c>
      <c r="O686" s="31" t="s">
        <v>1582</v>
      </c>
      <c r="P686" s="32" t="s">
        <v>160</v>
      </c>
      <c r="Q686" s="33">
        <v>8500061236</v>
      </c>
      <c r="R686" s="33">
        <v>5000994470</v>
      </c>
      <c r="S686" s="29">
        <v>15</v>
      </c>
      <c r="T686" s="31" t="s">
        <v>1558</v>
      </c>
      <c r="U686" s="31">
        <v>8500061235</v>
      </c>
      <c r="V686" s="31">
        <v>5000983270</v>
      </c>
      <c r="W686" s="50">
        <v>45204</v>
      </c>
      <c r="X686" s="34">
        <v>15</v>
      </c>
      <c r="Y686" s="34">
        <v>150</v>
      </c>
      <c r="Z686" s="34" t="s">
        <v>800</v>
      </c>
      <c r="AA686" s="34">
        <f t="shared" si="33"/>
        <v>0</v>
      </c>
      <c r="AB686" s="34">
        <f t="shared" si="34"/>
        <v>0</v>
      </c>
      <c r="AC686" s="25" t="s">
        <v>1371</v>
      </c>
    </row>
    <row r="687" spans="1:29" ht="37.5" customHeight="1">
      <c r="A687" s="23" t="s">
        <v>1588</v>
      </c>
      <c r="B687" s="81">
        <v>6000024711</v>
      </c>
      <c r="C687" s="44" t="s">
        <v>1587</v>
      </c>
      <c r="D687" s="25">
        <v>6000024711</v>
      </c>
      <c r="E687" s="25">
        <v>10</v>
      </c>
      <c r="F687" s="25">
        <v>350</v>
      </c>
      <c r="G687" s="26">
        <f t="shared" si="35"/>
        <v>3500</v>
      </c>
      <c r="H687" s="27" t="s">
        <v>46</v>
      </c>
      <c r="I687" s="37">
        <v>45185</v>
      </c>
      <c r="J687" s="29">
        <v>350</v>
      </c>
      <c r="K687" s="29">
        <v>10</v>
      </c>
      <c r="L687" s="57" t="s">
        <v>1624</v>
      </c>
      <c r="M687" s="31">
        <f>3250+250</f>
        <v>3500</v>
      </c>
      <c r="N687" s="31">
        <v>35</v>
      </c>
      <c r="O687" s="31" t="s">
        <v>1629</v>
      </c>
      <c r="P687" s="32" t="s">
        <v>924</v>
      </c>
      <c r="Q687" s="33">
        <v>8500061256</v>
      </c>
      <c r="R687" s="33">
        <v>5000984025</v>
      </c>
      <c r="S687" s="29">
        <v>350</v>
      </c>
      <c r="T687" s="31" t="s">
        <v>1558</v>
      </c>
      <c r="U687" s="31">
        <v>8500061255</v>
      </c>
      <c r="V687" s="31">
        <v>5000994664</v>
      </c>
      <c r="W687" s="50">
        <v>45199</v>
      </c>
      <c r="X687" s="34">
        <v>350</v>
      </c>
      <c r="Y687" s="34">
        <v>3500</v>
      </c>
      <c r="Z687" s="34" t="s">
        <v>800</v>
      </c>
      <c r="AA687" s="34">
        <f t="shared" si="33"/>
        <v>0</v>
      </c>
      <c r="AB687" s="34">
        <f t="shared" si="34"/>
        <v>0</v>
      </c>
      <c r="AC687" s="25" t="s">
        <v>1371</v>
      </c>
    </row>
    <row r="688" spans="1:29" ht="37.5" customHeight="1">
      <c r="A688" s="23"/>
      <c r="B688" s="81"/>
      <c r="C688" s="25"/>
      <c r="D688" s="25"/>
      <c r="E688" s="25">
        <v>10</v>
      </c>
      <c r="F688" s="25">
        <v>650</v>
      </c>
      <c r="G688" s="26">
        <f t="shared" si="35"/>
        <v>6500</v>
      </c>
      <c r="H688" s="27" t="s">
        <v>37</v>
      </c>
      <c r="I688" s="37">
        <v>45185</v>
      </c>
      <c r="J688" s="29">
        <v>650</v>
      </c>
      <c r="K688" s="29">
        <v>20</v>
      </c>
      <c r="L688" s="57" t="s">
        <v>1624</v>
      </c>
      <c r="M688" s="31">
        <f>5950+550</f>
        <v>6500</v>
      </c>
      <c r="N688" s="31">
        <v>65</v>
      </c>
      <c r="O688" s="31" t="s">
        <v>1630</v>
      </c>
      <c r="P688" s="32" t="s">
        <v>924</v>
      </c>
      <c r="Q688" s="33">
        <v>8500061256</v>
      </c>
      <c r="R688" s="33">
        <v>5000984025</v>
      </c>
      <c r="S688" s="29">
        <v>650</v>
      </c>
      <c r="T688" s="31" t="s">
        <v>1558</v>
      </c>
      <c r="U688" s="31">
        <v>8500061255</v>
      </c>
      <c r="V688" s="31">
        <v>5000994664</v>
      </c>
      <c r="W688" s="50">
        <v>45199</v>
      </c>
      <c r="X688" s="34">
        <v>650</v>
      </c>
      <c r="Y688" s="34">
        <v>6500</v>
      </c>
      <c r="Z688" s="34" t="s">
        <v>800</v>
      </c>
      <c r="AA688" s="34">
        <f t="shared" si="33"/>
        <v>0</v>
      </c>
      <c r="AB688" s="34">
        <f t="shared" si="34"/>
        <v>0</v>
      </c>
      <c r="AC688" s="25" t="s">
        <v>1371</v>
      </c>
    </row>
    <row r="689" spans="1:30" ht="37.5" customHeight="1">
      <c r="A689" s="23" t="s">
        <v>1588</v>
      </c>
      <c r="B689" s="81">
        <v>6000024711</v>
      </c>
      <c r="C689" s="44" t="s">
        <v>1589</v>
      </c>
      <c r="D689" s="25">
        <v>6000024711</v>
      </c>
      <c r="E689" s="25">
        <v>10</v>
      </c>
      <c r="F689" s="25">
        <v>900</v>
      </c>
      <c r="G689" s="26">
        <f t="shared" si="35"/>
        <v>9000</v>
      </c>
      <c r="H689" s="27" t="s">
        <v>46</v>
      </c>
      <c r="I689" s="37">
        <v>45185</v>
      </c>
      <c r="J689" s="29">
        <v>900</v>
      </c>
      <c r="K689" s="29">
        <v>10</v>
      </c>
      <c r="L689" s="57" t="s">
        <v>1631</v>
      </c>
      <c r="M689" s="31">
        <f>8450+550</f>
        <v>9000</v>
      </c>
      <c r="N689" s="31">
        <v>90</v>
      </c>
      <c r="O689" s="31" t="s">
        <v>1632</v>
      </c>
      <c r="P689" s="32" t="s">
        <v>924</v>
      </c>
      <c r="Q689" s="33">
        <v>8500061258</v>
      </c>
      <c r="R689" s="33">
        <v>5000984029</v>
      </c>
      <c r="S689" s="29">
        <v>900</v>
      </c>
      <c r="T689" s="31" t="s">
        <v>1558</v>
      </c>
      <c r="U689" s="31">
        <v>8500061257</v>
      </c>
      <c r="V689" s="31">
        <v>5000998291</v>
      </c>
      <c r="W689" s="50">
        <v>45199</v>
      </c>
      <c r="X689" s="34">
        <v>900</v>
      </c>
      <c r="Y689" s="34">
        <v>9000</v>
      </c>
      <c r="Z689" s="34" t="s">
        <v>800</v>
      </c>
      <c r="AA689" s="34">
        <f t="shared" si="33"/>
        <v>0</v>
      </c>
      <c r="AB689" s="34">
        <f t="shared" si="34"/>
        <v>0</v>
      </c>
      <c r="AC689" s="25" t="s">
        <v>1371</v>
      </c>
    </row>
    <row r="690" spans="1:30" ht="15.6">
      <c r="A690" s="23"/>
      <c r="B690" s="81"/>
      <c r="C690" s="25"/>
      <c r="D690" s="25"/>
      <c r="E690" s="25">
        <v>10</v>
      </c>
      <c r="F690" s="25">
        <v>1500</v>
      </c>
      <c r="G690" s="26">
        <f t="shared" si="35"/>
        <v>15000</v>
      </c>
      <c r="H690" s="27" t="s">
        <v>37</v>
      </c>
      <c r="I690" s="37">
        <v>45185</v>
      </c>
      <c r="J690" s="29">
        <v>1500</v>
      </c>
      <c r="K690" s="29">
        <v>10</v>
      </c>
      <c r="L690" s="57">
        <v>45188</v>
      </c>
      <c r="M690" s="31">
        <v>15000</v>
      </c>
      <c r="N690" s="31">
        <v>150</v>
      </c>
      <c r="O690" s="31" t="s">
        <v>876</v>
      </c>
      <c r="P690" s="32" t="s">
        <v>924</v>
      </c>
      <c r="Q690" s="33">
        <v>8500061258</v>
      </c>
      <c r="R690" s="33">
        <v>5000984029</v>
      </c>
      <c r="S690" s="29">
        <v>1500</v>
      </c>
      <c r="T690" s="31" t="s">
        <v>1558</v>
      </c>
      <c r="U690" s="31">
        <v>8500061257</v>
      </c>
      <c r="V690" s="31">
        <v>5000998291</v>
      </c>
      <c r="W690" s="50">
        <v>45199</v>
      </c>
      <c r="X690" s="34">
        <v>1500</v>
      </c>
      <c r="Y690" s="34">
        <v>15000</v>
      </c>
      <c r="Z690" s="34" t="s">
        <v>800</v>
      </c>
      <c r="AA690" s="34">
        <f t="shared" si="33"/>
        <v>0</v>
      </c>
      <c r="AB690" s="34">
        <f t="shared" si="34"/>
        <v>0</v>
      </c>
      <c r="AC690" s="25" t="s">
        <v>1371</v>
      </c>
    </row>
    <row r="691" spans="1:30" ht="15.6">
      <c r="A691" s="23" t="s">
        <v>1588</v>
      </c>
      <c r="B691" s="81">
        <v>6000024711</v>
      </c>
      <c r="C691" s="44" t="s">
        <v>1590</v>
      </c>
      <c r="D691" s="25">
        <v>6000024711</v>
      </c>
      <c r="E691" s="25">
        <v>10</v>
      </c>
      <c r="F691" s="25">
        <v>300</v>
      </c>
      <c r="G691" s="26">
        <f t="shared" si="35"/>
        <v>3000</v>
      </c>
      <c r="H691" s="27" t="s">
        <v>46</v>
      </c>
      <c r="I691" s="37">
        <v>45185</v>
      </c>
      <c r="J691" s="29">
        <v>300</v>
      </c>
      <c r="K691" s="29">
        <v>10</v>
      </c>
      <c r="L691" s="57">
        <v>45188</v>
      </c>
      <c r="M691" s="31">
        <v>3000</v>
      </c>
      <c r="N691" s="31">
        <v>30</v>
      </c>
      <c r="O691" s="31" t="s">
        <v>1614</v>
      </c>
      <c r="P691" s="32" t="s">
        <v>924</v>
      </c>
      <c r="Q691" s="33">
        <v>8500061260</v>
      </c>
      <c r="R691" s="33">
        <v>5000984044</v>
      </c>
      <c r="S691" s="29">
        <v>300</v>
      </c>
      <c r="T691" s="31" t="s">
        <v>1558</v>
      </c>
      <c r="U691" s="31">
        <v>8500061259</v>
      </c>
      <c r="V691" s="31">
        <v>5000998278</v>
      </c>
      <c r="W691" s="50">
        <v>45199</v>
      </c>
      <c r="X691" s="34">
        <v>300</v>
      </c>
      <c r="Y691" s="34">
        <v>3000</v>
      </c>
      <c r="Z691" s="34" t="s">
        <v>800</v>
      </c>
      <c r="AA691" s="34">
        <f t="shared" si="33"/>
        <v>0</v>
      </c>
      <c r="AB691" s="34">
        <f t="shared" si="34"/>
        <v>0</v>
      </c>
      <c r="AC691" s="25" t="s">
        <v>1371</v>
      </c>
      <c r="AD691" s="5" t="s">
        <v>1668</v>
      </c>
    </row>
    <row r="692" spans="1:30" ht="15" customHeight="1">
      <c r="A692" s="23"/>
      <c r="B692" s="81"/>
      <c r="C692" s="44"/>
      <c r="D692" s="44"/>
      <c r="E692" s="25">
        <v>10</v>
      </c>
      <c r="F692" s="25">
        <v>300</v>
      </c>
      <c r="G692" s="26">
        <f t="shared" si="35"/>
        <v>3000</v>
      </c>
      <c r="H692" s="27" t="s">
        <v>37</v>
      </c>
      <c r="I692" s="37">
        <v>45185</v>
      </c>
      <c r="J692" s="29">
        <v>300</v>
      </c>
      <c r="K692" s="29">
        <v>10</v>
      </c>
      <c r="L692" s="57">
        <v>45188</v>
      </c>
      <c r="M692" s="31">
        <v>3000</v>
      </c>
      <c r="N692" s="31">
        <v>30</v>
      </c>
      <c r="O692" s="31" t="s">
        <v>1614</v>
      </c>
      <c r="P692" s="32" t="s">
        <v>924</v>
      </c>
      <c r="Q692" s="33">
        <v>8500061260</v>
      </c>
      <c r="R692" s="33">
        <v>5000984044</v>
      </c>
      <c r="S692" s="29">
        <v>300</v>
      </c>
      <c r="T692" s="31" t="s">
        <v>1558</v>
      </c>
      <c r="U692" s="31">
        <v>8500061259</v>
      </c>
      <c r="V692" s="31">
        <v>5000998278</v>
      </c>
      <c r="W692" s="50">
        <v>45192</v>
      </c>
      <c r="X692" s="34">
        <f>300</f>
        <v>300</v>
      </c>
      <c r="Y692" s="34">
        <v>3000</v>
      </c>
      <c r="Z692" s="34" t="s">
        <v>800</v>
      </c>
      <c r="AA692" s="34">
        <f t="shared" si="33"/>
        <v>0</v>
      </c>
      <c r="AB692" s="34">
        <f t="shared" si="34"/>
        <v>0</v>
      </c>
      <c r="AC692" s="25" t="s">
        <v>1371</v>
      </c>
    </row>
    <row r="693" spans="1:30" ht="41.4">
      <c r="A693" s="23" t="s">
        <v>645</v>
      </c>
      <c r="B693" s="81">
        <v>6000025233</v>
      </c>
      <c r="C693" s="44" t="s">
        <v>1335</v>
      </c>
      <c r="D693" s="44" t="s">
        <v>1605</v>
      </c>
      <c r="E693" s="25">
        <v>10</v>
      </c>
      <c r="F693" s="25">
        <v>273</v>
      </c>
      <c r="G693" s="26">
        <f t="shared" si="35"/>
        <v>2730</v>
      </c>
      <c r="H693" s="27" t="s">
        <v>27</v>
      </c>
      <c r="I693" s="37">
        <v>45188</v>
      </c>
      <c r="J693" s="29">
        <v>273</v>
      </c>
      <c r="K693" s="29">
        <f>3+4</f>
        <v>7</v>
      </c>
      <c r="L693" s="57">
        <v>45187</v>
      </c>
      <c r="M693" s="31">
        <v>2730</v>
      </c>
      <c r="N693" s="31">
        <v>27</v>
      </c>
      <c r="O693" s="31" t="s">
        <v>1598</v>
      </c>
      <c r="P693" s="32" t="s">
        <v>160</v>
      </c>
      <c r="Q693" s="33">
        <v>8500061473</v>
      </c>
      <c r="R693" s="33">
        <v>5000998236</v>
      </c>
      <c r="S693" s="29">
        <v>273</v>
      </c>
      <c r="T693" s="31" t="s">
        <v>1558</v>
      </c>
      <c r="U693" s="31">
        <v>8500061472</v>
      </c>
      <c r="V693" s="31">
        <v>5000994647</v>
      </c>
      <c r="W693" s="50">
        <v>45212</v>
      </c>
      <c r="X693" s="34">
        <v>273</v>
      </c>
      <c r="Y693" s="34">
        <v>2730</v>
      </c>
      <c r="Z693" s="34" t="s">
        <v>1762</v>
      </c>
      <c r="AA693" s="34">
        <f t="shared" si="33"/>
        <v>0</v>
      </c>
      <c r="AB693" s="34">
        <f t="shared" si="34"/>
        <v>0</v>
      </c>
      <c r="AC693" s="25" t="s">
        <v>1371</v>
      </c>
    </row>
    <row r="694" spans="1:30" ht="31.2">
      <c r="A694" s="23"/>
      <c r="B694" s="81"/>
      <c r="C694" s="25"/>
      <c r="D694" s="25"/>
      <c r="E694" s="25">
        <v>10</v>
      </c>
      <c r="F694" s="25">
        <v>899</v>
      </c>
      <c r="G694" s="26">
        <f t="shared" si="35"/>
        <v>8990</v>
      </c>
      <c r="H694" s="27" t="s">
        <v>46</v>
      </c>
      <c r="I694" s="37" t="s">
        <v>1688</v>
      </c>
      <c r="J694" s="29">
        <f>874+25</f>
        <v>899</v>
      </c>
      <c r="K694" s="29">
        <v>8</v>
      </c>
      <c r="L694" s="57">
        <v>45187</v>
      </c>
      <c r="M694" s="31">
        <v>8990</v>
      </c>
      <c r="N694" s="31">
        <v>90</v>
      </c>
      <c r="O694" s="31" t="s">
        <v>876</v>
      </c>
      <c r="P694" s="32" t="s">
        <v>160</v>
      </c>
      <c r="Q694" s="33">
        <v>8500061473</v>
      </c>
      <c r="R694" s="33">
        <v>5001002502</v>
      </c>
      <c r="S694" s="29">
        <f>874+25</f>
        <v>899</v>
      </c>
      <c r="T694" s="31" t="s">
        <v>1558</v>
      </c>
      <c r="U694" s="31">
        <v>8500061472</v>
      </c>
      <c r="V694" s="31">
        <v>5000994647</v>
      </c>
      <c r="W694" s="50">
        <v>45198</v>
      </c>
      <c r="X694" s="34">
        <f>883+16</f>
        <v>899</v>
      </c>
      <c r="Y694" s="34">
        <f>8830+160</f>
        <v>8990</v>
      </c>
      <c r="Z694" s="34" t="s">
        <v>1608</v>
      </c>
      <c r="AA694" s="34">
        <f t="shared" si="33"/>
        <v>0</v>
      </c>
      <c r="AB694" s="34">
        <f t="shared" si="34"/>
        <v>0</v>
      </c>
      <c r="AC694" s="25"/>
    </row>
    <row r="695" spans="1:30" ht="24.75" customHeight="1">
      <c r="A695" s="23"/>
      <c r="B695" s="81"/>
      <c r="C695" s="25"/>
      <c r="D695" s="25"/>
      <c r="E695" s="25">
        <v>10</v>
      </c>
      <c r="F695" s="25">
        <v>728</v>
      </c>
      <c r="G695" s="26">
        <f t="shared" si="35"/>
        <v>7280</v>
      </c>
      <c r="H695" s="27" t="s">
        <v>146</v>
      </c>
      <c r="I695" s="37">
        <v>45190</v>
      </c>
      <c r="J695" s="29">
        <v>728</v>
      </c>
      <c r="K695" s="29">
        <v>9</v>
      </c>
      <c r="L695" s="57">
        <v>45187</v>
      </c>
      <c r="M695" s="31">
        <v>7280</v>
      </c>
      <c r="N695" s="31">
        <v>73</v>
      </c>
      <c r="O695" s="31" t="s">
        <v>876</v>
      </c>
      <c r="P695" s="32" t="s">
        <v>160</v>
      </c>
      <c r="Q695" s="33">
        <v>8500061473</v>
      </c>
      <c r="R695" s="33">
        <v>5001002502</v>
      </c>
      <c r="S695" s="29">
        <v>728</v>
      </c>
      <c r="T695" s="31" t="s">
        <v>1558</v>
      </c>
      <c r="U695" s="31">
        <v>8500061472</v>
      </c>
      <c r="V695" s="31">
        <v>5000994647</v>
      </c>
      <c r="W695" s="50">
        <v>45202</v>
      </c>
      <c r="X695" s="34">
        <v>728</v>
      </c>
      <c r="Y695" s="34">
        <v>7280</v>
      </c>
      <c r="Z695" s="34" t="s">
        <v>1401</v>
      </c>
      <c r="AA695" s="34">
        <f t="shared" si="33"/>
        <v>0</v>
      </c>
      <c r="AB695" s="34">
        <f t="shared" si="34"/>
        <v>0</v>
      </c>
      <c r="AC695" s="25"/>
    </row>
    <row r="696" spans="1:30" ht="15.6">
      <c r="A696" s="23" t="s">
        <v>240</v>
      </c>
      <c r="B696" s="81">
        <v>6000025031</v>
      </c>
      <c r="C696" s="25" t="s">
        <v>1618</v>
      </c>
      <c r="D696" s="44">
        <v>6000025031</v>
      </c>
      <c r="E696" s="25">
        <v>10</v>
      </c>
      <c r="F696" s="25">
        <v>50</v>
      </c>
      <c r="G696" s="26">
        <f t="shared" si="35"/>
        <v>500</v>
      </c>
      <c r="H696" s="27" t="s">
        <v>27</v>
      </c>
      <c r="I696" s="37">
        <v>45188</v>
      </c>
      <c r="J696" s="25">
        <v>50</v>
      </c>
      <c r="K696" s="29">
        <v>7</v>
      </c>
      <c r="L696" s="57">
        <v>45189</v>
      </c>
      <c r="M696" s="31">
        <v>500</v>
      </c>
      <c r="N696" s="31">
        <v>5</v>
      </c>
      <c r="O696" s="31" t="s">
        <v>857</v>
      </c>
      <c r="P696" s="32" t="s">
        <v>28</v>
      </c>
      <c r="Q696" s="33">
        <v>8500061577</v>
      </c>
      <c r="R696" s="33">
        <v>5000998507</v>
      </c>
      <c r="S696" s="25">
        <v>50</v>
      </c>
      <c r="T696" s="31" t="s">
        <v>890</v>
      </c>
      <c r="U696" s="31">
        <v>8500061576</v>
      </c>
      <c r="V696" s="31">
        <v>5001002264</v>
      </c>
      <c r="W696" s="50">
        <v>45211</v>
      </c>
      <c r="X696" s="34">
        <v>50</v>
      </c>
      <c r="Y696" s="34">
        <v>500</v>
      </c>
      <c r="Z696" s="34" t="s">
        <v>800</v>
      </c>
      <c r="AA696" s="34">
        <f t="shared" si="33"/>
        <v>0</v>
      </c>
      <c r="AB696" s="34">
        <f t="shared" si="34"/>
        <v>0</v>
      </c>
      <c r="AC696" s="25"/>
    </row>
    <row r="697" spans="1:30" ht="15.6">
      <c r="A697" s="23"/>
      <c r="B697" s="81"/>
      <c r="C697" s="25"/>
      <c r="D697" s="25"/>
      <c r="E697" s="25">
        <v>10</v>
      </c>
      <c r="F697" s="25">
        <v>150</v>
      </c>
      <c r="G697" s="26">
        <f t="shared" si="35"/>
        <v>1500</v>
      </c>
      <c r="H697" s="27" t="s">
        <v>46</v>
      </c>
      <c r="I697" s="37">
        <v>45188</v>
      </c>
      <c r="J697" s="25">
        <v>150</v>
      </c>
      <c r="K697" s="29">
        <v>8</v>
      </c>
      <c r="L697" s="57">
        <v>45189</v>
      </c>
      <c r="M697" s="31">
        <v>1500</v>
      </c>
      <c r="N697" s="31">
        <v>15</v>
      </c>
      <c r="O697" s="31" t="s">
        <v>857</v>
      </c>
      <c r="P697" s="32" t="s">
        <v>28</v>
      </c>
      <c r="Q697" s="33">
        <v>8500061577</v>
      </c>
      <c r="R697" s="33">
        <v>5000998507</v>
      </c>
      <c r="S697" s="25">
        <v>150</v>
      </c>
      <c r="T697" s="31" t="s">
        <v>890</v>
      </c>
      <c r="U697" s="31">
        <v>8500061576</v>
      </c>
      <c r="V697" s="31">
        <v>5001002264</v>
      </c>
      <c r="W697" s="50">
        <v>45211</v>
      </c>
      <c r="X697" s="34">
        <v>150</v>
      </c>
      <c r="Y697" s="34">
        <v>1500</v>
      </c>
      <c r="Z697" s="34" t="s">
        <v>800</v>
      </c>
      <c r="AA697" s="34">
        <f t="shared" si="33"/>
        <v>0</v>
      </c>
      <c r="AB697" s="34">
        <f t="shared" si="34"/>
        <v>0</v>
      </c>
      <c r="AC697" s="25"/>
    </row>
    <row r="698" spans="1:30" ht="15.6">
      <c r="A698" s="23"/>
      <c r="B698" s="81"/>
      <c r="C698" s="25"/>
      <c r="D698" s="25"/>
      <c r="E698" s="25">
        <v>10</v>
      </c>
      <c r="F698" s="25">
        <v>50</v>
      </c>
      <c r="G698" s="26">
        <f t="shared" si="35"/>
        <v>500</v>
      </c>
      <c r="H698" s="27" t="s">
        <v>37</v>
      </c>
      <c r="I698" s="37">
        <v>45188</v>
      </c>
      <c r="J698" s="25">
        <v>50</v>
      </c>
      <c r="K698" s="29">
        <v>7</v>
      </c>
      <c r="L698" s="57">
        <v>45189</v>
      </c>
      <c r="M698" s="31">
        <v>500</v>
      </c>
      <c r="N698" s="31">
        <v>15</v>
      </c>
      <c r="O698" s="31" t="s">
        <v>857</v>
      </c>
      <c r="P698" s="32" t="s">
        <v>28</v>
      </c>
      <c r="Q698" s="33">
        <v>8500061577</v>
      </c>
      <c r="R698" s="33">
        <v>5000998507</v>
      </c>
      <c r="S698" s="25">
        <v>50</v>
      </c>
      <c r="T698" s="31" t="s">
        <v>890</v>
      </c>
      <c r="U698" s="31">
        <v>8500061576</v>
      </c>
      <c r="V698" s="31">
        <v>5001002264</v>
      </c>
      <c r="W698" s="50">
        <v>45211</v>
      </c>
      <c r="X698" s="34">
        <v>50</v>
      </c>
      <c r="Y698" s="34">
        <v>500</v>
      </c>
      <c r="Z698" s="34" t="s">
        <v>800</v>
      </c>
      <c r="AA698" s="34">
        <f t="shared" si="33"/>
        <v>0</v>
      </c>
      <c r="AB698" s="34">
        <f t="shared" si="34"/>
        <v>0</v>
      </c>
      <c r="AC698" s="25"/>
    </row>
    <row r="699" spans="1:30" ht="29.25" customHeight="1">
      <c r="A699" s="23"/>
      <c r="B699" s="81"/>
      <c r="C699" s="25"/>
      <c r="D699" s="25"/>
      <c r="E699" s="25"/>
      <c r="F699" s="25"/>
      <c r="G699" s="26"/>
      <c r="H699" s="27" t="s">
        <v>1744</v>
      </c>
      <c r="I699" s="37">
        <v>45208</v>
      </c>
      <c r="J699" s="29">
        <v>2500</v>
      </c>
      <c r="K699" s="29">
        <v>258</v>
      </c>
      <c r="L699" s="56" t="s">
        <v>1745</v>
      </c>
      <c r="M699" s="29"/>
      <c r="N699" s="29"/>
      <c r="O699" s="31"/>
      <c r="P699" s="32"/>
      <c r="Q699" s="33">
        <v>8500062521</v>
      </c>
      <c r="R699" s="33">
        <v>5001070551</v>
      </c>
      <c r="S699" s="29">
        <v>2500</v>
      </c>
      <c r="T699" s="31"/>
      <c r="U699" s="31"/>
      <c r="V699" s="31"/>
      <c r="W699" s="50">
        <v>45211</v>
      </c>
      <c r="X699" s="34">
        <v>2500</v>
      </c>
      <c r="Y699" s="34"/>
      <c r="Z699" s="34" t="s">
        <v>800</v>
      </c>
      <c r="AA699" s="34">
        <f t="shared" si="33"/>
        <v>0</v>
      </c>
      <c r="AB699" s="34">
        <f t="shared" si="34"/>
        <v>0</v>
      </c>
      <c r="AC699" s="25"/>
    </row>
  </sheetData>
  <mergeCells count="10">
    <mergeCell ref="O227:O229"/>
    <mergeCell ref="P585:P588"/>
    <mergeCell ref="AD585:AD586"/>
    <mergeCell ref="AD587:AD588"/>
    <mergeCell ref="AD211:AD213"/>
    <mergeCell ref="AD372:AD381"/>
    <mergeCell ref="AD388:AD393"/>
    <mergeCell ref="AD397:AD408"/>
    <mergeCell ref="AD409:AD419"/>
    <mergeCell ref="AD420:AD437"/>
  </mergeCells>
  <phoneticPr fontId="57" type="noConversion"/>
  <pageMargins left="0.7" right="0.7" top="0.75" bottom="0.75" header="0.3" footer="0.3"/>
  <pageSetup orientation="portrait" r:id="rId1"/>
  <ignoredErrors>
    <ignoredError sqref="Q10:R10 Q11:R135 Q136:R192 Q193:R221 Q357:R584 Q679:R698 Q615:R677 Q614 Q599:R599 R597 R598 Q596:R596 R595 Q587:R594 Q224:R227 R223 R222 Q229:R356 R228 Q601:R613 R600" numberStoredAsText="1"/>
    <ignoredError sqref="N654" 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9BCC-E9B1-4FCD-A4D4-5B16659004FE}">
  <sheetPr>
    <tabColor rgb="FFFFFF00"/>
    <pageSetUpPr fitToPage="1"/>
  </sheetPr>
  <dimension ref="A1:K14"/>
  <sheetViews>
    <sheetView view="pageBreakPreview" zoomScale="85" zoomScaleNormal="85" zoomScaleSheetLayoutView="85" workbookViewId="0">
      <pane ySplit="2" topLeftCell="A6" activePane="bottomLeft" state="frozen"/>
      <selection activeCell="D4" sqref="D4"/>
      <selection pane="bottomLeft" activeCell="E19" sqref="E19"/>
    </sheetView>
  </sheetViews>
  <sheetFormatPr defaultColWidth="9.109375" defaultRowHeight="18"/>
  <cols>
    <col min="1" max="1" width="8.109375" style="449" customWidth="1"/>
    <col min="2" max="2" width="15.33203125" style="449" bestFit="1" customWidth="1"/>
    <col min="3" max="3" width="15.6640625" style="450" bestFit="1" customWidth="1"/>
    <col min="4" max="4" width="22.44140625" style="450" customWidth="1"/>
    <col min="5" max="5" width="21.88671875" style="450" customWidth="1"/>
    <col min="6" max="6" width="29.5546875" style="450" customWidth="1"/>
    <col min="7" max="7" width="12.33203125" style="451" customWidth="1"/>
    <col min="8" max="8" width="19.5546875" style="451" customWidth="1"/>
    <col min="9" max="9" width="29.33203125" style="452" customWidth="1"/>
    <col min="10" max="10" width="28.33203125" style="453" customWidth="1"/>
    <col min="11" max="11" width="13.6640625" style="454" customWidth="1"/>
    <col min="12" max="16384" width="9.109375" style="453"/>
  </cols>
  <sheetData>
    <row r="1" spans="1:11" s="417" customFormat="1" ht="54" customHeight="1">
      <c r="A1" s="567" t="s">
        <v>3860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s="422" customFormat="1" ht="40.5" customHeight="1">
      <c r="A2" s="418" t="s">
        <v>3861</v>
      </c>
      <c r="B2" s="418" t="s">
        <v>3862</v>
      </c>
      <c r="C2" s="419" t="s">
        <v>3863</v>
      </c>
      <c r="D2" s="568" t="s">
        <v>3864</v>
      </c>
      <c r="E2" s="568"/>
      <c r="F2" s="420" t="s">
        <v>3865</v>
      </c>
      <c r="G2" s="421" t="s">
        <v>3866</v>
      </c>
      <c r="H2" s="421" t="s">
        <v>3867</v>
      </c>
      <c r="I2" s="419" t="s">
        <v>3868</v>
      </c>
      <c r="J2" s="419" t="s">
        <v>3869</v>
      </c>
      <c r="K2" s="419" t="s">
        <v>3870</v>
      </c>
    </row>
    <row r="3" spans="1:11" s="424" customFormat="1" ht="36" hidden="1" customHeight="1">
      <c r="A3" s="569" t="s">
        <v>3871</v>
      </c>
      <c r="B3" s="570"/>
      <c r="C3" s="570"/>
      <c r="D3" s="570"/>
      <c r="E3" s="570"/>
      <c r="F3" s="570"/>
      <c r="G3" s="570"/>
      <c r="H3" s="570"/>
      <c r="I3" s="570"/>
      <c r="J3" s="571"/>
      <c r="K3" s="423"/>
    </row>
    <row r="4" spans="1:11" s="424" customFormat="1" ht="36" hidden="1" customHeight="1">
      <c r="A4" s="425">
        <v>1</v>
      </c>
      <c r="B4" s="425" t="s">
        <v>3871</v>
      </c>
      <c r="C4" s="426" t="s">
        <v>3872</v>
      </c>
      <c r="D4" s="426" t="s">
        <v>3873</v>
      </c>
      <c r="E4" s="427" t="s">
        <v>3874</v>
      </c>
      <c r="F4" s="427" t="s">
        <v>3875</v>
      </c>
      <c r="G4" s="428" t="s">
        <v>3876</v>
      </c>
      <c r="H4" s="429">
        <v>44953</v>
      </c>
      <c r="I4" s="430" t="s">
        <v>3877</v>
      </c>
      <c r="J4" s="430" t="s">
        <v>3878</v>
      </c>
      <c r="K4" s="431"/>
    </row>
    <row r="5" spans="1:11" s="424" customFormat="1" ht="36" hidden="1" customHeight="1">
      <c r="A5" s="425">
        <v>2</v>
      </c>
      <c r="B5" s="425" t="s">
        <v>3871</v>
      </c>
      <c r="C5" s="426" t="s">
        <v>3879</v>
      </c>
      <c r="D5" s="426" t="s">
        <v>3880</v>
      </c>
      <c r="E5" s="427" t="s">
        <v>3881</v>
      </c>
      <c r="F5" s="427" t="s">
        <v>3882</v>
      </c>
      <c r="G5" s="428" t="s">
        <v>3876</v>
      </c>
      <c r="H5" s="429">
        <v>44953</v>
      </c>
      <c r="I5" s="430" t="s">
        <v>3883</v>
      </c>
      <c r="J5" s="430" t="s">
        <v>3878</v>
      </c>
      <c r="K5" s="431"/>
    </row>
    <row r="6" spans="1:11" s="433" customFormat="1" ht="35.25" customHeight="1">
      <c r="A6" s="572" t="s">
        <v>3884</v>
      </c>
      <c r="B6" s="573"/>
      <c r="C6" s="573"/>
      <c r="D6" s="573"/>
      <c r="E6" s="573"/>
      <c r="F6" s="573"/>
      <c r="G6" s="573"/>
      <c r="H6" s="573"/>
      <c r="I6" s="573"/>
      <c r="J6" s="574"/>
      <c r="K6" s="432"/>
    </row>
    <row r="7" spans="1:11" s="433" customFormat="1" ht="35.25" customHeight="1">
      <c r="A7" s="434">
        <v>1</v>
      </c>
      <c r="B7" s="434" t="s">
        <v>3885</v>
      </c>
      <c r="C7" s="435" t="s">
        <v>3886</v>
      </c>
      <c r="D7" s="435" t="s">
        <v>3887</v>
      </c>
      <c r="E7" s="436" t="s">
        <v>3888</v>
      </c>
      <c r="F7" s="437" t="s">
        <v>3889</v>
      </c>
      <c r="G7" s="438" t="s">
        <v>3890</v>
      </c>
      <c r="H7" s="439">
        <v>43327</v>
      </c>
      <c r="I7" s="440" t="s">
        <v>3891</v>
      </c>
      <c r="J7" s="440" t="s">
        <v>3892</v>
      </c>
      <c r="K7" s="441"/>
    </row>
    <row r="8" spans="1:11" s="433" customFormat="1" ht="35.25" customHeight="1">
      <c r="A8" s="434">
        <v>2</v>
      </c>
      <c r="B8" s="434" t="s">
        <v>3885</v>
      </c>
      <c r="C8" s="435" t="s">
        <v>3893</v>
      </c>
      <c r="D8" s="435" t="s">
        <v>3894</v>
      </c>
      <c r="E8" s="436" t="s">
        <v>3895</v>
      </c>
      <c r="F8" s="436" t="s">
        <v>3896</v>
      </c>
      <c r="G8" s="438" t="s">
        <v>3876</v>
      </c>
      <c r="H8" s="439">
        <v>43313</v>
      </c>
      <c r="I8" s="440" t="s">
        <v>3897</v>
      </c>
      <c r="J8" s="440" t="s">
        <v>3892</v>
      </c>
      <c r="K8" s="441"/>
    </row>
    <row r="9" spans="1:11" s="424" customFormat="1" ht="36" customHeight="1">
      <c r="A9" s="434">
        <v>3</v>
      </c>
      <c r="B9" s="434" t="s">
        <v>3898</v>
      </c>
      <c r="C9" s="435" t="s">
        <v>3899</v>
      </c>
      <c r="D9" s="435" t="s">
        <v>3900</v>
      </c>
      <c r="E9" s="436" t="s">
        <v>3901</v>
      </c>
      <c r="F9" s="436" t="s">
        <v>3902</v>
      </c>
      <c r="G9" s="438" t="s">
        <v>3876</v>
      </c>
      <c r="H9" s="439">
        <v>39496</v>
      </c>
      <c r="I9" s="440" t="s">
        <v>3891</v>
      </c>
      <c r="J9" s="440" t="s">
        <v>3903</v>
      </c>
      <c r="K9" s="441"/>
    </row>
    <row r="10" spans="1:11" s="424" customFormat="1" ht="36" customHeight="1">
      <c r="A10" s="434">
        <v>4</v>
      </c>
      <c r="B10" s="434" t="s">
        <v>3898</v>
      </c>
      <c r="C10" s="435" t="s">
        <v>3904</v>
      </c>
      <c r="D10" s="435" t="s">
        <v>3905</v>
      </c>
      <c r="E10" s="436" t="s">
        <v>3906</v>
      </c>
      <c r="F10" s="436" t="s">
        <v>3907</v>
      </c>
      <c r="G10" s="438" t="s">
        <v>3876</v>
      </c>
      <c r="H10" s="439">
        <v>43622</v>
      </c>
      <c r="I10" s="440" t="s">
        <v>3908</v>
      </c>
      <c r="J10" s="440" t="s">
        <v>3903</v>
      </c>
      <c r="K10" s="441"/>
    </row>
    <row r="11" spans="1:11" s="424" customFormat="1" ht="36" customHeight="1">
      <c r="A11" s="434">
        <v>5</v>
      </c>
      <c r="B11" s="434" t="s">
        <v>3898</v>
      </c>
      <c r="C11" s="435" t="s">
        <v>3909</v>
      </c>
      <c r="D11" s="435" t="s">
        <v>3910</v>
      </c>
      <c r="E11" s="436" t="s">
        <v>3911</v>
      </c>
      <c r="F11" s="436" t="s">
        <v>3912</v>
      </c>
      <c r="G11" s="438" t="s">
        <v>3876</v>
      </c>
      <c r="H11" s="439">
        <v>44525</v>
      </c>
      <c r="I11" s="440" t="s">
        <v>3913</v>
      </c>
      <c r="J11" s="440" t="s">
        <v>3903</v>
      </c>
      <c r="K11" s="441"/>
    </row>
    <row r="12" spans="1:11" s="424" customFormat="1" ht="36" hidden="1" customHeight="1">
      <c r="A12" s="575" t="s">
        <v>3914</v>
      </c>
      <c r="B12" s="576"/>
      <c r="C12" s="576"/>
      <c r="D12" s="576"/>
      <c r="E12" s="576"/>
      <c r="F12" s="576"/>
      <c r="G12" s="576"/>
      <c r="H12" s="576"/>
      <c r="I12" s="576"/>
      <c r="J12" s="577"/>
      <c r="K12" s="442"/>
    </row>
    <row r="13" spans="1:11" s="424" customFormat="1" ht="36" hidden="1" customHeight="1">
      <c r="A13" s="443">
        <v>9</v>
      </c>
      <c r="B13" s="444" t="s">
        <v>3914</v>
      </c>
      <c r="C13" s="445" t="s">
        <v>3915</v>
      </c>
      <c r="D13" s="445" t="s">
        <v>3916</v>
      </c>
      <c r="E13" s="446" t="s">
        <v>3917</v>
      </c>
      <c r="F13" s="446" t="s">
        <v>3918</v>
      </c>
      <c r="G13" s="444" t="s">
        <v>3876</v>
      </c>
      <c r="H13" s="447">
        <v>43875</v>
      </c>
      <c r="I13" s="445" t="s">
        <v>3883</v>
      </c>
      <c r="J13" s="445" t="s">
        <v>3878</v>
      </c>
      <c r="K13" s="448"/>
    </row>
    <row r="14" spans="1:11" s="433" customFormat="1" ht="35.25" hidden="1" customHeight="1">
      <c r="A14" s="443">
        <v>10</v>
      </c>
      <c r="B14" s="444" t="s">
        <v>3914</v>
      </c>
      <c r="C14" s="445" t="s">
        <v>3919</v>
      </c>
      <c r="D14" s="445" t="s">
        <v>3920</v>
      </c>
      <c r="E14" s="446" t="s">
        <v>3921</v>
      </c>
      <c r="F14" s="446" t="s">
        <v>3922</v>
      </c>
      <c r="G14" s="444" t="s">
        <v>3876</v>
      </c>
      <c r="H14" s="447">
        <v>45029</v>
      </c>
      <c r="I14" s="445" t="s">
        <v>3923</v>
      </c>
      <c r="J14" s="445" t="s">
        <v>3878</v>
      </c>
      <c r="K14" s="448"/>
    </row>
  </sheetData>
  <autoFilter ref="A2:J5" xr:uid="{05D33246-9AE3-4278-8691-50C6916E82A9}">
    <filterColumn colId="3" showButton="0"/>
    <filterColumn colId="4" showButton="0"/>
    <filterColumn colId="5" showButton="0"/>
    <sortState xmlns:xlrd2="http://schemas.microsoft.com/office/spreadsheetml/2017/richdata2" ref="A3:J11">
      <sortCondition ref="A2:A5"/>
    </sortState>
  </autoFilter>
  <mergeCells count="5">
    <mergeCell ref="A1:K1"/>
    <mergeCell ref="D2:E2"/>
    <mergeCell ref="A3:J3"/>
    <mergeCell ref="A6:J6"/>
    <mergeCell ref="A12:J12"/>
  </mergeCells>
  <printOptions horizontalCentered="1"/>
  <pageMargins left="0.23" right="0.25" top="0.26" bottom="0.28000000000000003" header="0.13" footer="0.3"/>
  <pageSetup paperSize="9" scale="66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3C25-51EC-4809-8EC3-EF5171CA73F4}">
  <sheetPr>
    <tabColor rgb="FF00B0F0"/>
  </sheetPr>
  <dimension ref="A1"/>
  <sheetViews>
    <sheetView zoomScale="115" zoomScaleNormal="115" workbookViewId="0">
      <selection activeCell="P8" sqref="P8"/>
    </sheetView>
  </sheetViews>
  <sheetFormatPr defaultRowHeight="14.4"/>
  <cols>
    <col min="1" max="16384" width="8.88671875" style="416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4152-EFEF-4A9F-8DCD-20151F580018}">
  <sheetPr>
    <tabColor rgb="FF92D050"/>
  </sheetPr>
  <dimension ref="A1:BU65"/>
  <sheetViews>
    <sheetView zoomScale="85" zoomScaleNormal="85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BB43" sqref="BB43"/>
    </sheetView>
  </sheetViews>
  <sheetFormatPr defaultColWidth="9" defaultRowHeight="13.2"/>
  <cols>
    <col min="1" max="1" width="6.5546875" style="399" customWidth="1"/>
    <col min="2" max="16384" width="9" style="399"/>
  </cols>
  <sheetData>
    <row r="1" spans="1:73" s="384" customFormat="1">
      <c r="A1" s="584" t="s">
        <v>3839</v>
      </c>
      <c r="B1" s="578" t="s">
        <v>3840</v>
      </c>
      <c r="C1" s="579"/>
      <c r="D1" s="580"/>
      <c r="E1" s="583" t="s">
        <v>3840</v>
      </c>
      <c r="F1" s="579"/>
      <c r="G1" s="581"/>
      <c r="H1" s="578" t="s">
        <v>3840</v>
      </c>
      <c r="I1" s="579"/>
      <c r="J1" s="581"/>
      <c r="K1" s="578" t="s">
        <v>3840</v>
      </c>
      <c r="L1" s="579"/>
      <c r="M1" s="581"/>
      <c r="N1" s="578" t="s">
        <v>3840</v>
      </c>
      <c r="O1" s="579"/>
      <c r="P1" s="581"/>
      <c r="Q1" s="578" t="s">
        <v>3840</v>
      </c>
      <c r="R1" s="579"/>
      <c r="S1" s="581"/>
      <c r="T1" s="578" t="s">
        <v>3840</v>
      </c>
      <c r="U1" s="579"/>
      <c r="V1" s="581"/>
      <c r="W1" s="582" t="s">
        <v>3840</v>
      </c>
      <c r="X1" s="582"/>
      <c r="Y1" s="582"/>
      <c r="Z1" s="583" t="s">
        <v>3840</v>
      </c>
      <c r="AA1" s="579"/>
      <c r="AB1" s="581"/>
      <c r="AC1" s="583" t="s">
        <v>3840</v>
      </c>
      <c r="AD1" s="579"/>
      <c r="AE1" s="581"/>
      <c r="AF1" s="578" t="s">
        <v>3840</v>
      </c>
      <c r="AG1" s="579"/>
      <c r="AH1" s="581"/>
      <c r="AI1" s="578" t="s">
        <v>3840</v>
      </c>
      <c r="AJ1" s="579"/>
      <c r="AK1" s="580"/>
      <c r="AL1" s="578" t="s">
        <v>3840</v>
      </c>
      <c r="AM1" s="579"/>
      <c r="AN1" s="580"/>
      <c r="AO1" s="578" t="s">
        <v>3840</v>
      </c>
      <c r="AP1" s="579"/>
      <c r="AQ1" s="580"/>
      <c r="AR1" s="578" t="s">
        <v>3840</v>
      </c>
      <c r="AS1" s="579"/>
      <c r="AT1" s="580"/>
      <c r="AU1" s="578" t="s">
        <v>3840</v>
      </c>
      <c r="AV1" s="579"/>
      <c r="AW1" s="580"/>
      <c r="AX1" s="578" t="s">
        <v>3840</v>
      </c>
      <c r="AY1" s="579"/>
      <c r="AZ1" s="580"/>
      <c r="BA1" s="578" t="s">
        <v>3840</v>
      </c>
      <c r="BB1" s="579"/>
      <c r="BC1" s="580"/>
      <c r="BD1" s="578" t="s">
        <v>3840</v>
      </c>
      <c r="BE1" s="579"/>
      <c r="BF1" s="580"/>
      <c r="BG1" s="578" t="s">
        <v>3840</v>
      </c>
      <c r="BH1" s="579"/>
      <c r="BI1" s="580"/>
      <c r="BJ1" s="578" t="s">
        <v>3840</v>
      </c>
      <c r="BK1" s="579"/>
      <c r="BL1" s="580"/>
      <c r="BM1" s="578" t="s">
        <v>3840</v>
      </c>
      <c r="BN1" s="579"/>
      <c r="BO1" s="580"/>
      <c r="BP1" s="578" t="s">
        <v>3840</v>
      </c>
      <c r="BQ1" s="579"/>
      <c r="BR1" s="580"/>
      <c r="BS1" s="578" t="s">
        <v>3840</v>
      </c>
      <c r="BT1" s="579"/>
      <c r="BU1" s="580"/>
    </row>
    <row r="2" spans="1:73" s="384" customFormat="1" ht="13.8" thickBot="1">
      <c r="A2" s="584"/>
      <c r="B2" s="385" t="s">
        <v>3841</v>
      </c>
      <c r="C2" s="383" t="s">
        <v>3842</v>
      </c>
      <c r="D2" s="386" t="s">
        <v>3843</v>
      </c>
      <c r="E2" s="387" t="s">
        <v>3841</v>
      </c>
      <c r="F2" s="383" t="s">
        <v>3842</v>
      </c>
      <c r="G2" s="388" t="s">
        <v>3843</v>
      </c>
      <c r="H2" s="385" t="s">
        <v>3841</v>
      </c>
      <c r="I2" s="383" t="s">
        <v>3842</v>
      </c>
      <c r="J2" s="388" t="s">
        <v>3843</v>
      </c>
      <c r="K2" s="385" t="s">
        <v>3841</v>
      </c>
      <c r="L2" s="383" t="s">
        <v>3842</v>
      </c>
      <c r="M2" s="388" t="s">
        <v>3843</v>
      </c>
      <c r="N2" s="385" t="s">
        <v>3841</v>
      </c>
      <c r="O2" s="383" t="s">
        <v>3842</v>
      </c>
      <c r="P2" s="388" t="s">
        <v>3843</v>
      </c>
      <c r="Q2" s="385" t="s">
        <v>3841</v>
      </c>
      <c r="R2" s="383" t="s">
        <v>3842</v>
      </c>
      <c r="S2" s="388" t="s">
        <v>3843</v>
      </c>
      <c r="T2" s="385" t="s">
        <v>3841</v>
      </c>
      <c r="U2" s="383" t="s">
        <v>3842</v>
      </c>
      <c r="V2" s="388" t="s">
        <v>3843</v>
      </c>
      <c r="W2" s="383" t="s">
        <v>3841</v>
      </c>
      <c r="X2" s="383" t="s">
        <v>3842</v>
      </c>
      <c r="Y2" s="383" t="s">
        <v>3843</v>
      </c>
      <c r="Z2" s="389" t="s">
        <v>3841</v>
      </c>
      <c r="AA2" s="390" t="s">
        <v>3842</v>
      </c>
      <c r="AB2" s="391" t="s">
        <v>3843</v>
      </c>
      <c r="AC2" s="389" t="s">
        <v>3841</v>
      </c>
      <c r="AD2" s="390" t="s">
        <v>3842</v>
      </c>
      <c r="AE2" s="391" t="s">
        <v>3843</v>
      </c>
      <c r="AF2" s="392" t="s">
        <v>3841</v>
      </c>
      <c r="AG2" s="390" t="s">
        <v>3842</v>
      </c>
      <c r="AH2" s="391" t="s">
        <v>3843</v>
      </c>
      <c r="AI2" s="392" t="s">
        <v>3841</v>
      </c>
      <c r="AJ2" s="390" t="s">
        <v>3842</v>
      </c>
      <c r="AK2" s="393" t="s">
        <v>3843</v>
      </c>
      <c r="AL2" s="385" t="s">
        <v>3841</v>
      </c>
      <c r="AM2" s="383" t="s">
        <v>3842</v>
      </c>
      <c r="AN2" s="386" t="s">
        <v>3843</v>
      </c>
      <c r="AO2" s="385" t="s">
        <v>3841</v>
      </c>
      <c r="AP2" s="383" t="s">
        <v>3842</v>
      </c>
      <c r="AQ2" s="386" t="s">
        <v>3843</v>
      </c>
      <c r="AR2" s="392" t="s">
        <v>3841</v>
      </c>
      <c r="AS2" s="390" t="s">
        <v>3842</v>
      </c>
      <c r="AT2" s="393" t="s">
        <v>3843</v>
      </c>
      <c r="AU2" s="392" t="s">
        <v>3841</v>
      </c>
      <c r="AV2" s="390" t="s">
        <v>3842</v>
      </c>
      <c r="AW2" s="393" t="s">
        <v>3843</v>
      </c>
      <c r="AX2" s="385" t="s">
        <v>3841</v>
      </c>
      <c r="AY2" s="383" t="s">
        <v>3842</v>
      </c>
      <c r="AZ2" s="386" t="s">
        <v>3843</v>
      </c>
      <c r="BA2" s="392" t="s">
        <v>3841</v>
      </c>
      <c r="BB2" s="390" t="s">
        <v>3842</v>
      </c>
      <c r="BC2" s="393" t="s">
        <v>3843</v>
      </c>
      <c r="BD2" s="392" t="s">
        <v>3841</v>
      </c>
      <c r="BE2" s="390" t="s">
        <v>3842</v>
      </c>
      <c r="BF2" s="393" t="s">
        <v>3843</v>
      </c>
      <c r="BG2" s="385" t="s">
        <v>3841</v>
      </c>
      <c r="BH2" s="383" t="s">
        <v>3842</v>
      </c>
      <c r="BI2" s="386" t="s">
        <v>3843</v>
      </c>
      <c r="BJ2" s="392" t="s">
        <v>3841</v>
      </c>
      <c r="BK2" s="390" t="s">
        <v>3842</v>
      </c>
      <c r="BL2" s="393" t="s">
        <v>3843</v>
      </c>
      <c r="BM2" s="392" t="s">
        <v>3841</v>
      </c>
      <c r="BN2" s="390" t="s">
        <v>3842</v>
      </c>
      <c r="BO2" s="393" t="s">
        <v>3843</v>
      </c>
      <c r="BP2" s="392" t="s">
        <v>3841</v>
      </c>
      <c r="BQ2" s="390" t="s">
        <v>3842</v>
      </c>
      <c r="BR2" s="393" t="s">
        <v>3843</v>
      </c>
      <c r="BS2" s="392" t="s">
        <v>3841</v>
      </c>
      <c r="BT2" s="390" t="s">
        <v>3842</v>
      </c>
      <c r="BU2" s="393" t="s">
        <v>3843</v>
      </c>
    </row>
    <row r="3" spans="1:73">
      <c r="A3" s="394">
        <v>1</v>
      </c>
      <c r="B3" s="587" t="s">
        <v>3844</v>
      </c>
      <c r="C3" s="585">
        <v>1</v>
      </c>
      <c r="D3" s="395" t="s">
        <v>3844</v>
      </c>
      <c r="E3" s="589" t="s">
        <v>3845</v>
      </c>
      <c r="F3" s="585">
        <v>1</v>
      </c>
      <c r="G3" s="396" t="s">
        <v>3844</v>
      </c>
      <c r="H3" s="587" t="s">
        <v>3846</v>
      </c>
      <c r="I3" s="585">
        <v>1</v>
      </c>
      <c r="J3" s="396" t="s">
        <v>3844</v>
      </c>
      <c r="K3" s="587" t="s">
        <v>3847</v>
      </c>
      <c r="L3" s="585">
        <v>1</v>
      </c>
      <c r="M3" s="396" t="s">
        <v>3844</v>
      </c>
      <c r="N3" s="587" t="s">
        <v>3848</v>
      </c>
      <c r="O3" s="585">
        <v>1</v>
      </c>
      <c r="P3" s="396" t="s">
        <v>3844</v>
      </c>
      <c r="Q3" s="587" t="s">
        <v>3849</v>
      </c>
      <c r="R3" s="585">
        <v>1</v>
      </c>
      <c r="S3" s="396" t="s">
        <v>3844</v>
      </c>
      <c r="T3" s="587" t="s">
        <v>3850</v>
      </c>
      <c r="U3" s="585">
        <v>1</v>
      </c>
      <c r="V3" s="396" t="s">
        <v>3844</v>
      </c>
      <c r="W3" s="586" t="s">
        <v>3851</v>
      </c>
      <c r="X3" s="585">
        <v>1</v>
      </c>
      <c r="Y3" s="396" t="s">
        <v>3844</v>
      </c>
      <c r="Z3" s="609" t="s">
        <v>3852</v>
      </c>
      <c r="AA3" s="600">
        <v>1</v>
      </c>
      <c r="AB3" s="397" t="s">
        <v>3844</v>
      </c>
      <c r="AC3" s="612" t="s">
        <v>3852</v>
      </c>
      <c r="AD3" s="600">
        <v>4</v>
      </c>
      <c r="AE3" s="397" t="s">
        <v>3844</v>
      </c>
      <c r="AF3" s="604" t="s">
        <v>3776</v>
      </c>
      <c r="AG3" s="591">
        <v>1</v>
      </c>
      <c r="AH3" s="397" t="s">
        <v>3844</v>
      </c>
      <c r="AI3" s="593" t="s">
        <v>3853</v>
      </c>
      <c r="AJ3" s="591">
        <v>1</v>
      </c>
      <c r="AK3" s="397" t="s">
        <v>3844</v>
      </c>
      <c r="AL3" s="596" t="s">
        <v>37</v>
      </c>
      <c r="AM3" s="585">
        <v>1</v>
      </c>
      <c r="AN3" s="395" t="s">
        <v>3844</v>
      </c>
      <c r="AO3" s="596" t="s">
        <v>46</v>
      </c>
      <c r="AP3" s="585">
        <v>1</v>
      </c>
      <c r="AQ3" s="395" t="s">
        <v>3844</v>
      </c>
      <c r="AR3" s="604" t="s">
        <v>3854</v>
      </c>
      <c r="AS3" s="600">
        <v>1</v>
      </c>
      <c r="AT3" s="398" t="s">
        <v>3844</v>
      </c>
      <c r="AU3" s="604" t="s">
        <v>3855</v>
      </c>
      <c r="AV3" s="600">
        <v>1</v>
      </c>
      <c r="AW3" s="397" t="s">
        <v>3844</v>
      </c>
      <c r="AX3" s="601" t="s">
        <v>3856</v>
      </c>
      <c r="AY3" s="585">
        <v>1</v>
      </c>
      <c r="AZ3" s="395" t="s">
        <v>3844</v>
      </c>
      <c r="BA3" s="604" t="s">
        <v>3857</v>
      </c>
      <c r="BB3" s="600">
        <v>1</v>
      </c>
      <c r="BC3" s="397" t="s">
        <v>3844</v>
      </c>
      <c r="BD3" s="604" t="s">
        <v>3858</v>
      </c>
      <c r="BE3" s="600">
        <v>1</v>
      </c>
      <c r="BF3" s="397" t="s">
        <v>3844</v>
      </c>
      <c r="BG3" s="601" t="s">
        <v>3859</v>
      </c>
      <c r="BH3" s="585">
        <v>1</v>
      </c>
      <c r="BI3" s="395" t="s">
        <v>3844</v>
      </c>
      <c r="BJ3" s="604" t="s">
        <v>3783</v>
      </c>
      <c r="BK3" s="600">
        <v>1</v>
      </c>
      <c r="BL3" s="397" t="s">
        <v>3844</v>
      </c>
      <c r="BM3" s="604" t="s">
        <v>3784</v>
      </c>
      <c r="BN3" s="600">
        <v>1</v>
      </c>
      <c r="BO3" s="398" t="s">
        <v>3844</v>
      </c>
      <c r="BP3" s="604" t="s">
        <v>3785</v>
      </c>
      <c r="BQ3" s="600">
        <v>1</v>
      </c>
      <c r="BR3" s="397" t="s">
        <v>3844</v>
      </c>
      <c r="BS3" s="604" t="s">
        <v>3786</v>
      </c>
      <c r="BT3" s="600">
        <v>1</v>
      </c>
      <c r="BU3" s="397" t="s">
        <v>3844</v>
      </c>
    </row>
    <row r="4" spans="1:73" ht="15" customHeight="1">
      <c r="A4" s="394">
        <v>2</v>
      </c>
      <c r="B4" s="587"/>
      <c r="C4" s="585"/>
      <c r="D4" s="400" t="s">
        <v>3845</v>
      </c>
      <c r="E4" s="589"/>
      <c r="F4" s="585"/>
      <c r="G4" s="401" t="s">
        <v>3845</v>
      </c>
      <c r="H4" s="587"/>
      <c r="I4" s="585"/>
      <c r="J4" s="401" t="s">
        <v>3845</v>
      </c>
      <c r="K4" s="587"/>
      <c r="L4" s="585"/>
      <c r="M4" s="401" t="s">
        <v>3845</v>
      </c>
      <c r="N4" s="587"/>
      <c r="O4" s="585"/>
      <c r="P4" s="401" t="s">
        <v>3845</v>
      </c>
      <c r="Q4" s="587"/>
      <c r="R4" s="585"/>
      <c r="S4" s="401" t="s">
        <v>3845</v>
      </c>
      <c r="T4" s="587"/>
      <c r="U4" s="585"/>
      <c r="V4" s="401" t="s">
        <v>3845</v>
      </c>
      <c r="W4" s="586"/>
      <c r="X4" s="585"/>
      <c r="Y4" s="401" t="s">
        <v>3845</v>
      </c>
      <c r="Z4" s="610"/>
      <c r="AA4" s="585"/>
      <c r="AB4" s="400" t="s">
        <v>3845</v>
      </c>
      <c r="AC4" s="597"/>
      <c r="AD4" s="585"/>
      <c r="AE4" s="400" t="s">
        <v>3845</v>
      </c>
      <c r="AF4" s="605"/>
      <c r="AG4" s="592"/>
      <c r="AH4" s="400" t="s">
        <v>3845</v>
      </c>
      <c r="AI4" s="594"/>
      <c r="AJ4" s="592"/>
      <c r="AK4" s="400" t="s">
        <v>3845</v>
      </c>
      <c r="AL4" s="597"/>
      <c r="AM4" s="585"/>
      <c r="AN4" s="400" t="s">
        <v>3845</v>
      </c>
      <c r="AO4" s="597"/>
      <c r="AP4" s="585"/>
      <c r="AQ4" s="400" t="s">
        <v>3845</v>
      </c>
      <c r="AR4" s="605"/>
      <c r="AS4" s="585"/>
      <c r="AT4" s="401" t="s">
        <v>3845</v>
      </c>
      <c r="AU4" s="605"/>
      <c r="AV4" s="585"/>
      <c r="AW4" s="400" t="s">
        <v>3845</v>
      </c>
      <c r="AX4" s="601"/>
      <c r="AY4" s="585"/>
      <c r="AZ4" s="400" t="s">
        <v>3845</v>
      </c>
      <c r="BA4" s="605"/>
      <c r="BB4" s="585"/>
      <c r="BC4" s="400" t="s">
        <v>3845</v>
      </c>
      <c r="BD4" s="605"/>
      <c r="BE4" s="585"/>
      <c r="BF4" s="400" t="s">
        <v>3845</v>
      </c>
      <c r="BG4" s="601"/>
      <c r="BH4" s="585"/>
      <c r="BI4" s="400" t="s">
        <v>3845</v>
      </c>
      <c r="BJ4" s="605"/>
      <c r="BK4" s="585"/>
      <c r="BL4" s="400" t="s">
        <v>3845</v>
      </c>
      <c r="BM4" s="605"/>
      <c r="BN4" s="585"/>
      <c r="BO4" s="401" t="s">
        <v>3845</v>
      </c>
      <c r="BP4" s="605"/>
      <c r="BQ4" s="585"/>
      <c r="BR4" s="400" t="s">
        <v>3845</v>
      </c>
      <c r="BS4" s="605"/>
      <c r="BT4" s="585"/>
      <c r="BU4" s="400" t="s">
        <v>3845</v>
      </c>
    </row>
    <row r="5" spans="1:73" ht="15" customHeight="1">
      <c r="A5" s="394">
        <v>3</v>
      </c>
      <c r="B5" s="587"/>
      <c r="C5" s="585"/>
      <c r="D5" s="402" t="s">
        <v>3846</v>
      </c>
      <c r="E5" s="589"/>
      <c r="F5" s="585"/>
      <c r="G5" s="403" t="s">
        <v>3846</v>
      </c>
      <c r="H5" s="587"/>
      <c r="I5" s="585"/>
      <c r="J5" s="403" t="s">
        <v>3846</v>
      </c>
      <c r="K5" s="587"/>
      <c r="L5" s="585"/>
      <c r="M5" s="403" t="s">
        <v>3846</v>
      </c>
      <c r="N5" s="587"/>
      <c r="O5" s="585"/>
      <c r="P5" s="403" t="s">
        <v>3846</v>
      </c>
      <c r="Q5" s="587"/>
      <c r="R5" s="585"/>
      <c r="S5" s="403" t="s">
        <v>3846</v>
      </c>
      <c r="T5" s="587"/>
      <c r="U5" s="585"/>
      <c r="V5" s="403" t="s">
        <v>3846</v>
      </c>
      <c r="W5" s="586"/>
      <c r="X5" s="585"/>
      <c r="Y5" s="403" t="s">
        <v>3846</v>
      </c>
      <c r="Z5" s="610"/>
      <c r="AA5" s="585"/>
      <c r="AB5" s="402" t="s">
        <v>3846</v>
      </c>
      <c r="AC5" s="597"/>
      <c r="AD5" s="585"/>
      <c r="AE5" s="402" t="s">
        <v>3846</v>
      </c>
      <c r="AF5" s="605"/>
      <c r="AG5" s="607">
        <v>2</v>
      </c>
      <c r="AH5" s="395" t="s">
        <v>3844</v>
      </c>
      <c r="AI5" s="594"/>
      <c r="AJ5" s="592"/>
      <c r="AK5" s="402" t="s">
        <v>3846</v>
      </c>
      <c r="AL5" s="597"/>
      <c r="AM5" s="585"/>
      <c r="AN5" s="402" t="s">
        <v>3846</v>
      </c>
      <c r="AO5" s="597"/>
      <c r="AP5" s="585"/>
      <c r="AQ5" s="402" t="s">
        <v>3846</v>
      </c>
      <c r="AR5" s="605"/>
      <c r="AS5" s="603">
        <v>2</v>
      </c>
      <c r="AT5" s="396" t="s">
        <v>3844</v>
      </c>
      <c r="AU5" s="605"/>
      <c r="AV5" s="603">
        <v>2</v>
      </c>
      <c r="AW5" s="395" t="s">
        <v>3844</v>
      </c>
      <c r="AX5" s="601"/>
      <c r="AY5" s="603">
        <v>2</v>
      </c>
      <c r="AZ5" s="395" t="s">
        <v>3844</v>
      </c>
      <c r="BA5" s="605"/>
      <c r="BB5" s="603">
        <v>2</v>
      </c>
      <c r="BC5" s="395" t="s">
        <v>3844</v>
      </c>
      <c r="BD5" s="605"/>
      <c r="BE5" s="603">
        <v>2</v>
      </c>
      <c r="BF5" s="395" t="s">
        <v>3844</v>
      </c>
      <c r="BG5" s="601"/>
      <c r="BH5" s="603">
        <v>2</v>
      </c>
      <c r="BI5" s="395" t="s">
        <v>3844</v>
      </c>
      <c r="BJ5" s="605"/>
      <c r="BK5" s="603">
        <v>2</v>
      </c>
      <c r="BL5" s="395" t="s">
        <v>3844</v>
      </c>
      <c r="BM5" s="605"/>
      <c r="BN5" s="603">
        <v>2</v>
      </c>
      <c r="BO5" s="396" t="s">
        <v>3844</v>
      </c>
      <c r="BP5" s="605"/>
      <c r="BQ5" s="603">
        <v>2</v>
      </c>
      <c r="BR5" s="395" t="s">
        <v>3844</v>
      </c>
      <c r="BS5" s="605"/>
      <c r="BT5" s="603">
        <v>2</v>
      </c>
      <c r="BU5" s="395" t="s">
        <v>3844</v>
      </c>
    </row>
    <row r="6" spans="1:73" ht="15" customHeight="1" thickBot="1">
      <c r="A6" s="394">
        <v>4</v>
      </c>
      <c r="B6" s="587"/>
      <c r="C6" s="608">
        <v>2</v>
      </c>
      <c r="D6" s="395" t="s">
        <v>3844</v>
      </c>
      <c r="E6" s="589"/>
      <c r="F6" s="608">
        <v>2</v>
      </c>
      <c r="G6" s="396" t="s">
        <v>3844</v>
      </c>
      <c r="H6" s="587"/>
      <c r="I6" s="608">
        <v>2</v>
      </c>
      <c r="J6" s="396" t="s">
        <v>3844</v>
      </c>
      <c r="K6" s="587"/>
      <c r="L6" s="608">
        <v>2</v>
      </c>
      <c r="M6" s="396" t="s">
        <v>3844</v>
      </c>
      <c r="N6" s="587"/>
      <c r="O6" s="608">
        <v>2</v>
      </c>
      <c r="P6" s="396" t="s">
        <v>3844</v>
      </c>
      <c r="Q6" s="587"/>
      <c r="R6" s="608">
        <v>2</v>
      </c>
      <c r="S6" s="396" t="s">
        <v>3844</v>
      </c>
      <c r="T6" s="587"/>
      <c r="U6" s="608">
        <v>2</v>
      </c>
      <c r="V6" s="396" t="s">
        <v>3844</v>
      </c>
      <c r="W6" s="586"/>
      <c r="X6" s="608">
        <v>2</v>
      </c>
      <c r="Y6" s="396" t="s">
        <v>3844</v>
      </c>
      <c r="Z6" s="610"/>
      <c r="AA6" s="608">
        <v>2</v>
      </c>
      <c r="AB6" s="395" t="s">
        <v>3844</v>
      </c>
      <c r="AC6" s="597"/>
      <c r="AD6" s="585"/>
      <c r="AE6" s="404" t="s">
        <v>3847</v>
      </c>
      <c r="AF6" s="605"/>
      <c r="AG6" s="607"/>
      <c r="AH6" s="400" t="s">
        <v>3845</v>
      </c>
      <c r="AI6" s="594"/>
      <c r="AJ6" s="592"/>
      <c r="AK6" s="404" t="s">
        <v>3847</v>
      </c>
      <c r="AL6" s="597"/>
      <c r="AM6" s="585"/>
      <c r="AN6" s="404" t="s">
        <v>3847</v>
      </c>
      <c r="AO6" s="597"/>
      <c r="AP6" s="585"/>
      <c r="AQ6" s="404" t="s">
        <v>3847</v>
      </c>
      <c r="AR6" s="605"/>
      <c r="AS6" s="603"/>
      <c r="AT6" s="401" t="s">
        <v>3845</v>
      </c>
      <c r="AU6" s="605"/>
      <c r="AV6" s="603"/>
      <c r="AW6" s="400" t="s">
        <v>3845</v>
      </c>
      <c r="AX6" s="601"/>
      <c r="AY6" s="603"/>
      <c r="AZ6" s="400" t="s">
        <v>3845</v>
      </c>
      <c r="BA6" s="605"/>
      <c r="BB6" s="603"/>
      <c r="BC6" s="400" t="s">
        <v>3845</v>
      </c>
      <c r="BD6" s="605"/>
      <c r="BE6" s="603"/>
      <c r="BF6" s="400" t="s">
        <v>3845</v>
      </c>
      <c r="BG6" s="601"/>
      <c r="BH6" s="603"/>
      <c r="BI6" s="400" t="s">
        <v>3845</v>
      </c>
      <c r="BJ6" s="605"/>
      <c r="BK6" s="603"/>
      <c r="BL6" s="400" t="s">
        <v>3845</v>
      </c>
      <c r="BM6" s="605"/>
      <c r="BN6" s="603"/>
      <c r="BO6" s="401" t="s">
        <v>3845</v>
      </c>
      <c r="BP6" s="605"/>
      <c r="BQ6" s="603"/>
      <c r="BR6" s="400" t="s">
        <v>3845</v>
      </c>
      <c r="BS6" s="605"/>
      <c r="BT6" s="603"/>
      <c r="BU6" s="400" t="s">
        <v>3845</v>
      </c>
    </row>
    <row r="7" spans="1:73" ht="15" customHeight="1">
      <c r="A7" s="394">
        <v>5</v>
      </c>
      <c r="B7" s="587"/>
      <c r="C7" s="608"/>
      <c r="D7" s="400" t="s">
        <v>3845</v>
      </c>
      <c r="E7" s="589"/>
      <c r="F7" s="608"/>
      <c r="G7" s="401" t="s">
        <v>3845</v>
      </c>
      <c r="H7" s="587"/>
      <c r="I7" s="608"/>
      <c r="J7" s="401" t="s">
        <v>3845</v>
      </c>
      <c r="K7" s="587"/>
      <c r="L7" s="608"/>
      <c r="M7" s="401" t="s">
        <v>3845</v>
      </c>
      <c r="N7" s="587"/>
      <c r="O7" s="608"/>
      <c r="P7" s="401" t="s">
        <v>3845</v>
      </c>
      <c r="Q7" s="587"/>
      <c r="R7" s="608"/>
      <c r="S7" s="401" t="s">
        <v>3845</v>
      </c>
      <c r="T7" s="587"/>
      <c r="U7" s="608"/>
      <c r="V7" s="401" t="s">
        <v>3845</v>
      </c>
      <c r="W7" s="586"/>
      <c r="X7" s="608"/>
      <c r="Y7" s="401" t="s">
        <v>3845</v>
      </c>
      <c r="Z7" s="610"/>
      <c r="AA7" s="608"/>
      <c r="AB7" s="400" t="s">
        <v>3845</v>
      </c>
      <c r="AC7" s="597"/>
      <c r="AD7" s="585"/>
      <c r="AE7" s="405" t="s">
        <v>3848</v>
      </c>
      <c r="AF7" s="605"/>
      <c r="AG7" s="599">
        <v>3</v>
      </c>
      <c r="AH7" s="395" t="s">
        <v>3844</v>
      </c>
      <c r="AI7" s="594"/>
      <c r="AJ7" s="599">
        <v>2</v>
      </c>
      <c r="AK7" s="397" t="s">
        <v>3844</v>
      </c>
      <c r="AL7" s="597"/>
      <c r="AM7" s="585"/>
      <c r="AN7" s="405" t="s">
        <v>3848</v>
      </c>
      <c r="AO7" s="597"/>
      <c r="AP7" s="585"/>
      <c r="AQ7" s="405" t="s">
        <v>3848</v>
      </c>
      <c r="AR7" s="605"/>
      <c r="AS7" s="585">
        <v>3</v>
      </c>
      <c r="AT7" s="396" t="s">
        <v>3844</v>
      </c>
      <c r="AU7" s="605"/>
      <c r="AV7" s="585">
        <v>3</v>
      </c>
      <c r="AW7" s="395" t="s">
        <v>3844</v>
      </c>
      <c r="AX7" s="601"/>
      <c r="AY7" s="585">
        <v>3</v>
      </c>
      <c r="AZ7" s="395" t="s">
        <v>3844</v>
      </c>
      <c r="BA7" s="605"/>
      <c r="BB7" s="585">
        <v>3</v>
      </c>
      <c r="BC7" s="395" t="s">
        <v>3844</v>
      </c>
      <c r="BD7" s="605"/>
      <c r="BE7" s="585">
        <v>3</v>
      </c>
      <c r="BF7" s="395" t="s">
        <v>3844</v>
      </c>
      <c r="BG7" s="601"/>
      <c r="BH7" s="585">
        <v>3</v>
      </c>
      <c r="BI7" s="395" t="s">
        <v>3844</v>
      </c>
      <c r="BJ7" s="605"/>
      <c r="BK7" s="585">
        <v>3</v>
      </c>
      <c r="BL7" s="395" t="s">
        <v>3844</v>
      </c>
      <c r="BM7" s="605"/>
      <c r="BN7" s="585">
        <v>3</v>
      </c>
      <c r="BO7" s="396" t="s">
        <v>3844</v>
      </c>
      <c r="BP7" s="605"/>
      <c r="BQ7" s="585">
        <v>3</v>
      </c>
      <c r="BR7" s="395" t="s">
        <v>3844</v>
      </c>
      <c r="BS7" s="605"/>
      <c r="BT7" s="585">
        <v>3</v>
      </c>
      <c r="BU7" s="395" t="s">
        <v>3844</v>
      </c>
    </row>
    <row r="8" spans="1:73" ht="15" customHeight="1">
      <c r="A8" s="394">
        <v>6</v>
      </c>
      <c r="B8" s="587"/>
      <c r="C8" s="608"/>
      <c r="D8" s="402" t="s">
        <v>3846</v>
      </c>
      <c r="E8" s="589"/>
      <c r="F8" s="608"/>
      <c r="G8" s="403" t="s">
        <v>3846</v>
      </c>
      <c r="H8" s="587"/>
      <c r="I8" s="608"/>
      <c r="J8" s="403" t="s">
        <v>3846</v>
      </c>
      <c r="K8" s="587"/>
      <c r="L8" s="608"/>
      <c r="M8" s="403" t="s">
        <v>3846</v>
      </c>
      <c r="N8" s="587"/>
      <c r="O8" s="608"/>
      <c r="P8" s="403" t="s">
        <v>3846</v>
      </c>
      <c r="Q8" s="587"/>
      <c r="R8" s="608"/>
      <c r="S8" s="403" t="s">
        <v>3846</v>
      </c>
      <c r="T8" s="587"/>
      <c r="U8" s="608"/>
      <c r="V8" s="403" t="s">
        <v>3846</v>
      </c>
      <c r="W8" s="586"/>
      <c r="X8" s="608"/>
      <c r="Y8" s="403" t="s">
        <v>3846</v>
      </c>
      <c r="Z8" s="610"/>
      <c r="AA8" s="608"/>
      <c r="AB8" s="402" t="s">
        <v>3846</v>
      </c>
      <c r="AC8" s="597"/>
      <c r="AD8" s="608">
        <v>5</v>
      </c>
      <c r="AE8" s="395" t="s">
        <v>3844</v>
      </c>
      <c r="AF8" s="605"/>
      <c r="AG8" s="592"/>
      <c r="AH8" s="400" t="s">
        <v>3845</v>
      </c>
      <c r="AI8" s="594"/>
      <c r="AJ8" s="592"/>
      <c r="AK8" s="400" t="s">
        <v>3845</v>
      </c>
      <c r="AL8" s="597"/>
      <c r="AM8" s="608">
        <v>2</v>
      </c>
      <c r="AN8" s="395" t="s">
        <v>3844</v>
      </c>
      <c r="AO8" s="597"/>
      <c r="AP8" s="608">
        <v>2</v>
      </c>
      <c r="AQ8" s="395" t="s">
        <v>3844</v>
      </c>
      <c r="AR8" s="605"/>
      <c r="AS8" s="585"/>
      <c r="AT8" s="401" t="s">
        <v>3845</v>
      </c>
      <c r="AU8" s="605"/>
      <c r="AV8" s="585"/>
      <c r="AW8" s="400" t="s">
        <v>3845</v>
      </c>
      <c r="AX8" s="601"/>
      <c r="AY8" s="585"/>
      <c r="AZ8" s="400" t="s">
        <v>3845</v>
      </c>
      <c r="BA8" s="605"/>
      <c r="BB8" s="585"/>
      <c r="BC8" s="400" t="s">
        <v>3845</v>
      </c>
      <c r="BD8" s="605"/>
      <c r="BE8" s="585"/>
      <c r="BF8" s="400" t="s">
        <v>3845</v>
      </c>
      <c r="BG8" s="601"/>
      <c r="BH8" s="585"/>
      <c r="BI8" s="400" t="s">
        <v>3845</v>
      </c>
      <c r="BJ8" s="605"/>
      <c r="BK8" s="585"/>
      <c r="BL8" s="400" t="s">
        <v>3845</v>
      </c>
      <c r="BM8" s="605"/>
      <c r="BN8" s="585"/>
      <c r="BO8" s="401" t="s">
        <v>3845</v>
      </c>
      <c r="BP8" s="605"/>
      <c r="BQ8" s="585"/>
      <c r="BR8" s="400" t="s">
        <v>3845</v>
      </c>
      <c r="BS8" s="605"/>
      <c r="BT8" s="585"/>
      <c r="BU8" s="400" t="s">
        <v>3845</v>
      </c>
    </row>
    <row r="9" spans="1:73" ht="15" customHeight="1">
      <c r="A9" s="394">
        <v>7</v>
      </c>
      <c r="B9" s="587"/>
      <c r="C9" s="585">
        <v>3</v>
      </c>
      <c r="D9" s="395" t="s">
        <v>3844</v>
      </c>
      <c r="E9" s="589"/>
      <c r="F9" s="585">
        <v>3</v>
      </c>
      <c r="G9" s="396" t="s">
        <v>3844</v>
      </c>
      <c r="H9" s="587"/>
      <c r="I9" s="585">
        <v>3</v>
      </c>
      <c r="J9" s="396" t="s">
        <v>3844</v>
      </c>
      <c r="K9" s="587"/>
      <c r="L9" s="585">
        <v>3</v>
      </c>
      <c r="M9" s="396" t="s">
        <v>3844</v>
      </c>
      <c r="N9" s="587"/>
      <c r="O9" s="585">
        <v>3</v>
      </c>
      <c r="P9" s="396" t="s">
        <v>3844</v>
      </c>
      <c r="Q9" s="587"/>
      <c r="R9" s="585">
        <v>3</v>
      </c>
      <c r="S9" s="396" t="s">
        <v>3844</v>
      </c>
      <c r="T9" s="587"/>
      <c r="U9" s="585">
        <v>3</v>
      </c>
      <c r="V9" s="396" t="s">
        <v>3844</v>
      </c>
      <c r="W9" s="586"/>
      <c r="X9" s="585">
        <v>3</v>
      </c>
      <c r="Y9" s="396" t="s">
        <v>3844</v>
      </c>
      <c r="Z9" s="610"/>
      <c r="AA9" s="585">
        <v>3</v>
      </c>
      <c r="AB9" s="395" t="s">
        <v>3844</v>
      </c>
      <c r="AC9" s="597"/>
      <c r="AD9" s="608"/>
      <c r="AE9" s="400" t="s">
        <v>3845</v>
      </c>
      <c r="AF9" s="605"/>
      <c r="AG9" s="607">
        <v>4</v>
      </c>
      <c r="AH9" s="395" t="s">
        <v>3844</v>
      </c>
      <c r="AI9" s="594"/>
      <c r="AJ9" s="592"/>
      <c r="AK9" s="402" t="s">
        <v>3846</v>
      </c>
      <c r="AL9" s="597"/>
      <c r="AM9" s="608"/>
      <c r="AN9" s="400" t="s">
        <v>3845</v>
      </c>
      <c r="AO9" s="597"/>
      <c r="AP9" s="608"/>
      <c r="AQ9" s="400" t="s">
        <v>3845</v>
      </c>
      <c r="AR9" s="605"/>
      <c r="AS9" s="603">
        <v>4</v>
      </c>
      <c r="AT9" s="396" t="s">
        <v>3844</v>
      </c>
      <c r="AU9" s="605"/>
      <c r="AV9" s="603">
        <v>4</v>
      </c>
      <c r="AW9" s="395" t="s">
        <v>3844</v>
      </c>
      <c r="AX9" s="601"/>
      <c r="AY9" s="603">
        <v>4</v>
      </c>
      <c r="AZ9" s="395" t="s">
        <v>3844</v>
      </c>
      <c r="BA9" s="605"/>
      <c r="BB9" s="603">
        <v>4</v>
      </c>
      <c r="BC9" s="395" t="s">
        <v>3844</v>
      </c>
      <c r="BD9" s="605"/>
      <c r="BE9" s="603">
        <v>4</v>
      </c>
      <c r="BF9" s="395" t="s">
        <v>3844</v>
      </c>
      <c r="BG9" s="601"/>
      <c r="BH9" s="603">
        <v>4</v>
      </c>
      <c r="BI9" s="395" t="s">
        <v>3844</v>
      </c>
      <c r="BJ9" s="605"/>
      <c r="BK9" s="603">
        <v>4</v>
      </c>
      <c r="BL9" s="395" t="s">
        <v>3844</v>
      </c>
      <c r="BM9" s="605"/>
      <c r="BN9" s="603">
        <v>4</v>
      </c>
      <c r="BO9" s="396" t="s">
        <v>3844</v>
      </c>
      <c r="BP9" s="605"/>
      <c r="BQ9" s="603">
        <v>4</v>
      </c>
      <c r="BR9" s="395" t="s">
        <v>3844</v>
      </c>
      <c r="BS9" s="605"/>
      <c r="BT9" s="603">
        <v>4</v>
      </c>
      <c r="BU9" s="395" t="s">
        <v>3844</v>
      </c>
    </row>
    <row r="10" spans="1:73" ht="15" customHeight="1" thickBot="1">
      <c r="A10" s="394">
        <v>8</v>
      </c>
      <c r="B10" s="587"/>
      <c r="C10" s="585"/>
      <c r="D10" s="400" t="s">
        <v>3845</v>
      </c>
      <c r="E10" s="589"/>
      <c r="F10" s="585"/>
      <c r="G10" s="401" t="s">
        <v>3845</v>
      </c>
      <c r="H10" s="587"/>
      <c r="I10" s="585"/>
      <c r="J10" s="401" t="s">
        <v>3845</v>
      </c>
      <c r="K10" s="587"/>
      <c r="L10" s="585"/>
      <c r="M10" s="401" t="s">
        <v>3845</v>
      </c>
      <c r="N10" s="587"/>
      <c r="O10" s="585"/>
      <c r="P10" s="401" t="s">
        <v>3845</v>
      </c>
      <c r="Q10" s="587"/>
      <c r="R10" s="585"/>
      <c r="S10" s="401" t="s">
        <v>3845</v>
      </c>
      <c r="T10" s="587"/>
      <c r="U10" s="585"/>
      <c r="V10" s="401" t="s">
        <v>3845</v>
      </c>
      <c r="W10" s="586"/>
      <c r="X10" s="585"/>
      <c r="Y10" s="401" t="s">
        <v>3845</v>
      </c>
      <c r="Z10" s="610"/>
      <c r="AA10" s="585"/>
      <c r="AB10" s="400" t="s">
        <v>3845</v>
      </c>
      <c r="AC10" s="597"/>
      <c r="AD10" s="608"/>
      <c r="AE10" s="402" t="s">
        <v>3846</v>
      </c>
      <c r="AF10" s="605"/>
      <c r="AG10" s="607"/>
      <c r="AH10" s="400" t="s">
        <v>3845</v>
      </c>
      <c r="AI10" s="594"/>
      <c r="AJ10" s="592"/>
      <c r="AK10" s="404" t="s">
        <v>3847</v>
      </c>
      <c r="AL10" s="597"/>
      <c r="AM10" s="608"/>
      <c r="AN10" s="402" t="s">
        <v>3846</v>
      </c>
      <c r="AO10" s="597"/>
      <c r="AP10" s="608"/>
      <c r="AQ10" s="402" t="s">
        <v>3846</v>
      </c>
      <c r="AR10" s="605"/>
      <c r="AS10" s="603"/>
      <c r="AT10" s="401" t="s">
        <v>3845</v>
      </c>
      <c r="AU10" s="605"/>
      <c r="AV10" s="603"/>
      <c r="AW10" s="400" t="s">
        <v>3845</v>
      </c>
      <c r="AX10" s="601"/>
      <c r="AY10" s="603"/>
      <c r="AZ10" s="400" t="s">
        <v>3845</v>
      </c>
      <c r="BA10" s="605"/>
      <c r="BB10" s="603"/>
      <c r="BC10" s="400" t="s">
        <v>3845</v>
      </c>
      <c r="BD10" s="605"/>
      <c r="BE10" s="603"/>
      <c r="BF10" s="400" t="s">
        <v>3845</v>
      </c>
      <c r="BG10" s="601"/>
      <c r="BH10" s="603"/>
      <c r="BI10" s="400" t="s">
        <v>3845</v>
      </c>
      <c r="BJ10" s="605"/>
      <c r="BK10" s="603"/>
      <c r="BL10" s="400" t="s">
        <v>3845</v>
      </c>
      <c r="BM10" s="605"/>
      <c r="BN10" s="603"/>
      <c r="BO10" s="401" t="s">
        <v>3845</v>
      </c>
      <c r="BP10" s="605"/>
      <c r="BQ10" s="603"/>
      <c r="BR10" s="400" t="s">
        <v>3845</v>
      </c>
      <c r="BS10" s="605"/>
      <c r="BT10" s="603"/>
      <c r="BU10" s="400" t="s">
        <v>3845</v>
      </c>
    </row>
    <row r="11" spans="1:73" ht="15" customHeight="1" thickBot="1">
      <c r="A11" s="394">
        <v>9</v>
      </c>
      <c r="B11" s="587"/>
      <c r="C11" s="585"/>
      <c r="D11" s="402" t="s">
        <v>3846</v>
      </c>
      <c r="E11" s="589"/>
      <c r="F11" s="585"/>
      <c r="G11" s="403" t="s">
        <v>3846</v>
      </c>
      <c r="H11" s="587"/>
      <c r="I11" s="585"/>
      <c r="J11" s="403" t="s">
        <v>3846</v>
      </c>
      <c r="K11" s="587"/>
      <c r="L11" s="585"/>
      <c r="M11" s="403" t="s">
        <v>3846</v>
      </c>
      <c r="N11" s="587"/>
      <c r="O11" s="585"/>
      <c r="P11" s="403" t="s">
        <v>3846</v>
      </c>
      <c r="Q11" s="587"/>
      <c r="R11" s="585"/>
      <c r="S11" s="403" t="s">
        <v>3846</v>
      </c>
      <c r="T11" s="587"/>
      <c r="U11" s="585"/>
      <c r="V11" s="403" t="s">
        <v>3846</v>
      </c>
      <c r="W11" s="586"/>
      <c r="X11" s="585"/>
      <c r="Y11" s="403" t="s">
        <v>3846</v>
      </c>
      <c r="Z11" s="611"/>
      <c r="AA11" s="613"/>
      <c r="AB11" s="406" t="s">
        <v>3846</v>
      </c>
      <c r="AC11" s="597"/>
      <c r="AD11" s="608"/>
      <c r="AE11" s="404" t="s">
        <v>3847</v>
      </c>
      <c r="AF11" s="605"/>
      <c r="AG11" s="599">
        <v>5</v>
      </c>
      <c r="AH11" s="395" t="s">
        <v>3844</v>
      </c>
      <c r="AI11" s="594"/>
      <c r="AJ11" s="599">
        <v>3</v>
      </c>
      <c r="AK11" s="397" t="s">
        <v>3844</v>
      </c>
      <c r="AL11" s="597"/>
      <c r="AM11" s="608"/>
      <c r="AN11" s="404" t="s">
        <v>3847</v>
      </c>
      <c r="AO11" s="597"/>
      <c r="AP11" s="608"/>
      <c r="AQ11" s="404" t="s">
        <v>3847</v>
      </c>
      <c r="AR11" s="605"/>
      <c r="AS11" s="585">
        <v>5</v>
      </c>
      <c r="AT11" s="396" t="s">
        <v>3844</v>
      </c>
      <c r="AU11" s="605"/>
      <c r="AV11" s="585">
        <v>5</v>
      </c>
      <c r="AW11" s="395" t="s">
        <v>3844</v>
      </c>
      <c r="AX11" s="601"/>
      <c r="AY11" s="585">
        <v>5</v>
      </c>
      <c r="AZ11" s="395" t="s">
        <v>3844</v>
      </c>
      <c r="BA11" s="605"/>
      <c r="BB11" s="585">
        <v>5</v>
      </c>
      <c r="BC11" s="395" t="s">
        <v>3844</v>
      </c>
      <c r="BD11" s="605"/>
      <c r="BE11" s="585">
        <v>5</v>
      </c>
      <c r="BF11" s="395" t="s">
        <v>3844</v>
      </c>
      <c r="BG11" s="601"/>
      <c r="BH11" s="585">
        <v>5</v>
      </c>
      <c r="BI11" s="395" t="s">
        <v>3844</v>
      </c>
      <c r="BJ11" s="605"/>
      <c r="BK11" s="585">
        <v>5</v>
      </c>
      <c r="BL11" s="395" t="s">
        <v>3844</v>
      </c>
      <c r="BM11" s="605"/>
      <c r="BN11" s="585">
        <v>5</v>
      </c>
      <c r="BO11" s="396" t="s">
        <v>3844</v>
      </c>
      <c r="BP11" s="605"/>
      <c r="BQ11" s="585">
        <v>5</v>
      </c>
      <c r="BR11" s="395" t="s">
        <v>3844</v>
      </c>
      <c r="BS11" s="605"/>
      <c r="BT11" s="585">
        <v>5</v>
      </c>
      <c r="BU11" s="395" t="s">
        <v>3844</v>
      </c>
    </row>
    <row r="12" spans="1:73" ht="15" customHeight="1">
      <c r="A12" s="394">
        <v>10</v>
      </c>
      <c r="B12" s="587"/>
      <c r="C12" s="608">
        <v>4</v>
      </c>
      <c r="D12" s="395" t="s">
        <v>3844</v>
      </c>
      <c r="E12" s="589"/>
      <c r="F12" s="608">
        <v>4</v>
      </c>
      <c r="G12" s="396" t="s">
        <v>3844</v>
      </c>
      <c r="H12" s="587"/>
      <c r="I12" s="608">
        <v>4</v>
      </c>
      <c r="J12" s="396" t="s">
        <v>3844</v>
      </c>
      <c r="K12" s="587"/>
      <c r="L12" s="608">
        <v>4</v>
      </c>
      <c r="M12" s="396" t="s">
        <v>3844</v>
      </c>
      <c r="N12" s="587"/>
      <c r="O12" s="608">
        <v>4</v>
      </c>
      <c r="P12" s="396" t="s">
        <v>3844</v>
      </c>
      <c r="Q12" s="587"/>
      <c r="R12" s="608">
        <v>4</v>
      </c>
      <c r="S12" s="396" t="s">
        <v>3844</v>
      </c>
      <c r="T12" s="587"/>
      <c r="U12" s="608">
        <v>4</v>
      </c>
      <c r="V12" s="396" t="s">
        <v>3844</v>
      </c>
      <c r="W12" s="586"/>
      <c r="X12" s="608">
        <v>4</v>
      </c>
      <c r="Y12" s="396" t="s">
        <v>3844</v>
      </c>
      <c r="AC12" s="597"/>
      <c r="AD12" s="608"/>
      <c r="AE12" s="405" t="s">
        <v>3848</v>
      </c>
      <c r="AF12" s="605"/>
      <c r="AG12" s="592"/>
      <c r="AH12" s="400" t="s">
        <v>3845</v>
      </c>
      <c r="AI12" s="594"/>
      <c r="AJ12" s="592"/>
      <c r="AK12" s="400" t="s">
        <v>3845</v>
      </c>
      <c r="AL12" s="597"/>
      <c r="AM12" s="608"/>
      <c r="AN12" s="405" t="s">
        <v>3848</v>
      </c>
      <c r="AO12" s="597"/>
      <c r="AP12" s="608"/>
      <c r="AQ12" s="405" t="s">
        <v>3848</v>
      </c>
      <c r="AR12" s="605"/>
      <c r="AS12" s="585"/>
      <c r="AT12" s="401" t="s">
        <v>3845</v>
      </c>
      <c r="AU12" s="605"/>
      <c r="AV12" s="585"/>
      <c r="AW12" s="400" t="s">
        <v>3845</v>
      </c>
      <c r="AX12" s="601"/>
      <c r="AY12" s="585"/>
      <c r="AZ12" s="400" t="s">
        <v>3845</v>
      </c>
      <c r="BA12" s="605"/>
      <c r="BB12" s="585"/>
      <c r="BC12" s="400" t="s">
        <v>3845</v>
      </c>
      <c r="BD12" s="605"/>
      <c r="BE12" s="585"/>
      <c r="BF12" s="400" t="s">
        <v>3845</v>
      </c>
      <c r="BG12" s="601"/>
      <c r="BH12" s="585"/>
      <c r="BI12" s="400" t="s">
        <v>3845</v>
      </c>
      <c r="BJ12" s="605"/>
      <c r="BK12" s="585"/>
      <c r="BL12" s="400" t="s">
        <v>3845</v>
      </c>
      <c r="BM12" s="605"/>
      <c r="BN12" s="585"/>
      <c r="BO12" s="401" t="s">
        <v>3845</v>
      </c>
      <c r="BP12" s="605"/>
      <c r="BQ12" s="585"/>
      <c r="BR12" s="400" t="s">
        <v>3845</v>
      </c>
      <c r="BS12" s="605"/>
      <c r="BT12" s="585"/>
      <c r="BU12" s="400" t="s">
        <v>3845</v>
      </c>
    </row>
    <row r="13" spans="1:73" ht="15" customHeight="1">
      <c r="A13" s="394">
        <v>11</v>
      </c>
      <c r="B13" s="587"/>
      <c r="C13" s="608"/>
      <c r="D13" s="400" t="s">
        <v>3845</v>
      </c>
      <c r="E13" s="589"/>
      <c r="F13" s="608"/>
      <c r="G13" s="401" t="s">
        <v>3845</v>
      </c>
      <c r="H13" s="587"/>
      <c r="I13" s="608"/>
      <c r="J13" s="401" t="s">
        <v>3845</v>
      </c>
      <c r="K13" s="587"/>
      <c r="L13" s="608"/>
      <c r="M13" s="401" t="s">
        <v>3845</v>
      </c>
      <c r="N13" s="587"/>
      <c r="O13" s="608"/>
      <c r="P13" s="401" t="s">
        <v>3845</v>
      </c>
      <c r="Q13" s="587"/>
      <c r="R13" s="608"/>
      <c r="S13" s="401" t="s">
        <v>3845</v>
      </c>
      <c r="T13" s="587"/>
      <c r="U13" s="608"/>
      <c r="V13" s="401" t="s">
        <v>3845</v>
      </c>
      <c r="W13" s="586"/>
      <c r="X13" s="608"/>
      <c r="Y13" s="401" t="s">
        <v>3845</v>
      </c>
      <c r="AC13" s="597"/>
      <c r="AD13" s="585">
        <v>6</v>
      </c>
      <c r="AE13" s="395" t="s">
        <v>3844</v>
      </c>
      <c r="AF13" s="605"/>
      <c r="AG13" s="607">
        <v>6</v>
      </c>
      <c r="AH13" s="395" t="s">
        <v>3844</v>
      </c>
      <c r="AI13" s="594"/>
      <c r="AJ13" s="592"/>
      <c r="AK13" s="402" t="s">
        <v>3846</v>
      </c>
      <c r="AL13" s="597"/>
      <c r="AM13" s="585">
        <v>3</v>
      </c>
      <c r="AN13" s="395" t="s">
        <v>3844</v>
      </c>
      <c r="AO13" s="597"/>
      <c r="AP13" s="585">
        <v>3</v>
      </c>
      <c r="AQ13" s="395" t="s">
        <v>3844</v>
      </c>
      <c r="AR13" s="605"/>
      <c r="AS13" s="603">
        <v>6</v>
      </c>
      <c r="AT13" s="396" t="s">
        <v>3844</v>
      </c>
      <c r="AU13" s="605"/>
      <c r="AV13" s="603">
        <v>6</v>
      </c>
      <c r="AW13" s="395" t="s">
        <v>3844</v>
      </c>
      <c r="AX13" s="601"/>
      <c r="AY13" s="603">
        <v>6</v>
      </c>
      <c r="AZ13" s="395" t="s">
        <v>3844</v>
      </c>
      <c r="BA13" s="605"/>
      <c r="BB13" s="603">
        <v>6</v>
      </c>
      <c r="BC13" s="395" t="s">
        <v>3844</v>
      </c>
      <c r="BD13" s="605"/>
      <c r="BE13" s="603">
        <v>6</v>
      </c>
      <c r="BF13" s="395" t="s">
        <v>3844</v>
      </c>
      <c r="BG13" s="601"/>
      <c r="BH13" s="603">
        <v>6</v>
      </c>
      <c r="BI13" s="395" t="s">
        <v>3844</v>
      </c>
      <c r="BJ13" s="605"/>
      <c r="BK13" s="603">
        <v>6</v>
      </c>
      <c r="BL13" s="395" t="s">
        <v>3844</v>
      </c>
      <c r="BM13" s="605"/>
      <c r="BN13" s="603">
        <v>6</v>
      </c>
      <c r="BO13" s="396" t="s">
        <v>3844</v>
      </c>
      <c r="BP13" s="605"/>
      <c r="BQ13" s="603">
        <v>6</v>
      </c>
      <c r="BR13" s="395" t="s">
        <v>3844</v>
      </c>
      <c r="BS13" s="605"/>
      <c r="BT13" s="603">
        <v>6</v>
      </c>
      <c r="BU13" s="395" t="s">
        <v>3844</v>
      </c>
    </row>
    <row r="14" spans="1:73" ht="15" customHeight="1" thickBot="1">
      <c r="A14" s="394">
        <v>12</v>
      </c>
      <c r="B14" s="587"/>
      <c r="C14" s="608"/>
      <c r="D14" s="402" t="s">
        <v>3846</v>
      </c>
      <c r="E14" s="589"/>
      <c r="F14" s="608"/>
      <c r="G14" s="403" t="s">
        <v>3846</v>
      </c>
      <c r="H14" s="587"/>
      <c r="I14" s="608"/>
      <c r="J14" s="403" t="s">
        <v>3846</v>
      </c>
      <c r="K14" s="587"/>
      <c r="L14" s="608"/>
      <c r="M14" s="403" t="s">
        <v>3846</v>
      </c>
      <c r="N14" s="587"/>
      <c r="O14" s="608"/>
      <c r="P14" s="403" t="s">
        <v>3846</v>
      </c>
      <c r="Q14" s="587"/>
      <c r="R14" s="608"/>
      <c r="S14" s="403" t="s">
        <v>3846</v>
      </c>
      <c r="T14" s="587"/>
      <c r="U14" s="608"/>
      <c r="V14" s="403" t="s">
        <v>3846</v>
      </c>
      <c r="W14" s="586"/>
      <c r="X14" s="608"/>
      <c r="Y14" s="403" t="s">
        <v>3846</v>
      </c>
      <c r="AC14" s="597"/>
      <c r="AD14" s="585"/>
      <c r="AE14" s="400" t="s">
        <v>3845</v>
      </c>
      <c r="AF14" s="605"/>
      <c r="AG14" s="607"/>
      <c r="AH14" s="400" t="s">
        <v>3845</v>
      </c>
      <c r="AI14" s="594"/>
      <c r="AJ14" s="592"/>
      <c r="AK14" s="404" t="s">
        <v>3847</v>
      </c>
      <c r="AL14" s="597"/>
      <c r="AM14" s="585"/>
      <c r="AN14" s="400" t="s">
        <v>3845</v>
      </c>
      <c r="AO14" s="597"/>
      <c r="AP14" s="585"/>
      <c r="AQ14" s="400" t="s">
        <v>3845</v>
      </c>
      <c r="AR14" s="605"/>
      <c r="AS14" s="603"/>
      <c r="AT14" s="401" t="s">
        <v>3845</v>
      </c>
      <c r="AU14" s="605"/>
      <c r="AV14" s="603"/>
      <c r="AW14" s="400" t="s">
        <v>3845</v>
      </c>
      <c r="AX14" s="601"/>
      <c r="AY14" s="603"/>
      <c r="AZ14" s="400" t="s">
        <v>3845</v>
      </c>
      <c r="BA14" s="605"/>
      <c r="BB14" s="603"/>
      <c r="BC14" s="400" t="s">
        <v>3845</v>
      </c>
      <c r="BD14" s="605"/>
      <c r="BE14" s="603"/>
      <c r="BF14" s="400" t="s">
        <v>3845</v>
      </c>
      <c r="BG14" s="601"/>
      <c r="BH14" s="603"/>
      <c r="BI14" s="400" t="s">
        <v>3845</v>
      </c>
      <c r="BJ14" s="605"/>
      <c r="BK14" s="603"/>
      <c r="BL14" s="400" t="s">
        <v>3845</v>
      </c>
      <c r="BM14" s="605"/>
      <c r="BN14" s="603"/>
      <c r="BO14" s="401" t="s">
        <v>3845</v>
      </c>
      <c r="BP14" s="605"/>
      <c r="BQ14" s="603"/>
      <c r="BR14" s="400" t="s">
        <v>3845</v>
      </c>
      <c r="BS14" s="605"/>
      <c r="BT14" s="603"/>
      <c r="BU14" s="400" t="s">
        <v>3845</v>
      </c>
    </row>
    <row r="15" spans="1:73" ht="15" customHeight="1">
      <c r="A15" s="394">
        <v>13</v>
      </c>
      <c r="B15" s="587"/>
      <c r="C15" s="585">
        <v>5</v>
      </c>
      <c r="D15" s="395" t="s">
        <v>3844</v>
      </c>
      <c r="E15" s="589"/>
      <c r="F15" s="585">
        <v>5</v>
      </c>
      <c r="G15" s="396" t="s">
        <v>3844</v>
      </c>
      <c r="H15" s="587"/>
      <c r="I15" s="585">
        <v>5</v>
      </c>
      <c r="J15" s="396" t="s">
        <v>3844</v>
      </c>
      <c r="K15" s="587"/>
      <c r="L15" s="585">
        <v>5</v>
      </c>
      <c r="M15" s="396" t="s">
        <v>3844</v>
      </c>
      <c r="N15" s="587"/>
      <c r="O15" s="585">
        <v>5</v>
      </c>
      <c r="P15" s="396" t="s">
        <v>3844</v>
      </c>
      <c r="Q15" s="587"/>
      <c r="R15" s="585">
        <v>5</v>
      </c>
      <c r="S15" s="396" t="s">
        <v>3844</v>
      </c>
      <c r="T15" s="587"/>
      <c r="U15" s="585">
        <v>5</v>
      </c>
      <c r="V15" s="396" t="s">
        <v>3844</v>
      </c>
      <c r="W15" s="586"/>
      <c r="X15" s="585">
        <v>5</v>
      </c>
      <c r="Y15" s="407" t="s">
        <v>3844</v>
      </c>
      <c r="AC15" s="597"/>
      <c r="AD15" s="585"/>
      <c r="AE15" s="402" t="s">
        <v>3846</v>
      </c>
      <c r="AF15" s="605"/>
      <c r="AG15" s="599">
        <v>7</v>
      </c>
      <c r="AH15" s="395" t="s">
        <v>3844</v>
      </c>
      <c r="AI15" s="594"/>
      <c r="AJ15" s="599">
        <v>4</v>
      </c>
      <c r="AK15" s="397" t="s">
        <v>3844</v>
      </c>
      <c r="AL15" s="597"/>
      <c r="AM15" s="585"/>
      <c r="AN15" s="402" t="s">
        <v>3846</v>
      </c>
      <c r="AO15" s="597"/>
      <c r="AP15" s="585"/>
      <c r="AQ15" s="402" t="s">
        <v>3846</v>
      </c>
      <c r="AR15" s="605"/>
      <c r="AS15" s="585">
        <v>7</v>
      </c>
      <c r="AT15" s="396" t="s">
        <v>3844</v>
      </c>
      <c r="AU15" s="605"/>
      <c r="AV15" s="585">
        <v>7</v>
      </c>
      <c r="AW15" s="395" t="s">
        <v>3844</v>
      </c>
      <c r="AX15" s="601"/>
      <c r="AY15" s="585">
        <v>7</v>
      </c>
      <c r="AZ15" s="395" t="s">
        <v>3844</v>
      </c>
      <c r="BA15" s="605"/>
      <c r="BB15" s="585">
        <v>7</v>
      </c>
      <c r="BC15" s="395" t="s">
        <v>3844</v>
      </c>
      <c r="BD15" s="605"/>
      <c r="BE15" s="585">
        <v>7</v>
      </c>
      <c r="BF15" s="395" t="s">
        <v>3844</v>
      </c>
      <c r="BG15" s="601"/>
      <c r="BH15" s="585">
        <v>7</v>
      </c>
      <c r="BI15" s="395" t="s">
        <v>3844</v>
      </c>
      <c r="BJ15" s="605"/>
      <c r="BK15" s="585">
        <v>7</v>
      </c>
      <c r="BL15" s="395" t="s">
        <v>3844</v>
      </c>
      <c r="BM15" s="605"/>
      <c r="BN15" s="585">
        <v>7</v>
      </c>
      <c r="BO15" s="396" t="s">
        <v>3844</v>
      </c>
      <c r="BP15" s="605"/>
      <c r="BQ15" s="585">
        <v>7</v>
      </c>
      <c r="BR15" s="395" t="s">
        <v>3844</v>
      </c>
      <c r="BS15" s="605"/>
      <c r="BT15" s="585">
        <v>7</v>
      </c>
      <c r="BU15" s="395" t="s">
        <v>3844</v>
      </c>
    </row>
    <row r="16" spans="1:73" ht="15" customHeight="1">
      <c r="A16" s="394">
        <v>14</v>
      </c>
      <c r="B16" s="587"/>
      <c r="C16" s="585"/>
      <c r="D16" s="400" t="s">
        <v>3845</v>
      </c>
      <c r="E16" s="589"/>
      <c r="F16" s="585"/>
      <c r="G16" s="401" t="s">
        <v>3845</v>
      </c>
      <c r="H16" s="587"/>
      <c r="I16" s="585"/>
      <c r="J16" s="401" t="s">
        <v>3845</v>
      </c>
      <c r="K16" s="587"/>
      <c r="L16" s="585"/>
      <c r="M16" s="401" t="s">
        <v>3845</v>
      </c>
      <c r="N16" s="587"/>
      <c r="O16" s="585"/>
      <c r="P16" s="401" t="s">
        <v>3845</v>
      </c>
      <c r="Q16" s="587"/>
      <c r="R16" s="585"/>
      <c r="S16" s="401" t="s">
        <v>3845</v>
      </c>
      <c r="T16" s="587"/>
      <c r="U16" s="585"/>
      <c r="V16" s="401" t="s">
        <v>3845</v>
      </c>
      <c r="W16" s="586"/>
      <c r="X16" s="585"/>
      <c r="Y16" s="408" t="s">
        <v>3845</v>
      </c>
      <c r="AC16" s="597"/>
      <c r="AD16" s="585"/>
      <c r="AE16" s="404" t="s">
        <v>3847</v>
      </c>
      <c r="AF16" s="605"/>
      <c r="AG16" s="592"/>
      <c r="AH16" s="400" t="s">
        <v>3845</v>
      </c>
      <c r="AI16" s="594"/>
      <c r="AJ16" s="592"/>
      <c r="AK16" s="400" t="s">
        <v>3845</v>
      </c>
      <c r="AL16" s="597"/>
      <c r="AM16" s="585"/>
      <c r="AN16" s="404" t="s">
        <v>3847</v>
      </c>
      <c r="AO16" s="597"/>
      <c r="AP16" s="585"/>
      <c r="AQ16" s="404" t="s">
        <v>3847</v>
      </c>
      <c r="AR16" s="605"/>
      <c r="AS16" s="585"/>
      <c r="AT16" s="401" t="s">
        <v>3845</v>
      </c>
      <c r="AU16" s="605"/>
      <c r="AV16" s="585"/>
      <c r="AW16" s="400" t="s">
        <v>3845</v>
      </c>
      <c r="AX16" s="601"/>
      <c r="AY16" s="585"/>
      <c r="AZ16" s="400" t="s">
        <v>3845</v>
      </c>
      <c r="BA16" s="605"/>
      <c r="BB16" s="585"/>
      <c r="BC16" s="400" t="s">
        <v>3845</v>
      </c>
      <c r="BD16" s="605"/>
      <c r="BE16" s="585"/>
      <c r="BF16" s="400" t="s">
        <v>3845</v>
      </c>
      <c r="BG16" s="601"/>
      <c r="BH16" s="585"/>
      <c r="BI16" s="400" t="s">
        <v>3845</v>
      </c>
      <c r="BJ16" s="605"/>
      <c r="BK16" s="585"/>
      <c r="BL16" s="400" t="s">
        <v>3845</v>
      </c>
      <c r="BM16" s="605"/>
      <c r="BN16" s="585"/>
      <c r="BO16" s="401" t="s">
        <v>3845</v>
      </c>
      <c r="BP16" s="605"/>
      <c r="BQ16" s="585"/>
      <c r="BR16" s="400" t="s">
        <v>3845</v>
      </c>
      <c r="BS16" s="605"/>
      <c r="BT16" s="585"/>
      <c r="BU16" s="400" t="s">
        <v>3845</v>
      </c>
    </row>
    <row r="17" spans="1:73" ht="15.75" customHeight="1" thickBot="1">
      <c r="A17" s="394">
        <v>15</v>
      </c>
      <c r="B17" s="587"/>
      <c r="C17" s="585"/>
      <c r="D17" s="402" t="s">
        <v>3846</v>
      </c>
      <c r="E17" s="589"/>
      <c r="F17" s="585"/>
      <c r="G17" s="403" t="s">
        <v>3846</v>
      </c>
      <c r="H17" s="587"/>
      <c r="I17" s="585"/>
      <c r="J17" s="403" t="s">
        <v>3846</v>
      </c>
      <c r="K17" s="587"/>
      <c r="L17" s="585"/>
      <c r="M17" s="403" t="s">
        <v>3846</v>
      </c>
      <c r="N17" s="587"/>
      <c r="O17" s="585"/>
      <c r="P17" s="403" t="s">
        <v>3846</v>
      </c>
      <c r="Q17" s="587"/>
      <c r="R17" s="585"/>
      <c r="S17" s="403" t="s">
        <v>3846</v>
      </c>
      <c r="T17" s="587"/>
      <c r="U17" s="585"/>
      <c r="V17" s="403" t="s">
        <v>3846</v>
      </c>
      <c r="W17" s="586"/>
      <c r="X17" s="585"/>
      <c r="Y17" s="409" t="s">
        <v>3846</v>
      </c>
      <c r="AC17" s="598"/>
      <c r="AD17" s="613"/>
      <c r="AE17" s="410" t="s">
        <v>3848</v>
      </c>
      <c r="AF17" s="605"/>
      <c r="AG17" s="607">
        <v>8</v>
      </c>
      <c r="AH17" s="395" t="s">
        <v>3844</v>
      </c>
      <c r="AI17" s="594"/>
      <c r="AJ17" s="592"/>
      <c r="AK17" s="402" t="s">
        <v>3846</v>
      </c>
      <c r="AL17" s="597"/>
      <c r="AM17" s="585"/>
      <c r="AN17" s="405" t="s">
        <v>3848</v>
      </c>
      <c r="AO17" s="597"/>
      <c r="AP17" s="585"/>
      <c r="AQ17" s="405" t="s">
        <v>3848</v>
      </c>
      <c r="AR17" s="605"/>
      <c r="AS17" s="603">
        <v>8</v>
      </c>
      <c r="AT17" s="396" t="s">
        <v>3844</v>
      </c>
      <c r="AU17" s="605"/>
      <c r="AV17" s="603">
        <v>8</v>
      </c>
      <c r="AW17" s="395" t="s">
        <v>3844</v>
      </c>
      <c r="AX17" s="601"/>
      <c r="AY17" s="603">
        <v>8</v>
      </c>
      <c r="AZ17" s="395" t="s">
        <v>3844</v>
      </c>
      <c r="BA17" s="605"/>
      <c r="BB17" s="603">
        <v>8</v>
      </c>
      <c r="BC17" s="395" t="s">
        <v>3844</v>
      </c>
      <c r="BD17" s="605"/>
      <c r="BE17" s="603">
        <v>8</v>
      </c>
      <c r="BF17" s="395" t="s">
        <v>3844</v>
      </c>
      <c r="BG17" s="601"/>
      <c r="BH17" s="603">
        <v>8</v>
      </c>
      <c r="BI17" s="395" t="s">
        <v>3844</v>
      </c>
      <c r="BJ17" s="605"/>
      <c r="BK17" s="603">
        <v>8</v>
      </c>
      <c r="BL17" s="395" t="s">
        <v>3844</v>
      </c>
      <c r="BM17" s="605"/>
      <c r="BN17" s="603">
        <v>8</v>
      </c>
      <c r="BO17" s="396" t="s">
        <v>3844</v>
      </c>
      <c r="BP17" s="605"/>
      <c r="BQ17" s="603">
        <v>8</v>
      </c>
      <c r="BR17" s="395" t="s">
        <v>3844</v>
      </c>
      <c r="BS17" s="605"/>
      <c r="BT17" s="603">
        <v>8</v>
      </c>
      <c r="BU17" s="395" t="s">
        <v>3844</v>
      </c>
    </row>
    <row r="18" spans="1:73" ht="15" customHeight="1" thickBot="1">
      <c r="A18" s="394">
        <v>16</v>
      </c>
      <c r="B18" s="587"/>
      <c r="C18" s="608">
        <v>6</v>
      </c>
      <c r="D18" s="395" t="s">
        <v>3844</v>
      </c>
      <c r="E18" s="589"/>
      <c r="F18" s="614">
        <v>6</v>
      </c>
      <c r="G18" s="396" t="s">
        <v>3844</v>
      </c>
      <c r="H18" s="587"/>
      <c r="I18" s="614">
        <v>6</v>
      </c>
      <c r="J18" s="396" t="s">
        <v>3844</v>
      </c>
      <c r="K18" s="587"/>
      <c r="L18" s="614">
        <v>6</v>
      </c>
      <c r="M18" s="396" t="s">
        <v>3844</v>
      </c>
      <c r="N18" s="587"/>
      <c r="O18" s="614">
        <v>6</v>
      </c>
      <c r="P18" s="396" t="s">
        <v>3844</v>
      </c>
      <c r="Q18" s="587"/>
      <c r="R18" s="614">
        <v>6</v>
      </c>
      <c r="S18" s="396" t="s">
        <v>3844</v>
      </c>
      <c r="T18" s="587"/>
      <c r="U18" s="614">
        <v>6</v>
      </c>
      <c r="V18" s="396" t="s">
        <v>3844</v>
      </c>
      <c r="W18" s="586"/>
      <c r="X18" s="614">
        <v>6</v>
      </c>
      <c r="Y18" s="407" t="s">
        <v>3844</v>
      </c>
      <c r="AF18" s="605"/>
      <c r="AG18" s="607"/>
      <c r="AH18" s="400" t="s">
        <v>3845</v>
      </c>
      <c r="AI18" s="594"/>
      <c r="AJ18" s="592"/>
      <c r="AK18" s="404" t="s">
        <v>3847</v>
      </c>
      <c r="AL18" s="597"/>
      <c r="AM18" s="608">
        <v>4</v>
      </c>
      <c r="AN18" s="395" t="s">
        <v>3844</v>
      </c>
      <c r="AO18" s="597"/>
      <c r="AP18" s="608">
        <v>4</v>
      </c>
      <c r="AQ18" s="395" t="s">
        <v>3844</v>
      </c>
      <c r="AR18" s="605"/>
      <c r="AS18" s="603"/>
      <c r="AT18" s="401" t="s">
        <v>3845</v>
      </c>
      <c r="AU18" s="605"/>
      <c r="AV18" s="603"/>
      <c r="AW18" s="400" t="s">
        <v>3845</v>
      </c>
      <c r="AX18" s="601"/>
      <c r="AY18" s="603"/>
      <c r="AZ18" s="400" t="s">
        <v>3845</v>
      </c>
      <c r="BA18" s="605"/>
      <c r="BB18" s="603"/>
      <c r="BC18" s="400" t="s">
        <v>3845</v>
      </c>
      <c r="BD18" s="605"/>
      <c r="BE18" s="603"/>
      <c r="BF18" s="400" t="s">
        <v>3845</v>
      </c>
      <c r="BG18" s="601"/>
      <c r="BH18" s="603"/>
      <c r="BI18" s="400" t="s">
        <v>3845</v>
      </c>
      <c r="BJ18" s="605"/>
      <c r="BK18" s="603"/>
      <c r="BL18" s="400" t="s">
        <v>3845</v>
      </c>
      <c r="BM18" s="605"/>
      <c r="BN18" s="603"/>
      <c r="BO18" s="401" t="s">
        <v>3845</v>
      </c>
      <c r="BP18" s="605"/>
      <c r="BQ18" s="603"/>
      <c r="BR18" s="400" t="s">
        <v>3845</v>
      </c>
      <c r="BS18" s="605"/>
      <c r="BT18" s="603"/>
      <c r="BU18" s="400" t="s">
        <v>3845</v>
      </c>
    </row>
    <row r="19" spans="1:73" ht="15" customHeight="1">
      <c r="A19" s="394">
        <v>17</v>
      </c>
      <c r="B19" s="587"/>
      <c r="C19" s="608"/>
      <c r="D19" s="400" t="s">
        <v>3845</v>
      </c>
      <c r="E19" s="589"/>
      <c r="F19" s="615"/>
      <c r="G19" s="401" t="s">
        <v>3845</v>
      </c>
      <c r="H19" s="587"/>
      <c r="I19" s="615"/>
      <c r="J19" s="401" t="s">
        <v>3845</v>
      </c>
      <c r="K19" s="587"/>
      <c r="L19" s="615"/>
      <c r="M19" s="401" t="s">
        <v>3845</v>
      </c>
      <c r="N19" s="587"/>
      <c r="O19" s="615"/>
      <c r="P19" s="401" t="s">
        <v>3845</v>
      </c>
      <c r="Q19" s="587"/>
      <c r="R19" s="615"/>
      <c r="S19" s="401" t="s">
        <v>3845</v>
      </c>
      <c r="T19" s="587"/>
      <c r="U19" s="615"/>
      <c r="V19" s="401" t="s">
        <v>3845</v>
      </c>
      <c r="W19" s="586"/>
      <c r="X19" s="615"/>
      <c r="Y19" s="408" t="s">
        <v>3845</v>
      </c>
      <c r="AF19" s="605"/>
      <c r="AG19" s="599">
        <v>9</v>
      </c>
      <c r="AH19" s="395" t="s">
        <v>3844</v>
      </c>
      <c r="AI19" s="594"/>
      <c r="AJ19" s="599">
        <v>5</v>
      </c>
      <c r="AK19" s="397" t="s">
        <v>3844</v>
      </c>
      <c r="AL19" s="597"/>
      <c r="AM19" s="608"/>
      <c r="AN19" s="400" t="s">
        <v>3845</v>
      </c>
      <c r="AO19" s="597"/>
      <c r="AP19" s="608"/>
      <c r="AQ19" s="400" t="s">
        <v>3845</v>
      </c>
      <c r="AR19" s="605"/>
      <c r="AS19" s="585">
        <v>9</v>
      </c>
      <c r="AT19" s="396" t="s">
        <v>3844</v>
      </c>
      <c r="AU19" s="605"/>
      <c r="AV19" s="585">
        <v>9</v>
      </c>
      <c r="AW19" s="395" t="s">
        <v>3844</v>
      </c>
      <c r="AX19" s="601"/>
      <c r="AY19" s="585">
        <v>9</v>
      </c>
      <c r="AZ19" s="395" t="s">
        <v>3844</v>
      </c>
      <c r="BA19" s="605"/>
      <c r="BB19" s="585">
        <v>9</v>
      </c>
      <c r="BC19" s="395" t="s">
        <v>3844</v>
      </c>
      <c r="BD19" s="605"/>
      <c r="BE19" s="585">
        <v>9</v>
      </c>
      <c r="BF19" s="395" t="s">
        <v>3844</v>
      </c>
      <c r="BG19" s="601"/>
      <c r="BH19" s="585">
        <v>9</v>
      </c>
      <c r="BI19" s="395" t="s">
        <v>3844</v>
      </c>
      <c r="BJ19" s="605"/>
      <c r="BK19" s="585">
        <v>9</v>
      </c>
      <c r="BL19" s="395" t="s">
        <v>3844</v>
      </c>
      <c r="BM19" s="605"/>
      <c r="BN19" s="585">
        <v>9</v>
      </c>
      <c r="BO19" s="396" t="s">
        <v>3844</v>
      </c>
      <c r="BP19" s="605"/>
      <c r="BQ19" s="585">
        <v>9</v>
      </c>
      <c r="BR19" s="395" t="s">
        <v>3844</v>
      </c>
      <c r="BS19" s="605"/>
      <c r="BT19" s="585">
        <v>9</v>
      </c>
      <c r="BU19" s="395" t="s">
        <v>3844</v>
      </c>
    </row>
    <row r="20" spans="1:73" ht="15.6" customHeight="1" thickBot="1">
      <c r="A20" s="394">
        <v>18</v>
      </c>
      <c r="B20" s="587"/>
      <c r="C20" s="608"/>
      <c r="D20" s="402" t="s">
        <v>3846</v>
      </c>
      <c r="E20" s="590"/>
      <c r="F20" s="616"/>
      <c r="G20" s="411" t="s">
        <v>3846</v>
      </c>
      <c r="H20" s="588"/>
      <c r="I20" s="616"/>
      <c r="J20" s="411" t="s">
        <v>3846</v>
      </c>
      <c r="K20" s="588"/>
      <c r="L20" s="616"/>
      <c r="M20" s="411" t="s">
        <v>3846</v>
      </c>
      <c r="N20" s="588"/>
      <c r="O20" s="616"/>
      <c r="P20" s="411" t="s">
        <v>3846</v>
      </c>
      <c r="Q20" s="588"/>
      <c r="R20" s="616"/>
      <c r="S20" s="411" t="s">
        <v>3846</v>
      </c>
      <c r="T20" s="588"/>
      <c r="U20" s="616"/>
      <c r="V20" s="411" t="s">
        <v>3846</v>
      </c>
      <c r="W20" s="586"/>
      <c r="X20" s="617"/>
      <c r="Y20" s="409" t="s">
        <v>3846</v>
      </c>
      <c r="AF20" s="605"/>
      <c r="AG20" s="592"/>
      <c r="AH20" s="400" t="s">
        <v>3845</v>
      </c>
      <c r="AI20" s="594"/>
      <c r="AJ20" s="592"/>
      <c r="AK20" s="400" t="s">
        <v>3845</v>
      </c>
      <c r="AL20" s="597"/>
      <c r="AM20" s="608"/>
      <c r="AN20" s="402" t="s">
        <v>3846</v>
      </c>
      <c r="AO20" s="597"/>
      <c r="AP20" s="608"/>
      <c r="AQ20" s="402" t="s">
        <v>3846</v>
      </c>
      <c r="AR20" s="605"/>
      <c r="AS20" s="585"/>
      <c r="AT20" s="401" t="s">
        <v>3845</v>
      </c>
      <c r="AU20" s="605"/>
      <c r="AV20" s="585"/>
      <c r="AW20" s="400" t="s">
        <v>3845</v>
      </c>
      <c r="AX20" s="601"/>
      <c r="AY20" s="585"/>
      <c r="AZ20" s="400" t="s">
        <v>3845</v>
      </c>
      <c r="BA20" s="605"/>
      <c r="BB20" s="585"/>
      <c r="BC20" s="400" t="s">
        <v>3845</v>
      </c>
      <c r="BD20" s="605"/>
      <c r="BE20" s="585"/>
      <c r="BF20" s="400" t="s">
        <v>3845</v>
      </c>
      <c r="BG20" s="601"/>
      <c r="BH20" s="585"/>
      <c r="BI20" s="400" t="s">
        <v>3845</v>
      </c>
      <c r="BJ20" s="605"/>
      <c r="BK20" s="585"/>
      <c r="BL20" s="400" t="s">
        <v>3845</v>
      </c>
      <c r="BM20" s="605"/>
      <c r="BN20" s="585"/>
      <c r="BO20" s="401" t="s">
        <v>3845</v>
      </c>
      <c r="BP20" s="605"/>
      <c r="BQ20" s="585"/>
      <c r="BR20" s="400" t="s">
        <v>3845</v>
      </c>
      <c r="BS20" s="605"/>
      <c r="BT20" s="585"/>
      <c r="BU20" s="400" t="s">
        <v>3845</v>
      </c>
    </row>
    <row r="21" spans="1:73" ht="15" customHeight="1">
      <c r="A21" s="394">
        <v>19</v>
      </c>
      <c r="B21" s="587"/>
      <c r="C21" s="585">
        <v>7</v>
      </c>
      <c r="D21" s="395" t="s">
        <v>3844</v>
      </c>
      <c r="AF21" s="605"/>
      <c r="AG21" s="607">
        <v>10</v>
      </c>
      <c r="AH21" s="395" t="s">
        <v>3844</v>
      </c>
      <c r="AI21" s="594"/>
      <c r="AJ21" s="592"/>
      <c r="AK21" s="402" t="s">
        <v>3846</v>
      </c>
      <c r="AL21" s="597"/>
      <c r="AM21" s="608"/>
      <c r="AN21" s="404" t="s">
        <v>3847</v>
      </c>
      <c r="AO21" s="597"/>
      <c r="AP21" s="608"/>
      <c r="AQ21" s="404" t="s">
        <v>3847</v>
      </c>
      <c r="AR21" s="605"/>
      <c r="AS21" s="603">
        <v>10</v>
      </c>
      <c r="AT21" s="396" t="s">
        <v>3844</v>
      </c>
      <c r="AU21" s="605"/>
      <c r="AV21" s="603">
        <v>10</v>
      </c>
      <c r="AW21" s="395" t="s">
        <v>3844</v>
      </c>
      <c r="AX21" s="601"/>
      <c r="AY21" s="603">
        <v>10</v>
      </c>
      <c r="AZ21" s="395" t="s">
        <v>3844</v>
      </c>
      <c r="BA21" s="605"/>
      <c r="BB21" s="603">
        <v>10</v>
      </c>
      <c r="BC21" s="395" t="s">
        <v>3844</v>
      </c>
      <c r="BD21" s="605"/>
      <c r="BE21" s="603">
        <v>10</v>
      </c>
      <c r="BF21" s="395" t="s">
        <v>3844</v>
      </c>
      <c r="BG21" s="601"/>
      <c r="BH21" s="603">
        <v>10</v>
      </c>
      <c r="BI21" s="395" t="s">
        <v>3844</v>
      </c>
      <c r="BJ21" s="605"/>
      <c r="BK21" s="603">
        <v>10</v>
      </c>
      <c r="BL21" s="395" t="s">
        <v>3844</v>
      </c>
      <c r="BM21" s="605"/>
      <c r="BN21" s="603">
        <v>10</v>
      </c>
      <c r="BO21" s="396" t="s">
        <v>3844</v>
      </c>
      <c r="BP21" s="605"/>
      <c r="BQ21" s="603">
        <v>10</v>
      </c>
      <c r="BR21" s="395" t="s">
        <v>3844</v>
      </c>
      <c r="BS21" s="605"/>
      <c r="BT21" s="603">
        <v>10</v>
      </c>
      <c r="BU21" s="395" t="s">
        <v>3844</v>
      </c>
    </row>
    <row r="22" spans="1:73" ht="15" customHeight="1" thickBot="1">
      <c r="A22" s="394">
        <v>20</v>
      </c>
      <c r="B22" s="587"/>
      <c r="C22" s="585"/>
      <c r="D22" s="400" t="s">
        <v>3845</v>
      </c>
      <c r="AF22" s="605"/>
      <c r="AG22" s="607"/>
      <c r="AH22" s="400" t="s">
        <v>3845</v>
      </c>
      <c r="AI22" s="595"/>
      <c r="AJ22" s="618"/>
      <c r="AK22" s="412" t="s">
        <v>3847</v>
      </c>
      <c r="AL22" s="597"/>
      <c r="AM22" s="608"/>
      <c r="AN22" s="405" t="s">
        <v>3848</v>
      </c>
      <c r="AO22" s="597"/>
      <c r="AP22" s="608"/>
      <c r="AQ22" s="405" t="s">
        <v>3848</v>
      </c>
      <c r="AR22" s="605"/>
      <c r="AS22" s="603"/>
      <c r="AT22" s="401" t="s">
        <v>3845</v>
      </c>
      <c r="AU22" s="605"/>
      <c r="AV22" s="603"/>
      <c r="AW22" s="400" t="s">
        <v>3845</v>
      </c>
      <c r="AX22" s="601"/>
      <c r="AY22" s="603"/>
      <c r="AZ22" s="400" t="s">
        <v>3845</v>
      </c>
      <c r="BA22" s="605"/>
      <c r="BB22" s="603"/>
      <c r="BC22" s="400" t="s">
        <v>3845</v>
      </c>
      <c r="BD22" s="605"/>
      <c r="BE22" s="603"/>
      <c r="BF22" s="400" t="s">
        <v>3845</v>
      </c>
      <c r="BG22" s="601"/>
      <c r="BH22" s="603"/>
      <c r="BI22" s="400" t="s">
        <v>3845</v>
      </c>
      <c r="BJ22" s="605"/>
      <c r="BK22" s="603"/>
      <c r="BL22" s="400" t="s">
        <v>3845</v>
      </c>
      <c r="BM22" s="605"/>
      <c r="BN22" s="603"/>
      <c r="BO22" s="401" t="s">
        <v>3845</v>
      </c>
      <c r="BP22" s="605"/>
      <c r="BQ22" s="603"/>
      <c r="BR22" s="400" t="s">
        <v>3845</v>
      </c>
      <c r="BS22" s="605"/>
      <c r="BT22" s="603"/>
      <c r="BU22" s="400" t="s">
        <v>3845</v>
      </c>
    </row>
    <row r="23" spans="1:73" ht="15" customHeight="1">
      <c r="A23" s="394">
        <v>21</v>
      </c>
      <c r="B23" s="587"/>
      <c r="C23" s="585"/>
      <c r="D23" s="402" t="s">
        <v>3846</v>
      </c>
      <c r="AF23" s="605"/>
      <c r="AG23" s="599">
        <v>11</v>
      </c>
      <c r="AH23" s="395" t="s">
        <v>3844</v>
      </c>
      <c r="AL23" s="597"/>
      <c r="AM23" s="585">
        <v>5</v>
      </c>
      <c r="AN23" s="395" t="s">
        <v>3844</v>
      </c>
      <c r="AO23" s="597"/>
      <c r="AP23" s="585">
        <v>5</v>
      </c>
      <c r="AQ23" s="395" t="s">
        <v>3844</v>
      </c>
      <c r="AR23" s="605"/>
      <c r="AS23" s="585">
        <v>11</v>
      </c>
      <c r="AT23" s="396" t="s">
        <v>3844</v>
      </c>
      <c r="AU23" s="605"/>
      <c r="AV23" s="585">
        <v>11</v>
      </c>
      <c r="AW23" s="395" t="s">
        <v>3844</v>
      </c>
      <c r="AX23" s="601"/>
      <c r="AY23" s="585">
        <v>11</v>
      </c>
      <c r="AZ23" s="395" t="s">
        <v>3844</v>
      </c>
      <c r="BA23" s="605"/>
      <c r="BB23" s="585">
        <v>11</v>
      </c>
      <c r="BC23" s="395" t="s">
        <v>3844</v>
      </c>
      <c r="BD23" s="605"/>
      <c r="BE23" s="585">
        <v>11</v>
      </c>
      <c r="BF23" s="395" t="s">
        <v>3844</v>
      </c>
      <c r="BG23" s="601"/>
      <c r="BH23" s="585">
        <v>11</v>
      </c>
      <c r="BI23" s="395" t="s">
        <v>3844</v>
      </c>
      <c r="BJ23" s="605"/>
      <c r="BK23" s="585">
        <v>11</v>
      </c>
      <c r="BL23" s="395" t="s">
        <v>3844</v>
      </c>
      <c r="BM23" s="605"/>
      <c r="BN23" s="585">
        <v>11</v>
      </c>
      <c r="BO23" s="396" t="s">
        <v>3844</v>
      </c>
      <c r="BP23" s="605"/>
      <c r="BQ23" s="585">
        <v>11</v>
      </c>
      <c r="BR23" s="395" t="s">
        <v>3844</v>
      </c>
      <c r="BS23" s="605"/>
      <c r="BT23" s="585">
        <v>11</v>
      </c>
      <c r="BU23" s="395" t="s">
        <v>3844</v>
      </c>
    </row>
    <row r="24" spans="1:73" ht="15" customHeight="1">
      <c r="A24" s="394">
        <v>22</v>
      </c>
      <c r="B24" s="587"/>
      <c r="C24" s="608">
        <v>8</v>
      </c>
      <c r="D24" s="395" t="s">
        <v>3844</v>
      </c>
      <c r="AF24" s="605"/>
      <c r="AG24" s="592"/>
      <c r="AH24" s="400" t="s">
        <v>3845</v>
      </c>
      <c r="AL24" s="597"/>
      <c r="AM24" s="585"/>
      <c r="AN24" s="400" t="s">
        <v>3845</v>
      </c>
      <c r="AO24" s="597"/>
      <c r="AP24" s="585"/>
      <c r="AQ24" s="400" t="s">
        <v>3845</v>
      </c>
      <c r="AR24" s="605"/>
      <c r="AS24" s="585"/>
      <c r="AT24" s="401" t="s">
        <v>3845</v>
      </c>
      <c r="AU24" s="605"/>
      <c r="AV24" s="585"/>
      <c r="AW24" s="400" t="s">
        <v>3845</v>
      </c>
      <c r="AX24" s="601"/>
      <c r="AY24" s="585"/>
      <c r="AZ24" s="400" t="s">
        <v>3845</v>
      </c>
      <c r="BA24" s="605"/>
      <c r="BB24" s="585"/>
      <c r="BC24" s="400" t="s">
        <v>3845</v>
      </c>
      <c r="BD24" s="605"/>
      <c r="BE24" s="585"/>
      <c r="BF24" s="400" t="s">
        <v>3845</v>
      </c>
      <c r="BG24" s="601"/>
      <c r="BH24" s="585"/>
      <c r="BI24" s="400" t="s">
        <v>3845</v>
      </c>
      <c r="BJ24" s="605"/>
      <c r="BK24" s="585"/>
      <c r="BL24" s="400" t="s">
        <v>3845</v>
      </c>
      <c r="BM24" s="605"/>
      <c r="BN24" s="585"/>
      <c r="BO24" s="401" t="s">
        <v>3845</v>
      </c>
      <c r="BP24" s="605"/>
      <c r="BQ24" s="585"/>
      <c r="BR24" s="400" t="s">
        <v>3845</v>
      </c>
      <c r="BS24" s="605"/>
      <c r="BT24" s="585"/>
      <c r="BU24" s="400" t="s">
        <v>3845</v>
      </c>
    </row>
    <row r="25" spans="1:73" ht="15" customHeight="1">
      <c r="A25" s="394">
        <v>23</v>
      </c>
      <c r="B25" s="587"/>
      <c r="C25" s="608"/>
      <c r="D25" s="400" t="s">
        <v>3845</v>
      </c>
      <c r="AF25" s="605"/>
      <c r="AG25" s="607">
        <v>12</v>
      </c>
      <c r="AH25" s="395" t="s">
        <v>3844</v>
      </c>
      <c r="AL25" s="597"/>
      <c r="AM25" s="585"/>
      <c r="AN25" s="402" t="s">
        <v>3846</v>
      </c>
      <c r="AO25" s="597"/>
      <c r="AP25" s="585"/>
      <c r="AQ25" s="402" t="s">
        <v>3846</v>
      </c>
      <c r="AR25" s="605"/>
      <c r="AS25" s="603">
        <v>12</v>
      </c>
      <c r="AT25" s="396" t="s">
        <v>3844</v>
      </c>
      <c r="AU25" s="605"/>
      <c r="AV25" s="603">
        <v>12</v>
      </c>
      <c r="AW25" s="395" t="s">
        <v>3844</v>
      </c>
      <c r="AX25" s="601"/>
      <c r="AY25" s="603">
        <v>12</v>
      </c>
      <c r="AZ25" s="395" t="s">
        <v>3844</v>
      </c>
      <c r="BA25" s="605"/>
      <c r="BB25" s="603">
        <v>12</v>
      </c>
      <c r="BC25" s="395" t="s">
        <v>3844</v>
      </c>
      <c r="BD25" s="605"/>
      <c r="BE25" s="603">
        <v>12</v>
      </c>
      <c r="BF25" s="395" t="s">
        <v>3844</v>
      </c>
      <c r="BG25" s="601"/>
      <c r="BH25" s="603">
        <v>12</v>
      </c>
      <c r="BI25" s="395" t="s">
        <v>3844</v>
      </c>
      <c r="BJ25" s="605"/>
      <c r="BK25" s="603">
        <v>12</v>
      </c>
      <c r="BL25" s="395" t="s">
        <v>3844</v>
      </c>
      <c r="BM25" s="605"/>
      <c r="BN25" s="603">
        <v>12</v>
      </c>
      <c r="BO25" s="396" t="s">
        <v>3844</v>
      </c>
      <c r="BP25" s="605"/>
      <c r="BQ25" s="603">
        <v>12</v>
      </c>
      <c r="BR25" s="395" t="s">
        <v>3844</v>
      </c>
      <c r="BS25" s="605"/>
      <c r="BT25" s="603">
        <v>12</v>
      </c>
      <c r="BU25" s="395" t="s">
        <v>3844</v>
      </c>
    </row>
    <row r="26" spans="1:73" ht="15" customHeight="1">
      <c r="A26" s="394">
        <v>24</v>
      </c>
      <c r="B26" s="587"/>
      <c r="C26" s="608"/>
      <c r="D26" s="402" t="s">
        <v>3846</v>
      </c>
      <c r="AF26" s="605"/>
      <c r="AG26" s="607"/>
      <c r="AH26" s="400" t="s">
        <v>3845</v>
      </c>
      <c r="AL26" s="597"/>
      <c r="AM26" s="585"/>
      <c r="AN26" s="404" t="s">
        <v>3847</v>
      </c>
      <c r="AO26" s="597"/>
      <c r="AP26" s="585"/>
      <c r="AQ26" s="404" t="s">
        <v>3847</v>
      </c>
      <c r="AR26" s="605"/>
      <c r="AS26" s="603"/>
      <c r="AT26" s="401" t="s">
        <v>3845</v>
      </c>
      <c r="AU26" s="605"/>
      <c r="AV26" s="603"/>
      <c r="AW26" s="400" t="s">
        <v>3845</v>
      </c>
      <c r="AX26" s="601"/>
      <c r="AY26" s="603"/>
      <c r="AZ26" s="400" t="s">
        <v>3845</v>
      </c>
      <c r="BA26" s="605"/>
      <c r="BB26" s="603"/>
      <c r="BC26" s="400" t="s">
        <v>3845</v>
      </c>
      <c r="BD26" s="605"/>
      <c r="BE26" s="603"/>
      <c r="BF26" s="400" t="s">
        <v>3845</v>
      </c>
      <c r="BG26" s="601"/>
      <c r="BH26" s="603"/>
      <c r="BI26" s="400" t="s">
        <v>3845</v>
      </c>
      <c r="BJ26" s="605"/>
      <c r="BK26" s="603"/>
      <c r="BL26" s="400" t="s">
        <v>3845</v>
      </c>
      <c r="BM26" s="605"/>
      <c r="BN26" s="603"/>
      <c r="BO26" s="401" t="s">
        <v>3845</v>
      </c>
      <c r="BP26" s="605"/>
      <c r="BQ26" s="603"/>
      <c r="BR26" s="400" t="s">
        <v>3845</v>
      </c>
      <c r="BS26" s="605"/>
      <c r="BT26" s="603"/>
      <c r="BU26" s="400" t="s">
        <v>3845</v>
      </c>
    </row>
    <row r="27" spans="1:73" ht="15" customHeight="1">
      <c r="A27" s="394">
        <v>25</v>
      </c>
      <c r="B27" s="587"/>
      <c r="C27" s="585">
        <v>9</v>
      </c>
      <c r="D27" s="395" t="s">
        <v>3844</v>
      </c>
      <c r="AF27" s="605"/>
      <c r="AG27" s="599">
        <v>13</v>
      </c>
      <c r="AH27" s="395" t="s">
        <v>3844</v>
      </c>
      <c r="AL27" s="597"/>
      <c r="AM27" s="585"/>
      <c r="AN27" s="405" t="s">
        <v>3848</v>
      </c>
      <c r="AO27" s="597"/>
      <c r="AP27" s="585"/>
      <c r="AQ27" s="405" t="s">
        <v>3848</v>
      </c>
      <c r="AR27" s="605"/>
      <c r="AS27" s="585">
        <v>13</v>
      </c>
      <c r="AT27" s="396" t="s">
        <v>3844</v>
      </c>
      <c r="AU27" s="605"/>
      <c r="AV27" s="585">
        <v>13</v>
      </c>
      <c r="AW27" s="395" t="s">
        <v>3844</v>
      </c>
      <c r="AX27" s="601"/>
      <c r="AY27" s="585">
        <v>13</v>
      </c>
      <c r="AZ27" s="395" t="s">
        <v>3844</v>
      </c>
      <c r="BA27" s="605"/>
      <c r="BB27" s="585">
        <v>13</v>
      </c>
      <c r="BC27" s="395" t="s">
        <v>3844</v>
      </c>
      <c r="BD27" s="605"/>
      <c r="BE27" s="585">
        <v>13</v>
      </c>
      <c r="BF27" s="395" t="s">
        <v>3844</v>
      </c>
      <c r="BG27" s="601"/>
      <c r="BH27" s="585">
        <v>13</v>
      </c>
      <c r="BI27" s="395" t="s">
        <v>3844</v>
      </c>
      <c r="BJ27" s="605"/>
      <c r="BK27" s="585">
        <v>13</v>
      </c>
      <c r="BL27" s="395" t="s">
        <v>3844</v>
      </c>
      <c r="BM27" s="605"/>
      <c r="BN27" s="585">
        <v>13</v>
      </c>
      <c r="BO27" s="396" t="s">
        <v>3844</v>
      </c>
      <c r="BP27" s="605"/>
      <c r="BQ27" s="585">
        <v>13</v>
      </c>
      <c r="BR27" s="395" t="s">
        <v>3844</v>
      </c>
      <c r="BS27" s="605"/>
      <c r="BT27" s="585">
        <v>13</v>
      </c>
      <c r="BU27" s="395" t="s">
        <v>3844</v>
      </c>
    </row>
    <row r="28" spans="1:73" ht="15" customHeight="1">
      <c r="A28" s="394">
        <v>26</v>
      </c>
      <c r="B28" s="587"/>
      <c r="C28" s="585"/>
      <c r="D28" s="400" t="s">
        <v>3845</v>
      </c>
      <c r="AF28" s="605"/>
      <c r="AG28" s="592"/>
      <c r="AH28" s="400" t="s">
        <v>3845</v>
      </c>
      <c r="AL28" s="597"/>
      <c r="AM28" s="608">
        <v>6</v>
      </c>
      <c r="AN28" s="395" t="s">
        <v>3844</v>
      </c>
      <c r="AO28" s="597"/>
      <c r="AP28" s="608">
        <v>6</v>
      </c>
      <c r="AQ28" s="395" t="s">
        <v>3844</v>
      </c>
      <c r="AR28" s="605"/>
      <c r="AS28" s="585"/>
      <c r="AT28" s="401" t="s">
        <v>3845</v>
      </c>
      <c r="AU28" s="605"/>
      <c r="AV28" s="585"/>
      <c r="AW28" s="400" t="s">
        <v>3845</v>
      </c>
      <c r="AX28" s="601"/>
      <c r="AY28" s="585"/>
      <c r="AZ28" s="400" t="s">
        <v>3845</v>
      </c>
      <c r="BA28" s="605"/>
      <c r="BB28" s="585"/>
      <c r="BC28" s="400" t="s">
        <v>3845</v>
      </c>
      <c r="BD28" s="605"/>
      <c r="BE28" s="585"/>
      <c r="BF28" s="400" t="s">
        <v>3845</v>
      </c>
      <c r="BG28" s="601"/>
      <c r="BH28" s="585"/>
      <c r="BI28" s="400" t="s">
        <v>3845</v>
      </c>
      <c r="BJ28" s="605"/>
      <c r="BK28" s="585"/>
      <c r="BL28" s="400" t="s">
        <v>3845</v>
      </c>
      <c r="BM28" s="605"/>
      <c r="BN28" s="585"/>
      <c r="BO28" s="401" t="s">
        <v>3845</v>
      </c>
      <c r="BP28" s="605"/>
      <c r="BQ28" s="585"/>
      <c r="BR28" s="400" t="s">
        <v>3845</v>
      </c>
      <c r="BS28" s="605"/>
      <c r="BT28" s="585"/>
      <c r="BU28" s="400" t="s">
        <v>3845</v>
      </c>
    </row>
    <row r="29" spans="1:73" ht="15.6" customHeight="1" thickBot="1">
      <c r="A29" s="394">
        <v>27</v>
      </c>
      <c r="B29" s="588"/>
      <c r="C29" s="613"/>
      <c r="D29" s="406" t="s">
        <v>3846</v>
      </c>
      <c r="AF29" s="605"/>
      <c r="AG29" s="607">
        <v>14</v>
      </c>
      <c r="AH29" s="395" t="s">
        <v>3844</v>
      </c>
      <c r="AL29" s="597"/>
      <c r="AM29" s="608"/>
      <c r="AN29" s="400" t="s">
        <v>3845</v>
      </c>
      <c r="AO29" s="597"/>
      <c r="AP29" s="608"/>
      <c r="AQ29" s="400" t="s">
        <v>3845</v>
      </c>
      <c r="AR29" s="605"/>
      <c r="AS29" s="603">
        <v>14</v>
      </c>
      <c r="AT29" s="396" t="s">
        <v>3844</v>
      </c>
      <c r="AU29" s="605"/>
      <c r="AV29" s="603">
        <v>14</v>
      </c>
      <c r="AW29" s="395" t="s">
        <v>3844</v>
      </c>
      <c r="AX29" s="601"/>
      <c r="AY29" s="603">
        <v>14</v>
      </c>
      <c r="AZ29" s="395" t="s">
        <v>3844</v>
      </c>
      <c r="BA29" s="605"/>
      <c r="BB29" s="603">
        <v>14</v>
      </c>
      <c r="BC29" s="395" t="s">
        <v>3844</v>
      </c>
      <c r="BD29" s="605"/>
      <c r="BE29" s="603">
        <v>14</v>
      </c>
      <c r="BF29" s="395" t="s">
        <v>3844</v>
      </c>
      <c r="BG29" s="601"/>
      <c r="BH29" s="603">
        <v>14</v>
      </c>
      <c r="BI29" s="395" t="s">
        <v>3844</v>
      </c>
      <c r="BJ29" s="605"/>
      <c r="BK29" s="603">
        <v>14</v>
      </c>
      <c r="BL29" s="395" t="s">
        <v>3844</v>
      </c>
      <c r="BM29" s="605"/>
      <c r="BN29" s="603">
        <v>14</v>
      </c>
      <c r="BO29" s="396" t="s">
        <v>3844</v>
      </c>
      <c r="BP29" s="605"/>
      <c r="BQ29" s="603">
        <v>14</v>
      </c>
      <c r="BR29" s="395" t="s">
        <v>3844</v>
      </c>
      <c r="BS29" s="605"/>
      <c r="BT29" s="603">
        <v>14</v>
      </c>
      <c r="BU29" s="395" t="s">
        <v>3844</v>
      </c>
    </row>
    <row r="30" spans="1:73" ht="15" customHeight="1">
      <c r="A30" s="394">
        <v>28</v>
      </c>
      <c r="AF30" s="605"/>
      <c r="AG30" s="607"/>
      <c r="AH30" s="400" t="s">
        <v>3845</v>
      </c>
      <c r="AL30" s="597"/>
      <c r="AM30" s="608"/>
      <c r="AN30" s="402" t="s">
        <v>3846</v>
      </c>
      <c r="AO30" s="597"/>
      <c r="AP30" s="608"/>
      <c r="AQ30" s="402" t="s">
        <v>3846</v>
      </c>
      <c r="AR30" s="605"/>
      <c r="AS30" s="603"/>
      <c r="AT30" s="401" t="s">
        <v>3845</v>
      </c>
      <c r="AU30" s="605"/>
      <c r="AV30" s="603"/>
      <c r="AW30" s="400" t="s">
        <v>3845</v>
      </c>
      <c r="AX30" s="601"/>
      <c r="AY30" s="603"/>
      <c r="AZ30" s="400" t="s">
        <v>3845</v>
      </c>
      <c r="BA30" s="605"/>
      <c r="BB30" s="603"/>
      <c r="BC30" s="400" t="s">
        <v>3845</v>
      </c>
      <c r="BD30" s="605"/>
      <c r="BE30" s="603"/>
      <c r="BF30" s="400" t="s">
        <v>3845</v>
      </c>
      <c r="BG30" s="601"/>
      <c r="BH30" s="603"/>
      <c r="BI30" s="400" t="s">
        <v>3845</v>
      </c>
      <c r="BJ30" s="605"/>
      <c r="BK30" s="603"/>
      <c r="BL30" s="400" t="s">
        <v>3845</v>
      </c>
      <c r="BM30" s="605"/>
      <c r="BN30" s="603"/>
      <c r="BO30" s="401" t="s">
        <v>3845</v>
      </c>
      <c r="BP30" s="605"/>
      <c r="BQ30" s="603"/>
      <c r="BR30" s="400" t="s">
        <v>3845</v>
      </c>
      <c r="BS30" s="605"/>
      <c r="BT30" s="603"/>
      <c r="BU30" s="400" t="s">
        <v>3845</v>
      </c>
    </row>
    <row r="31" spans="1:73" ht="15" customHeight="1">
      <c r="A31" s="394">
        <v>29</v>
      </c>
      <c r="AF31" s="605"/>
      <c r="AG31" s="599">
        <v>15</v>
      </c>
      <c r="AH31" s="395" t="s">
        <v>3844</v>
      </c>
      <c r="AL31" s="597"/>
      <c r="AM31" s="608"/>
      <c r="AN31" s="404" t="s">
        <v>3847</v>
      </c>
      <c r="AO31" s="597"/>
      <c r="AP31" s="608"/>
      <c r="AQ31" s="404" t="s">
        <v>3847</v>
      </c>
      <c r="AR31" s="605"/>
      <c r="AS31" s="585">
        <v>15</v>
      </c>
      <c r="AT31" s="396" t="s">
        <v>3844</v>
      </c>
      <c r="AU31" s="605"/>
      <c r="AV31" s="585">
        <v>15</v>
      </c>
      <c r="AW31" s="395" t="s">
        <v>3844</v>
      </c>
      <c r="AX31" s="601"/>
      <c r="AY31" s="585">
        <v>15</v>
      </c>
      <c r="AZ31" s="395" t="s">
        <v>3844</v>
      </c>
      <c r="BA31" s="605"/>
      <c r="BB31" s="585">
        <v>15</v>
      </c>
      <c r="BC31" s="395" t="s">
        <v>3844</v>
      </c>
      <c r="BD31" s="605"/>
      <c r="BE31" s="585">
        <v>15</v>
      </c>
      <c r="BF31" s="395" t="s">
        <v>3844</v>
      </c>
      <c r="BG31" s="601"/>
      <c r="BH31" s="585">
        <v>15</v>
      </c>
      <c r="BI31" s="395" t="s">
        <v>3844</v>
      </c>
      <c r="BJ31" s="605"/>
      <c r="BK31" s="585">
        <v>15</v>
      </c>
      <c r="BL31" s="395" t="s">
        <v>3844</v>
      </c>
      <c r="BM31" s="605"/>
      <c r="BN31" s="585">
        <v>15</v>
      </c>
      <c r="BO31" s="396" t="s">
        <v>3844</v>
      </c>
      <c r="BP31" s="605"/>
      <c r="BQ31" s="585">
        <v>15</v>
      </c>
      <c r="BR31" s="395" t="s">
        <v>3844</v>
      </c>
      <c r="BS31" s="605"/>
      <c r="BT31" s="585">
        <v>15</v>
      </c>
      <c r="BU31" s="395" t="s">
        <v>3844</v>
      </c>
    </row>
    <row r="32" spans="1:73" ht="15" customHeight="1" thickBot="1">
      <c r="A32" s="394">
        <v>30</v>
      </c>
      <c r="AF32" s="605"/>
      <c r="AG32" s="592"/>
      <c r="AH32" s="400" t="s">
        <v>3845</v>
      </c>
      <c r="AL32" s="598"/>
      <c r="AM32" s="619"/>
      <c r="AN32" s="410" t="s">
        <v>3848</v>
      </c>
      <c r="AO32" s="598"/>
      <c r="AP32" s="619"/>
      <c r="AQ32" s="410" t="s">
        <v>3848</v>
      </c>
      <c r="AR32" s="605"/>
      <c r="AS32" s="585"/>
      <c r="AT32" s="401" t="s">
        <v>3845</v>
      </c>
      <c r="AU32" s="605"/>
      <c r="AV32" s="585"/>
      <c r="AW32" s="400" t="s">
        <v>3845</v>
      </c>
      <c r="AX32" s="601"/>
      <c r="AY32" s="585"/>
      <c r="AZ32" s="400" t="s">
        <v>3845</v>
      </c>
      <c r="BA32" s="605"/>
      <c r="BB32" s="585"/>
      <c r="BC32" s="400" t="s">
        <v>3845</v>
      </c>
      <c r="BD32" s="605"/>
      <c r="BE32" s="585"/>
      <c r="BF32" s="400" t="s">
        <v>3845</v>
      </c>
      <c r="BG32" s="601"/>
      <c r="BH32" s="585"/>
      <c r="BI32" s="400" t="s">
        <v>3845</v>
      </c>
      <c r="BJ32" s="605"/>
      <c r="BK32" s="585"/>
      <c r="BL32" s="400" t="s">
        <v>3845</v>
      </c>
      <c r="BM32" s="605"/>
      <c r="BN32" s="585"/>
      <c r="BO32" s="401" t="s">
        <v>3845</v>
      </c>
      <c r="BP32" s="605"/>
      <c r="BQ32" s="585"/>
      <c r="BR32" s="400" t="s">
        <v>3845</v>
      </c>
      <c r="BS32" s="605"/>
      <c r="BT32" s="585"/>
      <c r="BU32" s="400" t="s">
        <v>3845</v>
      </c>
    </row>
    <row r="33" spans="1:73" ht="15" customHeight="1">
      <c r="A33" s="394">
        <v>31</v>
      </c>
      <c r="AF33" s="605"/>
      <c r="AG33" s="607">
        <v>16</v>
      </c>
      <c r="AH33" s="395" t="s">
        <v>3844</v>
      </c>
      <c r="AL33" s="413"/>
      <c r="AM33" s="413"/>
      <c r="AN33" s="413"/>
      <c r="AO33" s="413"/>
      <c r="AP33" s="413"/>
      <c r="AQ33" s="413"/>
      <c r="AR33" s="605"/>
      <c r="AS33" s="620">
        <v>16</v>
      </c>
      <c r="AT33" s="396" t="s">
        <v>3844</v>
      </c>
      <c r="AU33" s="605"/>
      <c r="AV33" s="603">
        <v>16</v>
      </c>
      <c r="AW33" s="395" t="s">
        <v>3844</v>
      </c>
      <c r="AX33" s="601"/>
      <c r="AY33" s="620">
        <v>16</v>
      </c>
      <c r="AZ33" s="395" t="s">
        <v>3844</v>
      </c>
      <c r="BA33" s="605"/>
      <c r="BB33" s="620">
        <v>16</v>
      </c>
      <c r="BC33" s="395" t="s">
        <v>3844</v>
      </c>
      <c r="BD33" s="605"/>
      <c r="BE33" s="620">
        <v>16</v>
      </c>
      <c r="BF33" s="395" t="s">
        <v>3844</v>
      </c>
      <c r="BG33" s="601"/>
      <c r="BH33" s="620">
        <v>16</v>
      </c>
      <c r="BI33" s="395" t="s">
        <v>3844</v>
      </c>
      <c r="BJ33" s="605"/>
      <c r="BK33" s="620">
        <v>16</v>
      </c>
      <c r="BL33" s="395" t="s">
        <v>3844</v>
      </c>
      <c r="BM33" s="605"/>
      <c r="BN33" s="620">
        <v>16</v>
      </c>
      <c r="BO33" s="396" t="s">
        <v>3844</v>
      </c>
      <c r="BP33" s="605"/>
      <c r="BQ33" s="620">
        <v>16</v>
      </c>
      <c r="BR33" s="395" t="s">
        <v>3844</v>
      </c>
      <c r="BS33" s="605"/>
      <c r="BT33" s="620">
        <v>16</v>
      </c>
      <c r="BU33" s="395" t="s">
        <v>3844</v>
      </c>
    </row>
    <row r="34" spans="1:73" ht="15" customHeight="1">
      <c r="A34" s="394">
        <v>32</v>
      </c>
      <c r="AF34" s="605"/>
      <c r="AG34" s="621"/>
      <c r="AH34" s="400" t="s">
        <v>3845</v>
      </c>
      <c r="AL34" s="413"/>
      <c r="AM34" s="413"/>
      <c r="AN34" s="413"/>
      <c r="AO34" s="413"/>
      <c r="AP34" s="413"/>
      <c r="AQ34" s="413"/>
      <c r="AR34" s="605"/>
      <c r="AS34" s="621"/>
      <c r="AT34" s="401" t="s">
        <v>3845</v>
      </c>
      <c r="AU34" s="605"/>
      <c r="AV34" s="603"/>
      <c r="AW34" s="400" t="s">
        <v>3845</v>
      </c>
      <c r="AX34" s="601"/>
      <c r="AY34" s="621"/>
      <c r="AZ34" s="400" t="s">
        <v>3845</v>
      </c>
      <c r="BA34" s="605"/>
      <c r="BB34" s="621"/>
      <c r="BC34" s="400" t="s">
        <v>3845</v>
      </c>
      <c r="BD34" s="605"/>
      <c r="BE34" s="621"/>
      <c r="BF34" s="400" t="s">
        <v>3845</v>
      </c>
      <c r="BG34" s="601"/>
      <c r="BH34" s="621"/>
      <c r="BI34" s="400" t="s">
        <v>3845</v>
      </c>
      <c r="BJ34" s="605"/>
      <c r="BK34" s="621"/>
      <c r="BL34" s="400" t="s">
        <v>3845</v>
      </c>
      <c r="BM34" s="605"/>
      <c r="BN34" s="621"/>
      <c r="BO34" s="401" t="s">
        <v>3845</v>
      </c>
      <c r="BP34" s="605"/>
      <c r="BQ34" s="621"/>
      <c r="BR34" s="400" t="s">
        <v>3845</v>
      </c>
      <c r="BS34" s="605"/>
      <c r="BT34" s="621"/>
      <c r="BU34" s="400" t="s">
        <v>3845</v>
      </c>
    </row>
    <row r="35" spans="1:73" ht="15" customHeight="1">
      <c r="A35" s="394">
        <v>33</v>
      </c>
      <c r="AF35" s="605"/>
      <c r="AG35" s="599">
        <v>17</v>
      </c>
      <c r="AH35" s="395" t="s">
        <v>3844</v>
      </c>
      <c r="AL35" s="413"/>
      <c r="AM35" s="413"/>
      <c r="AN35" s="413"/>
      <c r="AO35" s="413"/>
      <c r="AP35" s="413"/>
      <c r="AQ35" s="413"/>
      <c r="AR35" s="605"/>
      <c r="AS35" s="599">
        <v>17</v>
      </c>
      <c r="AT35" s="396" t="s">
        <v>3844</v>
      </c>
      <c r="AU35" s="605"/>
      <c r="AV35" s="585">
        <v>17</v>
      </c>
      <c r="AW35" s="395" t="s">
        <v>3844</v>
      </c>
      <c r="AX35" s="601"/>
      <c r="AY35" s="599">
        <v>17</v>
      </c>
      <c r="AZ35" s="395" t="s">
        <v>3844</v>
      </c>
      <c r="BA35" s="605"/>
      <c r="BB35" s="599">
        <v>17</v>
      </c>
      <c r="BC35" s="395" t="s">
        <v>3844</v>
      </c>
      <c r="BD35" s="605"/>
      <c r="BE35" s="599">
        <v>17</v>
      </c>
      <c r="BF35" s="395" t="s">
        <v>3844</v>
      </c>
      <c r="BG35" s="601"/>
      <c r="BH35" s="599">
        <v>17</v>
      </c>
      <c r="BI35" s="395" t="s">
        <v>3844</v>
      </c>
      <c r="BJ35" s="605"/>
      <c r="BK35" s="599">
        <v>17</v>
      </c>
      <c r="BL35" s="395" t="s">
        <v>3844</v>
      </c>
      <c r="BM35" s="605"/>
      <c r="BN35" s="599">
        <v>17</v>
      </c>
      <c r="BO35" s="396" t="s">
        <v>3844</v>
      </c>
      <c r="BP35" s="605"/>
      <c r="BQ35" s="599">
        <v>17</v>
      </c>
      <c r="BR35" s="395" t="s">
        <v>3844</v>
      </c>
      <c r="BS35" s="605"/>
      <c r="BT35" s="599">
        <v>17</v>
      </c>
      <c r="BU35" s="395" t="s">
        <v>3844</v>
      </c>
    </row>
    <row r="36" spans="1:73" ht="15.75" customHeight="1" thickBot="1">
      <c r="A36" s="394">
        <v>34</v>
      </c>
      <c r="AF36" s="605"/>
      <c r="AG36" s="592"/>
      <c r="AH36" s="400" t="s">
        <v>3845</v>
      </c>
      <c r="AL36" s="413"/>
      <c r="AM36" s="413"/>
      <c r="AN36" s="413"/>
      <c r="AO36" s="413"/>
      <c r="AP36" s="413"/>
      <c r="AQ36" s="413"/>
      <c r="AR36" s="606"/>
      <c r="AS36" s="618"/>
      <c r="AT36" s="414" t="s">
        <v>3845</v>
      </c>
      <c r="AU36" s="605"/>
      <c r="AV36" s="585"/>
      <c r="AW36" s="400" t="s">
        <v>3845</v>
      </c>
      <c r="AX36" s="601"/>
      <c r="AY36" s="622"/>
      <c r="AZ36" s="400" t="s">
        <v>3845</v>
      </c>
      <c r="BA36" s="605"/>
      <c r="BB36" s="622"/>
      <c r="BC36" s="400" t="s">
        <v>3845</v>
      </c>
      <c r="BD36" s="606"/>
      <c r="BE36" s="618"/>
      <c r="BF36" s="415" t="s">
        <v>3845</v>
      </c>
      <c r="BG36" s="601"/>
      <c r="BH36" s="622"/>
      <c r="BI36" s="400" t="s">
        <v>3845</v>
      </c>
      <c r="BJ36" s="606"/>
      <c r="BK36" s="618"/>
      <c r="BL36" s="415" t="s">
        <v>3845</v>
      </c>
      <c r="BM36" s="606"/>
      <c r="BN36" s="618"/>
      <c r="BO36" s="414" t="s">
        <v>3845</v>
      </c>
      <c r="BP36" s="605"/>
      <c r="BQ36" s="622"/>
      <c r="BR36" s="400" t="s">
        <v>3845</v>
      </c>
      <c r="BS36" s="605"/>
      <c r="BT36" s="622"/>
      <c r="BU36" s="400" t="s">
        <v>3845</v>
      </c>
    </row>
    <row r="37" spans="1:73" ht="15" customHeight="1">
      <c r="A37" s="394">
        <v>35</v>
      </c>
      <c r="AF37" s="605"/>
      <c r="AG37" s="607">
        <v>18</v>
      </c>
      <c r="AH37" s="395" t="s">
        <v>3844</v>
      </c>
      <c r="AL37" s="413"/>
      <c r="AM37" s="413"/>
      <c r="AN37" s="413"/>
      <c r="AO37" s="413"/>
      <c r="AP37" s="413"/>
      <c r="AQ37" s="413"/>
      <c r="AR37" s="413"/>
      <c r="AS37" s="413"/>
      <c r="AT37" s="413"/>
      <c r="AU37" s="605"/>
      <c r="AV37" s="620">
        <v>18</v>
      </c>
      <c r="AW37" s="395" t="s">
        <v>3844</v>
      </c>
      <c r="AX37" s="601"/>
      <c r="AY37" s="620">
        <v>18</v>
      </c>
      <c r="AZ37" s="395" t="s">
        <v>3844</v>
      </c>
      <c r="BA37" s="605"/>
      <c r="BB37" s="620">
        <v>18</v>
      </c>
      <c r="BC37" s="395" t="s">
        <v>3844</v>
      </c>
      <c r="BD37" s="413"/>
      <c r="BE37" s="413"/>
      <c r="BF37" s="413"/>
      <c r="BG37" s="601"/>
      <c r="BH37" s="620">
        <v>18</v>
      </c>
      <c r="BI37" s="395" t="s">
        <v>3844</v>
      </c>
      <c r="BJ37" s="413"/>
      <c r="BK37" s="413"/>
      <c r="BL37" s="413"/>
      <c r="BM37" s="413"/>
      <c r="BN37" s="413"/>
      <c r="BO37" s="413"/>
      <c r="BP37" s="605"/>
      <c r="BQ37" s="599">
        <v>18</v>
      </c>
      <c r="BR37" s="395" t="s">
        <v>3844</v>
      </c>
      <c r="BS37" s="605"/>
      <c r="BT37" s="599">
        <v>18</v>
      </c>
      <c r="BU37" s="395" t="s">
        <v>3844</v>
      </c>
    </row>
    <row r="38" spans="1:73" ht="15.6" customHeight="1" thickBot="1">
      <c r="A38" s="394">
        <v>36</v>
      </c>
      <c r="AF38" s="605"/>
      <c r="AG38" s="621"/>
      <c r="AH38" s="400" t="s">
        <v>3845</v>
      </c>
      <c r="AL38" s="413"/>
      <c r="AM38" s="413"/>
      <c r="AN38" s="413"/>
      <c r="AO38" s="413"/>
      <c r="AP38" s="413"/>
      <c r="AQ38" s="413"/>
      <c r="AR38" s="413"/>
      <c r="AS38" s="413"/>
      <c r="AT38" s="413"/>
      <c r="AU38" s="606"/>
      <c r="AV38" s="623"/>
      <c r="AW38" s="415" t="s">
        <v>3845</v>
      </c>
      <c r="AX38" s="602"/>
      <c r="AY38" s="623"/>
      <c r="AZ38" s="415" t="s">
        <v>3845</v>
      </c>
      <c r="BA38" s="605"/>
      <c r="BB38" s="623"/>
      <c r="BC38" s="415" t="s">
        <v>3845</v>
      </c>
      <c r="BD38" s="413"/>
      <c r="BE38" s="413"/>
      <c r="BF38" s="413"/>
      <c r="BG38" s="602"/>
      <c r="BH38" s="623"/>
      <c r="BI38" s="415" t="s">
        <v>3845</v>
      </c>
      <c r="BJ38" s="413"/>
      <c r="BK38" s="413"/>
      <c r="BL38" s="413"/>
      <c r="BM38" s="413"/>
      <c r="BN38" s="413"/>
      <c r="BO38" s="413"/>
      <c r="BP38" s="605"/>
      <c r="BQ38" s="622"/>
      <c r="BR38" s="400" t="s">
        <v>3845</v>
      </c>
      <c r="BS38" s="605"/>
      <c r="BT38" s="622"/>
      <c r="BU38" s="400" t="s">
        <v>3845</v>
      </c>
    </row>
    <row r="39" spans="1:73" ht="15" customHeight="1">
      <c r="AF39" s="605"/>
      <c r="AG39" s="599">
        <v>19</v>
      </c>
      <c r="AH39" s="395" t="s">
        <v>3844</v>
      </c>
      <c r="AL39" s="413"/>
      <c r="AM39" s="413"/>
      <c r="AN39" s="413"/>
      <c r="AO39" s="413"/>
      <c r="AP39" s="413"/>
      <c r="AQ39" s="413"/>
      <c r="AR39" s="413"/>
      <c r="AS39" s="413"/>
      <c r="AT39" s="413"/>
      <c r="AU39" s="413"/>
      <c r="AV39" s="413"/>
      <c r="AW39" s="413"/>
      <c r="AX39" s="413"/>
      <c r="AY39" s="413"/>
      <c r="BA39" s="413"/>
      <c r="BB39" s="413"/>
      <c r="BC39" s="413"/>
      <c r="BD39" s="413"/>
      <c r="BE39" s="413"/>
      <c r="BF39" s="413"/>
      <c r="BG39" s="413"/>
      <c r="BH39" s="413"/>
      <c r="BJ39" s="413"/>
      <c r="BK39" s="413"/>
      <c r="BL39" s="413"/>
      <c r="BM39" s="413"/>
      <c r="BN39" s="413"/>
      <c r="BO39" s="413"/>
      <c r="BP39" s="605"/>
      <c r="BQ39" s="599">
        <v>19</v>
      </c>
      <c r="BR39" s="395" t="s">
        <v>3844</v>
      </c>
      <c r="BS39" s="605"/>
      <c r="BT39" s="599">
        <v>19</v>
      </c>
      <c r="BU39" s="395" t="s">
        <v>3844</v>
      </c>
    </row>
    <row r="40" spans="1:73" ht="15.6" customHeight="1">
      <c r="AF40" s="605"/>
      <c r="AG40" s="592"/>
      <c r="AH40" s="400" t="s">
        <v>3845</v>
      </c>
      <c r="AL40" s="413"/>
      <c r="AM40" s="413"/>
      <c r="AN40" s="413"/>
      <c r="AO40" s="413"/>
      <c r="AP40" s="413"/>
      <c r="AQ40" s="413"/>
      <c r="AR40" s="413"/>
      <c r="AS40" s="413"/>
      <c r="AT40" s="413"/>
      <c r="AU40" s="413"/>
      <c r="AV40" s="413"/>
      <c r="AX40" s="413"/>
      <c r="AY40" s="413"/>
      <c r="BA40" s="413"/>
      <c r="BB40" s="413"/>
      <c r="BD40" s="413"/>
      <c r="BE40" s="413"/>
      <c r="BG40" s="413"/>
      <c r="BH40" s="413"/>
      <c r="BJ40" s="413"/>
      <c r="BK40" s="413"/>
      <c r="BL40" s="413"/>
      <c r="BM40" s="413"/>
      <c r="BN40" s="413"/>
      <c r="BO40" s="413"/>
      <c r="BP40" s="605"/>
      <c r="BQ40" s="622"/>
      <c r="BR40" s="400" t="s">
        <v>3845</v>
      </c>
      <c r="BS40" s="605"/>
      <c r="BT40" s="622"/>
      <c r="BU40" s="400" t="s">
        <v>3845</v>
      </c>
    </row>
    <row r="41" spans="1:73" ht="15" customHeight="1">
      <c r="AF41" s="605"/>
      <c r="AG41" s="607">
        <v>20</v>
      </c>
      <c r="AH41" s="395" t="s">
        <v>3844</v>
      </c>
      <c r="AL41" s="413"/>
      <c r="AM41" s="413"/>
      <c r="AN41" s="413"/>
      <c r="AO41" s="413"/>
      <c r="AP41" s="413"/>
      <c r="AQ41" s="413"/>
      <c r="AR41" s="413"/>
      <c r="AS41" s="413"/>
      <c r="AU41" s="413"/>
      <c r="AV41" s="413"/>
      <c r="AX41" s="413"/>
      <c r="AY41" s="413"/>
      <c r="BA41" s="413"/>
      <c r="BB41" s="413"/>
      <c r="BD41" s="413"/>
      <c r="BE41" s="413"/>
      <c r="BG41" s="413"/>
      <c r="BH41" s="413"/>
      <c r="BJ41" s="413"/>
      <c r="BK41" s="413"/>
      <c r="BM41" s="413"/>
      <c r="BN41" s="413"/>
      <c r="BP41" s="605"/>
      <c r="BQ41" s="599">
        <v>20</v>
      </c>
      <c r="BR41" s="395" t="s">
        <v>3844</v>
      </c>
      <c r="BS41" s="605"/>
      <c r="BT41" s="599">
        <v>20</v>
      </c>
      <c r="BU41" s="395" t="s">
        <v>3844</v>
      </c>
    </row>
    <row r="42" spans="1:73" ht="15" customHeight="1" thickBot="1">
      <c r="AF42" s="605"/>
      <c r="AG42" s="621"/>
      <c r="AH42" s="400" t="s">
        <v>3845</v>
      </c>
      <c r="AL42" s="413"/>
      <c r="AM42" s="413"/>
      <c r="AN42" s="413"/>
      <c r="AO42" s="413"/>
      <c r="AP42" s="413"/>
      <c r="AQ42" s="413"/>
      <c r="AR42" s="413"/>
      <c r="AS42" s="413"/>
      <c r="AU42" s="413"/>
      <c r="AV42" s="413"/>
      <c r="AX42" s="413"/>
      <c r="AY42" s="413"/>
      <c r="BA42" s="413"/>
      <c r="BB42" s="413"/>
      <c r="BD42" s="413"/>
      <c r="BE42" s="413"/>
      <c r="BG42" s="413"/>
      <c r="BH42" s="413"/>
      <c r="BJ42" s="413"/>
      <c r="BK42" s="413"/>
      <c r="BM42" s="413"/>
      <c r="BN42" s="413"/>
      <c r="BP42" s="606"/>
      <c r="BQ42" s="618"/>
      <c r="BR42" s="415" t="s">
        <v>3845</v>
      </c>
      <c r="BS42" s="606"/>
      <c r="BT42" s="618"/>
      <c r="BU42" s="415" t="s">
        <v>3845</v>
      </c>
    </row>
    <row r="43" spans="1:73" ht="15.6" customHeight="1">
      <c r="AF43" s="605"/>
      <c r="AG43" s="599">
        <v>21</v>
      </c>
      <c r="AH43" s="395" t="s">
        <v>3844</v>
      </c>
      <c r="AL43" s="413"/>
      <c r="AM43" s="413"/>
      <c r="AN43" s="413"/>
      <c r="AO43" s="413"/>
      <c r="AP43" s="413"/>
      <c r="AQ43" s="413"/>
      <c r="AR43" s="413"/>
      <c r="AS43" s="413"/>
      <c r="AU43" s="413"/>
      <c r="AV43" s="413"/>
      <c r="AX43" s="413"/>
      <c r="AY43" s="413"/>
      <c r="BA43" s="413"/>
      <c r="BB43" s="413"/>
      <c r="BD43" s="413"/>
      <c r="BE43" s="413"/>
      <c r="BG43" s="413"/>
      <c r="BH43" s="413"/>
      <c r="BJ43" s="413"/>
      <c r="BK43" s="413"/>
      <c r="BM43" s="413"/>
      <c r="BN43" s="413"/>
      <c r="BP43" s="413"/>
      <c r="BQ43" s="413"/>
      <c r="BS43" s="413"/>
      <c r="BT43" s="413"/>
    </row>
    <row r="44" spans="1:73" ht="15.6" customHeight="1" thickBot="1">
      <c r="AF44" s="606"/>
      <c r="AG44" s="618"/>
      <c r="AH44" s="415" t="s">
        <v>3845</v>
      </c>
      <c r="AL44" s="413"/>
      <c r="AM44" s="413"/>
      <c r="AN44" s="413"/>
      <c r="AO44" s="413"/>
      <c r="AP44" s="413"/>
      <c r="AQ44" s="413"/>
      <c r="AR44" s="413"/>
      <c r="AS44" s="413"/>
      <c r="AU44" s="413"/>
      <c r="AV44" s="413"/>
      <c r="AX44" s="413"/>
      <c r="AY44" s="413"/>
      <c r="BA44" s="413"/>
      <c r="BB44" s="413"/>
      <c r="BD44" s="413"/>
      <c r="BE44" s="413"/>
      <c r="BG44" s="413"/>
      <c r="BH44" s="413"/>
      <c r="BJ44" s="413"/>
      <c r="BK44" s="413"/>
      <c r="BM44" s="413"/>
      <c r="BN44" s="413"/>
      <c r="BP44" s="413"/>
      <c r="BQ44" s="413"/>
      <c r="BS44" s="413"/>
      <c r="BT44" s="413"/>
    </row>
    <row r="45" spans="1:73" ht="15" customHeight="1">
      <c r="AF45" s="413"/>
      <c r="AG45" s="413"/>
      <c r="AL45" s="413"/>
      <c r="AM45" s="413"/>
      <c r="AN45" s="413"/>
      <c r="AO45" s="413"/>
      <c r="AP45" s="413"/>
      <c r="AQ45" s="413"/>
      <c r="AR45" s="413"/>
      <c r="AS45" s="413"/>
      <c r="AU45" s="413"/>
      <c r="AV45" s="413"/>
      <c r="AX45" s="413"/>
      <c r="AY45" s="413"/>
      <c r="BA45" s="413"/>
      <c r="BB45" s="413"/>
      <c r="BD45" s="413"/>
      <c r="BE45" s="413"/>
      <c r="BG45" s="413"/>
      <c r="BH45" s="413"/>
      <c r="BJ45" s="413"/>
      <c r="BK45" s="413"/>
      <c r="BM45" s="413"/>
      <c r="BN45" s="413"/>
      <c r="BP45" s="413"/>
      <c r="BQ45" s="413"/>
      <c r="BS45" s="413"/>
      <c r="BT45" s="413"/>
    </row>
    <row r="46" spans="1:73">
      <c r="AF46" s="413"/>
      <c r="AG46" s="413"/>
      <c r="AL46" s="413"/>
      <c r="AM46" s="413"/>
      <c r="AN46" s="413"/>
      <c r="AO46" s="413"/>
      <c r="AP46" s="413"/>
      <c r="AQ46" s="413"/>
      <c r="AR46" s="413"/>
      <c r="AS46" s="413"/>
      <c r="AU46" s="413"/>
      <c r="AV46" s="413"/>
      <c r="AX46" s="413"/>
      <c r="AY46" s="413"/>
      <c r="BA46" s="413"/>
      <c r="BB46" s="413"/>
      <c r="BD46" s="413"/>
      <c r="BE46" s="413"/>
      <c r="BG46" s="413"/>
      <c r="BH46" s="413"/>
      <c r="BJ46" s="413"/>
      <c r="BK46" s="413"/>
      <c r="BM46" s="413"/>
      <c r="BN46" s="413"/>
      <c r="BP46" s="413"/>
      <c r="BQ46" s="413"/>
      <c r="BS46" s="413"/>
      <c r="BT46" s="413"/>
    </row>
    <row r="47" spans="1:73">
      <c r="AF47" s="413"/>
      <c r="AG47" s="413"/>
      <c r="AL47" s="413"/>
      <c r="AM47" s="413"/>
      <c r="AN47" s="413"/>
      <c r="AO47" s="413"/>
      <c r="AP47" s="413"/>
      <c r="AQ47" s="413"/>
      <c r="AR47" s="413"/>
      <c r="AS47" s="413"/>
      <c r="AU47" s="413"/>
      <c r="AV47" s="413"/>
      <c r="AX47" s="413"/>
      <c r="AY47" s="413"/>
      <c r="BA47" s="413"/>
      <c r="BB47" s="413"/>
      <c r="BD47" s="413"/>
      <c r="BE47" s="413"/>
      <c r="BG47" s="413"/>
      <c r="BH47" s="413"/>
      <c r="BJ47" s="413"/>
      <c r="BK47" s="413"/>
      <c r="BM47" s="413"/>
      <c r="BN47" s="413"/>
      <c r="BP47" s="413"/>
      <c r="BQ47" s="413"/>
      <c r="BS47" s="413"/>
      <c r="BT47" s="413"/>
    </row>
    <row r="48" spans="1:73" ht="15" customHeight="1">
      <c r="AF48" s="413"/>
      <c r="AG48" s="413"/>
      <c r="AL48" s="413"/>
      <c r="AM48" s="413"/>
      <c r="AN48" s="413"/>
      <c r="AO48" s="413"/>
      <c r="AP48" s="413"/>
      <c r="AQ48" s="413"/>
      <c r="AR48" s="413"/>
      <c r="AS48" s="413"/>
      <c r="AU48" s="413"/>
      <c r="AV48" s="413"/>
      <c r="AX48" s="413"/>
      <c r="AY48" s="413"/>
      <c r="BA48" s="413"/>
      <c r="BB48" s="413"/>
      <c r="BD48" s="413"/>
      <c r="BE48" s="413"/>
      <c r="BG48" s="413"/>
      <c r="BH48" s="413"/>
      <c r="BJ48" s="413"/>
      <c r="BK48" s="413"/>
      <c r="BM48" s="413"/>
      <c r="BN48" s="413"/>
      <c r="BP48" s="413"/>
      <c r="BQ48" s="413"/>
      <c r="BS48" s="413"/>
      <c r="BT48" s="413"/>
    </row>
    <row r="49" spans="32:72" ht="15" customHeight="1">
      <c r="AF49" s="413"/>
      <c r="AG49" s="413"/>
      <c r="AL49" s="413"/>
      <c r="AM49" s="413"/>
      <c r="AN49" s="413"/>
      <c r="AO49" s="413"/>
      <c r="AP49" s="413"/>
      <c r="AQ49" s="413"/>
      <c r="AR49" s="413"/>
      <c r="AS49" s="413"/>
      <c r="AU49" s="413"/>
      <c r="AV49" s="413"/>
      <c r="AX49" s="413"/>
      <c r="AY49" s="413"/>
      <c r="BA49" s="413"/>
      <c r="BB49" s="413"/>
      <c r="BD49" s="413"/>
      <c r="BE49" s="413"/>
      <c r="BG49" s="413"/>
      <c r="BH49" s="413"/>
      <c r="BJ49" s="413"/>
      <c r="BK49" s="413"/>
      <c r="BM49" s="413"/>
      <c r="BN49" s="413"/>
      <c r="BP49" s="413"/>
      <c r="BQ49" s="413"/>
      <c r="BS49" s="413"/>
      <c r="BT49" s="413"/>
    </row>
    <row r="50" spans="32:72" ht="15.6" customHeight="1">
      <c r="AF50" s="413"/>
      <c r="AG50" s="413"/>
      <c r="AL50" s="413"/>
      <c r="AM50" s="413"/>
      <c r="AN50" s="413"/>
      <c r="AO50" s="413"/>
      <c r="AP50" s="413"/>
      <c r="AQ50" s="413"/>
      <c r="AR50" s="413"/>
      <c r="AS50" s="413"/>
      <c r="AU50" s="413"/>
      <c r="AV50" s="413"/>
      <c r="AX50" s="413"/>
      <c r="AY50" s="413"/>
      <c r="BA50" s="413"/>
      <c r="BB50" s="413"/>
      <c r="BD50" s="413"/>
      <c r="BE50" s="413"/>
      <c r="BG50" s="413"/>
      <c r="BH50" s="413"/>
      <c r="BJ50" s="413"/>
      <c r="BK50" s="413"/>
      <c r="BM50" s="413"/>
      <c r="BN50" s="413"/>
      <c r="BP50" s="413"/>
      <c r="BQ50" s="413"/>
      <c r="BS50" s="413"/>
      <c r="BT50" s="413"/>
    </row>
    <row r="51" spans="32:72">
      <c r="AF51" s="413"/>
      <c r="AG51" s="413"/>
      <c r="AL51" s="413"/>
      <c r="AM51" s="413"/>
      <c r="AN51" s="413"/>
      <c r="AO51" s="413"/>
      <c r="AP51" s="413"/>
      <c r="AQ51" s="413"/>
      <c r="AR51" s="413"/>
      <c r="AS51" s="413"/>
      <c r="AU51" s="413"/>
      <c r="AV51" s="413"/>
      <c r="AX51" s="413"/>
      <c r="AY51" s="413"/>
      <c r="BA51" s="413"/>
      <c r="BB51" s="413"/>
      <c r="BD51" s="413"/>
      <c r="BE51" s="413"/>
      <c r="BG51" s="413"/>
      <c r="BH51" s="413"/>
      <c r="BJ51" s="413"/>
      <c r="BK51" s="413"/>
      <c r="BM51" s="413"/>
      <c r="BN51" s="413"/>
      <c r="BP51" s="413"/>
      <c r="BQ51" s="413"/>
      <c r="BS51" s="413"/>
      <c r="BT51" s="413"/>
    </row>
    <row r="52" spans="32:72">
      <c r="AF52" s="413"/>
      <c r="AG52" s="413"/>
      <c r="AL52" s="413"/>
      <c r="AM52" s="413"/>
      <c r="AN52" s="413"/>
      <c r="AO52" s="413"/>
      <c r="AP52" s="413"/>
      <c r="AQ52" s="413"/>
      <c r="AR52" s="413"/>
      <c r="AS52" s="413"/>
      <c r="AU52" s="413"/>
      <c r="AV52" s="413"/>
      <c r="AX52" s="413"/>
      <c r="AY52" s="413"/>
      <c r="BA52" s="413"/>
      <c r="BB52" s="413"/>
      <c r="BD52" s="413"/>
      <c r="BE52" s="413"/>
      <c r="BG52" s="413"/>
      <c r="BH52" s="413"/>
      <c r="BJ52" s="413"/>
      <c r="BK52" s="413"/>
      <c r="BM52" s="413"/>
      <c r="BN52" s="413"/>
      <c r="BP52" s="413"/>
      <c r="BQ52" s="413"/>
      <c r="BS52" s="413"/>
      <c r="BT52" s="413"/>
    </row>
    <row r="53" spans="32:72" ht="15.6" customHeight="1">
      <c r="AF53" s="413"/>
      <c r="AG53" s="413"/>
      <c r="AL53" s="413"/>
      <c r="AM53" s="413"/>
      <c r="AN53" s="413"/>
      <c r="AO53" s="413"/>
      <c r="AP53" s="413"/>
      <c r="AQ53" s="413"/>
      <c r="AR53" s="413"/>
      <c r="AS53" s="413"/>
      <c r="AU53" s="413"/>
      <c r="AV53" s="413"/>
      <c r="AX53" s="413"/>
      <c r="AY53" s="413"/>
      <c r="BA53" s="413"/>
      <c r="BB53" s="413"/>
      <c r="BD53" s="413"/>
      <c r="BE53" s="413"/>
      <c r="BG53" s="413"/>
      <c r="BH53" s="413"/>
      <c r="BJ53" s="413"/>
      <c r="BK53" s="413"/>
      <c r="BM53" s="413"/>
      <c r="BN53" s="413"/>
      <c r="BP53" s="413"/>
      <c r="BQ53" s="413"/>
      <c r="BS53" s="413"/>
      <c r="BT53" s="413"/>
    </row>
    <row r="54" spans="32:72" ht="15" customHeight="1">
      <c r="AF54" s="413"/>
      <c r="AG54" s="413"/>
      <c r="AL54" s="413"/>
      <c r="AM54" s="413"/>
      <c r="AN54" s="413"/>
      <c r="AO54" s="413"/>
      <c r="AP54" s="413"/>
      <c r="AQ54" s="413"/>
      <c r="AR54" s="413"/>
      <c r="AS54" s="413"/>
      <c r="AU54" s="413"/>
      <c r="AV54" s="413"/>
      <c r="AX54" s="413"/>
      <c r="AY54" s="413"/>
      <c r="BA54" s="413"/>
      <c r="BB54" s="413"/>
      <c r="BD54" s="413"/>
      <c r="BE54" s="413"/>
      <c r="BG54" s="413"/>
      <c r="BH54" s="413"/>
      <c r="BJ54" s="413"/>
      <c r="BK54" s="413"/>
      <c r="BM54" s="413"/>
      <c r="BN54" s="413"/>
      <c r="BP54" s="413"/>
      <c r="BQ54" s="413"/>
      <c r="BS54" s="413"/>
      <c r="BT54" s="413"/>
    </row>
    <row r="55" spans="32:72" ht="15" customHeight="1">
      <c r="AF55" s="413"/>
      <c r="AG55" s="413"/>
      <c r="AL55" s="413"/>
      <c r="AM55" s="413"/>
      <c r="AN55" s="413"/>
      <c r="AO55" s="413"/>
      <c r="AP55" s="413"/>
      <c r="AQ55" s="413"/>
      <c r="AR55" s="413"/>
      <c r="AS55" s="413"/>
      <c r="AU55" s="413"/>
      <c r="AV55" s="413"/>
      <c r="AX55" s="413"/>
      <c r="AY55" s="413"/>
      <c r="BA55" s="413"/>
      <c r="BB55" s="413"/>
      <c r="BD55" s="413"/>
      <c r="BE55" s="413"/>
      <c r="BG55" s="413"/>
      <c r="BH55" s="413"/>
      <c r="BJ55" s="413"/>
      <c r="BK55" s="413"/>
      <c r="BM55" s="413"/>
      <c r="BN55" s="413"/>
      <c r="BP55" s="413"/>
      <c r="BQ55" s="413"/>
      <c r="BS55" s="413"/>
      <c r="BT55" s="413"/>
    </row>
    <row r="56" spans="32:72">
      <c r="AF56" s="413"/>
      <c r="AG56" s="413"/>
      <c r="AL56" s="413"/>
      <c r="AM56" s="413"/>
      <c r="AN56" s="413"/>
      <c r="AO56" s="413"/>
      <c r="AP56" s="413"/>
      <c r="AQ56" s="413"/>
      <c r="AR56" s="413"/>
      <c r="AS56" s="413"/>
      <c r="AU56" s="413"/>
      <c r="AV56" s="413"/>
      <c r="AX56" s="413"/>
      <c r="AY56" s="413"/>
      <c r="BA56" s="413"/>
      <c r="BB56" s="413"/>
      <c r="BD56" s="413"/>
      <c r="BE56" s="413"/>
      <c r="BG56" s="413"/>
      <c r="BH56" s="413"/>
      <c r="BJ56" s="413"/>
      <c r="BK56" s="413"/>
      <c r="BM56" s="413"/>
      <c r="BN56" s="413"/>
      <c r="BP56" s="413"/>
      <c r="BQ56" s="413"/>
      <c r="BS56" s="413"/>
      <c r="BT56" s="413"/>
    </row>
    <row r="57" spans="32:72">
      <c r="AF57" s="413"/>
      <c r="AG57" s="413"/>
      <c r="AL57" s="413"/>
      <c r="AM57" s="413"/>
      <c r="AN57" s="413"/>
      <c r="AO57" s="413"/>
      <c r="AP57" s="413"/>
      <c r="AQ57" s="413"/>
      <c r="AR57" s="413"/>
      <c r="AS57" s="413"/>
      <c r="AU57" s="413"/>
      <c r="AV57" s="413"/>
      <c r="AX57" s="413"/>
      <c r="AY57" s="413"/>
      <c r="BA57" s="413"/>
      <c r="BB57" s="413"/>
      <c r="BD57" s="413"/>
      <c r="BE57" s="413"/>
      <c r="BG57" s="413"/>
      <c r="BH57" s="413"/>
      <c r="BJ57" s="413"/>
      <c r="BK57" s="413"/>
      <c r="BM57" s="413"/>
      <c r="BN57" s="413"/>
      <c r="BP57" s="413"/>
      <c r="BQ57" s="413"/>
      <c r="BS57" s="413"/>
      <c r="BT57" s="413"/>
    </row>
    <row r="58" spans="32:72" ht="15" customHeight="1">
      <c r="AF58" s="413"/>
      <c r="AG58" s="413"/>
      <c r="AL58" s="413"/>
      <c r="AM58" s="413"/>
      <c r="AN58" s="413"/>
      <c r="AO58" s="413"/>
      <c r="AP58" s="413"/>
      <c r="AQ58" s="413"/>
      <c r="AR58" s="413"/>
      <c r="AS58" s="413"/>
      <c r="AU58" s="413"/>
      <c r="AV58" s="413"/>
      <c r="AX58" s="413"/>
      <c r="AY58" s="413"/>
      <c r="BA58" s="413"/>
      <c r="BB58" s="413"/>
      <c r="BD58" s="413"/>
      <c r="BE58" s="413"/>
      <c r="BG58" s="413"/>
      <c r="BH58" s="413"/>
      <c r="BJ58" s="413"/>
      <c r="BK58" s="413"/>
      <c r="BM58" s="413"/>
      <c r="BN58" s="413"/>
      <c r="BP58" s="413"/>
      <c r="BQ58" s="413"/>
      <c r="BS58" s="413"/>
      <c r="BT58" s="413"/>
    </row>
    <row r="59" spans="32:72" ht="15.6" customHeight="1">
      <c r="AF59" s="413"/>
      <c r="AG59" s="413"/>
      <c r="AL59" s="413"/>
      <c r="AM59" s="413"/>
      <c r="AN59" s="413"/>
      <c r="AO59" s="413"/>
      <c r="AP59" s="413"/>
      <c r="AQ59" s="413"/>
      <c r="AR59" s="413"/>
      <c r="AS59" s="413"/>
      <c r="AU59" s="413"/>
      <c r="AV59" s="413"/>
      <c r="AX59" s="413"/>
      <c r="AY59" s="413"/>
      <c r="BA59" s="413"/>
      <c r="BB59" s="413"/>
      <c r="BD59" s="413"/>
      <c r="BE59" s="413"/>
      <c r="BG59" s="413"/>
      <c r="BH59" s="413"/>
      <c r="BJ59" s="413"/>
      <c r="BK59" s="413"/>
      <c r="BM59" s="413"/>
      <c r="BN59" s="413"/>
      <c r="BP59" s="413"/>
      <c r="BQ59" s="413"/>
      <c r="BS59" s="413"/>
      <c r="BT59" s="413"/>
    </row>
    <row r="60" spans="32:72" ht="15" customHeight="1">
      <c r="AF60" s="413"/>
      <c r="AG60" s="413"/>
      <c r="AL60" s="413"/>
      <c r="AM60" s="413"/>
      <c r="AN60" s="413"/>
      <c r="AO60" s="413"/>
      <c r="AP60" s="413"/>
      <c r="AQ60" s="413"/>
    </row>
    <row r="61" spans="32:72">
      <c r="AF61" s="413"/>
      <c r="AG61" s="413"/>
      <c r="AL61" s="413"/>
      <c r="AM61" s="413"/>
      <c r="AN61" s="413"/>
      <c r="AO61" s="413"/>
      <c r="AP61" s="413"/>
      <c r="AQ61" s="413"/>
    </row>
    <row r="62" spans="32:72">
      <c r="AF62" s="413"/>
      <c r="AG62" s="413"/>
      <c r="AL62" s="413"/>
      <c r="AM62" s="413"/>
      <c r="AN62" s="413"/>
      <c r="AO62" s="413"/>
      <c r="AP62" s="413"/>
      <c r="AQ62" s="413"/>
    </row>
    <row r="63" spans="32:72">
      <c r="AF63" s="413"/>
      <c r="AG63" s="413"/>
    </row>
    <row r="64" spans="32:72">
      <c r="AF64" s="413"/>
      <c r="AG64" s="413"/>
    </row>
    <row r="65" spans="32:33">
      <c r="AF65" s="413"/>
      <c r="AG65" s="413"/>
    </row>
  </sheetData>
  <mergeCells count="324">
    <mergeCell ref="AG37:AG38"/>
    <mergeCell ref="AV37:AV38"/>
    <mergeCell ref="AY37:AY38"/>
    <mergeCell ref="BB37:BB38"/>
    <mergeCell ref="BH37:BH38"/>
    <mergeCell ref="AG43:AG44"/>
    <mergeCell ref="BQ37:BQ38"/>
    <mergeCell ref="BT37:BT38"/>
    <mergeCell ref="AG39:AG40"/>
    <mergeCell ref="BQ39:BQ40"/>
    <mergeCell ref="BT39:BT40"/>
    <mergeCell ref="AG41:AG42"/>
    <mergeCell ref="BQ41:BQ42"/>
    <mergeCell ref="BT41:BT42"/>
    <mergeCell ref="BQ33:BQ34"/>
    <mergeCell ref="BT33:BT34"/>
    <mergeCell ref="AG35:AG36"/>
    <mergeCell ref="AS35:AS36"/>
    <mergeCell ref="AV35:AV36"/>
    <mergeCell ref="AY35:AY36"/>
    <mergeCell ref="BB35:BB36"/>
    <mergeCell ref="BE35:BE36"/>
    <mergeCell ref="BH35:BH36"/>
    <mergeCell ref="BK35:BK36"/>
    <mergeCell ref="BN35:BN36"/>
    <mergeCell ref="BQ35:BQ36"/>
    <mergeCell ref="BT35:BT36"/>
    <mergeCell ref="AG33:AG34"/>
    <mergeCell ref="AS33:AS34"/>
    <mergeCell ref="AV33:AV34"/>
    <mergeCell ref="AY33:AY34"/>
    <mergeCell ref="BB33:BB34"/>
    <mergeCell ref="BE33:BE34"/>
    <mergeCell ref="BH33:BH34"/>
    <mergeCell ref="BK33:BK34"/>
    <mergeCell ref="BN33:BN34"/>
    <mergeCell ref="BN29:BN30"/>
    <mergeCell ref="BQ29:BQ30"/>
    <mergeCell ref="BT29:BT30"/>
    <mergeCell ref="AG31:AG32"/>
    <mergeCell ref="AS31:AS32"/>
    <mergeCell ref="AV31:AV32"/>
    <mergeCell ref="AY31:AY32"/>
    <mergeCell ref="BB31:BB32"/>
    <mergeCell ref="BE31:BE32"/>
    <mergeCell ref="BH31:BH32"/>
    <mergeCell ref="BK31:BK32"/>
    <mergeCell ref="AG29:AG30"/>
    <mergeCell ref="AS29:AS30"/>
    <mergeCell ref="AV29:AV30"/>
    <mergeCell ref="AY29:AY30"/>
    <mergeCell ref="BB29:BB30"/>
    <mergeCell ref="BE29:BE30"/>
    <mergeCell ref="BN31:BN32"/>
    <mergeCell ref="BQ31:BQ32"/>
    <mergeCell ref="BT31:BT32"/>
    <mergeCell ref="C27:C29"/>
    <mergeCell ref="AG27:AG28"/>
    <mergeCell ref="AS27:AS28"/>
    <mergeCell ref="AV27:AV28"/>
    <mergeCell ref="AY27:AY28"/>
    <mergeCell ref="BB27:BB28"/>
    <mergeCell ref="BE27:BE28"/>
    <mergeCell ref="BH27:BH28"/>
    <mergeCell ref="BK27:BK28"/>
    <mergeCell ref="AM28:AM32"/>
    <mergeCell ref="AP28:AP32"/>
    <mergeCell ref="BH29:BH30"/>
    <mergeCell ref="BK29:BK30"/>
    <mergeCell ref="C24:C26"/>
    <mergeCell ref="AG25:AG26"/>
    <mergeCell ref="AS25:AS26"/>
    <mergeCell ref="AV25:AV26"/>
    <mergeCell ref="AY25:AY26"/>
    <mergeCell ref="BB25:BB26"/>
    <mergeCell ref="BE25:BE26"/>
    <mergeCell ref="BH25:BH26"/>
    <mergeCell ref="BK25:BK26"/>
    <mergeCell ref="BB23:BB24"/>
    <mergeCell ref="BE23:BE24"/>
    <mergeCell ref="BH23:BH24"/>
    <mergeCell ref="BK23:BK24"/>
    <mergeCell ref="BK21:BK22"/>
    <mergeCell ref="BN21:BN22"/>
    <mergeCell ref="BQ21:BQ22"/>
    <mergeCell ref="BT21:BT22"/>
    <mergeCell ref="AG23:AG24"/>
    <mergeCell ref="AM23:AM27"/>
    <mergeCell ref="AP23:AP27"/>
    <mergeCell ref="AS23:AS24"/>
    <mergeCell ref="AV23:AV24"/>
    <mergeCell ref="AY23:AY24"/>
    <mergeCell ref="BT23:BT24"/>
    <mergeCell ref="BN23:BN24"/>
    <mergeCell ref="BQ23:BQ24"/>
    <mergeCell ref="BN25:BN26"/>
    <mergeCell ref="BQ25:BQ26"/>
    <mergeCell ref="BT25:BT26"/>
    <mergeCell ref="BN27:BN28"/>
    <mergeCell ref="BQ27:BQ28"/>
    <mergeCell ref="BT27:BT28"/>
    <mergeCell ref="BQ19:BQ20"/>
    <mergeCell ref="BT19:BT20"/>
    <mergeCell ref="C21:C23"/>
    <mergeCell ref="AG21:AG22"/>
    <mergeCell ref="AS21:AS22"/>
    <mergeCell ref="AV21:AV22"/>
    <mergeCell ref="AY21:AY22"/>
    <mergeCell ref="BB21:BB22"/>
    <mergeCell ref="BE21:BE22"/>
    <mergeCell ref="BH21:BH22"/>
    <mergeCell ref="AY19:AY20"/>
    <mergeCell ref="BB19:BB20"/>
    <mergeCell ref="BE19:BE20"/>
    <mergeCell ref="BH19:BH20"/>
    <mergeCell ref="BK19:BK20"/>
    <mergeCell ref="BN19:BN20"/>
    <mergeCell ref="AM18:AM22"/>
    <mergeCell ref="AP18:AP22"/>
    <mergeCell ref="AG19:AG20"/>
    <mergeCell ref="AJ19:AJ22"/>
    <mergeCell ref="AS19:AS20"/>
    <mergeCell ref="AV19:AV20"/>
    <mergeCell ref="BQ17:BQ18"/>
    <mergeCell ref="BT17:BT18"/>
    <mergeCell ref="C18:C20"/>
    <mergeCell ref="F18:F20"/>
    <mergeCell ref="I18:I20"/>
    <mergeCell ref="L18:L20"/>
    <mergeCell ref="O18:O20"/>
    <mergeCell ref="R18:R20"/>
    <mergeCell ref="U18:U20"/>
    <mergeCell ref="X18:X20"/>
    <mergeCell ref="BT15:BT16"/>
    <mergeCell ref="AG17:AG18"/>
    <mergeCell ref="AS17:AS18"/>
    <mergeCell ref="AV17:AV18"/>
    <mergeCell ref="AY17:AY18"/>
    <mergeCell ref="BB17:BB18"/>
    <mergeCell ref="BE17:BE18"/>
    <mergeCell ref="BH17:BH18"/>
    <mergeCell ref="BK17:BK18"/>
    <mergeCell ref="BN17:BN18"/>
    <mergeCell ref="BB15:BB16"/>
    <mergeCell ref="BE15:BE16"/>
    <mergeCell ref="BH15:BH16"/>
    <mergeCell ref="BK15:BK16"/>
    <mergeCell ref="BN15:BN16"/>
    <mergeCell ref="BQ15:BQ16"/>
    <mergeCell ref="BT13:BT14"/>
    <mergeCell ref="C15:C17"/>
    <mergeCell ref="F15:F17"/>
    <mergeCell ref="I15:I17"/>
    <mergeCell ref="L15:L17"/>
    <mergeCell ref="O15:O17"/>
    <mergeCell ref="R15:R17"/>
    <mergeCell ref="U15:U17"/>
    <mergeCell ref="X15:X17"/>
    <mergeCell ref="AG15:AG16"/>
    <mergeCell ref="BB13:BB14"/>
    <mergeCell ref="BE13:BE14"/>
    <mergeCell ref="BH13:BH14"/>
    <mergeCell ref="BK13:BK14"/>
    <mergeCell ref="BN13:BN14"/>
    <mergeCell ref="BQ13:BQ14"/>
    <mergeCell ref="AG13:AG14"/>
    <mergeCell ref="AM13:AM17"/>
    <mergeCell ref="AP13:AP17"/>
    <mergeCell ref="AS13:AS14"/>
    <mergeCell ref="AV13:AV14"/>
    <mergeCell ref="AY13:AY14"/>
    <mergeCell ref="AJ15:AJ18"/>
    <mergeCell ref="AS15:AS16"/>
    <mergeCell ref="C9:C11"/>
    <mergeCell ref="F9:F11"/>
    <mergeCell ref="I9:I11"/>
    <mergeCell ref="L9:L11"/>
    <mergeCell ref="O9:O11"/>
    <mergeCell ref="R9:R11"/>
    <mergeCell ref="AV15:AV16"/>
    <mergeCell ref="AY15:AY16"/>
    <mergeCell ref="BQ11:BQ12"/>
    <mergeCell ref="C12:C14"/>
    <mergeCell ref="F12:F14"/>
    <mergeCell ref="I12:I14"/>
    <mergeCell ref="L12:L14"/>
    <mergeCell ref="O12:O14"/>
    <mergeCell ref="R12:R14"/>
    <mergeCell ref="U12:U14"/>
    <mergeCell ref="X12:X14"/>
    <mergeCell ref="AY11:AY12"/>
    <mergeCell ref="BB11:BB12"/>
    <mergeCell ref="BE11:BE12"/>
    <mergeCell ref="BH11:BH12"/>
    <mergeCell ref="BK11:BK12"/>
    <mergeCell ref="BN11:BN12"/>
    <mergeCell ref="BN7:BN8"/>
    <mergeCell ref="BQ7:BQ8"/>
    <mergeCell ref="BT7:BT8"/>
    <mergeCell ref="AD8:AD12"/>
    <mergeCell ref="AM8:AM12"/>
    <mergeCell ref="AP8:AP12"/>
    <mergeCell ref="AG9:AG10"/>
    <mergeCell ref="AS9:AS10"/>
    <mergeCell ref="AV9:AV10"/>
    <mergeCell ref="AY9:AY10"/>
    <mergeCell ref="BE9:BE10"/>
    <mergeCell ref="BH9:BH10"/>
    <mergeCell ref="BK9:BK10"/>
    <mergeCell ref="BN9:BN10"/>
    <mergeCell ref="BQ9:BQ10"/>
    <mergeCell ref="BT9:BT10"/>
    <mergeCell ref="BT11:BT12"/>
    <mergeCell ref="BQ5:BQ6"/>
    <mergeCell ref="BT5:BT6"/>
    <mergeCell ref="C6:C8"/>
    <mergeCell ref="F6:F8"/>
    <mergeCell ref="I6:I8"/>
    <mergeCell ref="L6:L8"/>
    <mergeCell ref="O6:O8"/>
    <mergeCell ref="R6:R8"/>
    <mergeCell ref="U6:U8"/>
    <mergeCell ref="X6:X8"/>
    <mergeCell ref="X3:X5"/>
    <mergeCell ref="Z3:Z11"/>
    <mergeCell ref="AA3:AA5"/>
    <mergeCell ref="AC3:AC17"/>
    <mergeCell ref="AD3:AD7"/>
    <mergeCell ref="AF3:AF44"/>
    <mergeCell ref="AA6:AA8"/>
    <mergeCell ref="X9:X11"/>
    <mergeCell ref="AA9:AA11"/>
    <mergeCell ref="AD13:AD17"/>
    <mergeCell ref="O3:O5"/>
    <mergeCell ref="Q3:Q20"/>
    <mergeCell ref="R3:R5"/>
    <mergeCell ref="T3:T20"/>
    <mergeCell ref="BQ3:BQ4"/>
    <mergeCell ref="BS3:BS42"/>
    <mergeCell ref="BT3:BT4"/>
    <mergeCell ref="AG5:AG6"/>
    <mergeCell ref="AS5:AS6"/>
    <mergeCell ref="AV5:AV6"/>
    <mergeCell ref="AY5:AY6"/>
    <mergeCell ref="BB5:BB6"/>
    <mergeCell ref="BE5:BE6"/>
    <mergeCell ref="BH5:BH6"/>
    <mergeCell ref="BH3:BH4"/>
    <mergeCell ref="BJ3:BJ36"/>
    <mergeCell ref="BK3:BK4"/>
    <mergeCell ref="BM3:BM36"/>
    <mergeCell ref="BN3:BN4"/>
    <mergeCell ref="BP3:BP42"/>
    <mergeCell ref="BK5:BK6"/>
    <mergeCell ref="BN5:BN6"/>
    <mergeCell ref="BH7:BH8"/>
    <mergeCell ref="BK7:BK8"/>
    <mergeCell ref="AY3:AY4"/>
    <mergeCell ref="BA3:BA38"/>
    <mergeCell ref="BB3:BB4"/>
    <mergeCell ref="BD3:BD36"/>
    <mergeCell ref="BE3:BE4"/>
    <mergeCell ref="BG3:BG38"/>
    <mergeCell ref="AY7:AY8"/>
    <mergeCell ref="BB7:BB8"/>
    <mergeCell ref="BE7:BE8"/>
    <mergeCell ref="BB9:BB10"/>
    <mergeCell ref="AP3:AP7"/>
    <mergeCell ref="AR3:AR36"/>
    <mergeCell ref="AS3:AS4"/>
    <mergeCell ref="AU3:AU38"/>
    <mergeCell ref="AV3:AV4"/>
    <mergeCell ref="AX3:AX38"/>
    <mergeCell ref="AS7:AS8"/>
    <mergeCell ref="AV7:AV8"/>
    <mergeCell ref="AS11:AS12"/>
    <mergeCell ref="AV11:AV12"/>
    <mergeCell ref="AG3:AG4"/>
    <mergeCell ref="AI3:AI22"/>
    <mergeCell ref="AJ3:AJ6"/>
    <mergeCell ref="AL3:AL32"/>
    <mergeCell ref="AM3:AM7"/>
    <mergeCell ref="AO3:AO32"/>
    <mergeCell ref="AG7:AG8"/>
    <mergeCell ref="AJ7:AJ10"/>
    <mergeCell ref="AG11:AG12"/>
    <mergeCell ref="AJ11:AJ14"/>
    <mergeCell ref="U3:U5"/>
    <mergeCell ref="W3:W20"/>
    <mergeCell ref="U9:U11"/>
    <mergeCell ref="BS1:BU1"/>
    <mergeCell ref="B3:B29"/>
    <mergeCell ref="C3:C5"/>
    <mergeCell ref="E3:E20"/>
    <mergeCell ref="F3:F5"/>
    <mergeCell ref="H3:H20"/>
    <mergeCell ref="I3:I5"/>
    <mergeCell ref="K3:K20"/>
    <mergeCell ref="L3:L5"/>
    <mergeCell ref="N3:N20"/>
    <mergeCell ref="BA1:BC1"/>
    <mergeCell ref="BD1:BF1"/>
    <mergeCell ref="BG1:BI1"/>
    <mergeCell ref="BJ1:BL1"/>
    <mergeCell ref="BM1:BO1"/>
    <mergeCell ref="BP1:BR1"/>
    <mergeCell ref="AI1:AK1"/>
    <mergeCell ref="AL1:AN1"/>
    <mergeCell ref="AO1:AQ1"/>
    <mergeCell ref="AR1:AT1"/>
    <mergeCell ref="AU1:AW1"/>
    <mergeCell ref="AX1:AZ1"/>
    <mergeCell ref="Q1:S1"/>
    <mergeCell ref="T1:V1"/>
    <mergeCell ref="W1:Y1"/>
    <mergeCell ref="Z1:AB1"/>
    <mergeCell ref="AC1:AE1"/>
    <mergeCell ref="AF1:AH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A9C4-1B48-4D67-92C3-8F2CD68C796B}">
  <dimension ref="A1:D22"/>
  <sheetViews>
    <sheetView workbookViewId="0">
      <selection activeCell="I9" sqref="I9"/>
    </sheetView>
  </sheetViews>
  <sheetFormatPr defaultRowHeight="14.4"/>
  <cols>
    <col min="1" max="1" width="12.88671875" customWidth="1"/>
    <col min="2" max="2" width="17.44140625" customWidth="1"/>
    <col min="3" max="3" width="22.109375" customWidth="1"/>
    <col min="4" max="4" width="24.109375" customWidth="1"/>
  </cols>
  <sheetData>
    <row r="1" spans="1:4" s="628" customFormat="1" ht="15.6">
      <c r="A1" s="626" t="s">
        <v>3931</v>
      </c>
      <c r="B1" s="626" t="s">
        <v>3762</v>
      </c>
      <c r="C1" s="627" t="s">
        <v>3928</v>
      </c>
      <c r="D1" s="627" t="s">
        <v>3929</v>
      </c>
    </row>
    <row r="2" spans="1:4">
      <c r="A2" s="382" t="s">
        <v>3772</v>
      </c>
      <c r="B2" s="456" t="s">
        <v>3930</v>
      </c>
      <c r="C2" s="624" t="s">
        <v>3943</v>
      </c>
      <c r="D2" s="382" t="s">
        <v>3774</v>
      </c>
    </row>
    <row r="3" spans="1:4">
      <c r="B3" s="381"/>
      <c r="C3" s="381"/>
      <c r="D3" s="381"/>
    </row>
    <row r="4" spans="1:4">
      <c r="B4" s="381"/>
      <c r="C4" s="381"/>
      <c r="D4" s="381"/>
    </row>
    <row r="5" spans="1:4">
      <c r="B5" s="381"/>
      <c r="C5" s="381"/>
      <c r="D5" s="381"/>
    </row>
    <row r="6" spans="1:4">
      <c r="B6" s="381"/>
      <c r="C6" s="381"/>
      <c r="D6" s="381"/>
    </row>
    <row r="7" spans="1:4">
      <c r="B7" s="381"/>
      <c r="C7" s="381"/>
      <c r="D7" s="381"/>
    </row>
    <row r="8" spans="1:4">
      <c r="B8" s="381"/>
      <c r="C8" s="381"/>
      <c r="D8" s="381"/>
    </row>
    <row r="9" spans="1:4">
      <c r="B9" s="381"/>
      <c r="C9" s="381"/>
      <c r="D9" s="381"/>
    </row>
    <row r="10" spans="1:4">
      <c r="B10" s="381"/>
      <c r="C10" s="381"/>
      <c r="D10" s="381"/>
    </row>
    <row r="11" spans="1:4">
      <c r="B11" s="381"/>
      <c r="C11" s="381"/>
      <c r="D11" s="381"/>
    </row>
    <row r="12" spans="1:4">
      <c r="B12" s="381"/>
      <c r="C12" s="381"/>
      <c r="D12" s="381"/>
    </row>
    <row r="13" spans="1:4">
      <c r="B13" s="381"/>
      <c r="C13" s="381"/>
      <c r="D13" s="381"/>
    </row>
    <row r="14" spans="1:4">
      <c r="B14" s="381"/>
      <c r="C14" s="381"/>
      <c r="D14" s="381"/>
    </row>
    <row r="15" spans="1:4">
      <c r="B15" s="381"/>
      <c r="C15" s="381"/>
      <c r="D15" s="381"/>
    </row>
    <row r="16" spans="1:4">
      <c r="B16" s="381"/>
      <c r="C16" s="381"/>
      <c r="D16" s="381"/>
    </row>
    <row r="17" spans="2:4">
      <c r="B17" s="381"/>
      <c r="C17" s="381"/>
      <c r="D17" s="381"/>
    </row>
    <row r="18" spans="2:4">
      <c r="B18" s="381"/>
      <c r="C18" s="381"/>
      <c r="D18" s="381"/>
    </row>
    <row r="19" spans="2:4">
      <c r="B19" s="381"/>
      <c r="C19" s="381"/>
      <c r="D19" s="381"/>
    </row>
    <row r="20" spans="2:4">
      <c r="B20" s="381"/>
      <c r="C20" s="381"/>
      <c r="D20" s="381"/>
    </row>
    <row r="21" spans="2:4">
      <c r="B21" s="381"/>
      <c r="C21" s="381"/>
      <c r="D21" s="381"/>
    </row>
    <row r="22" spans="2:4">
      <c r="B22" s="381"/>
      <c r="C22" s="381"/>
      <c r="D22" s="3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20CF-8AD8-4548-A9C7-A1905ACE42E2}">
  <dimension ref="A1:H30"/>
  <sheetViews>
    <sheetView workbookViewId="0">
      <selection activeCell="J7" sqref="J7"/>
    </sheetView>
  </sheetViews>
  <sheetFormatPr defaultRowHeight="14.4"/>
  <cols>
    <col min="1" max="1" width="20.109375" customWidth="1"/>
    <col min="2" max="2" width="17.5546875" customWidth="1"/>
    <col min="3" max="3" width="21.5546875" customWidth="1"/>
    <col min="4" max="4" width="17.88671875" customWidth="1"/>
    <col min="5" max="5" width="16.44140625" customWidth="1"/>
    <col min="6" max="6" width="16.44140625" style="625" customWidth="1"/>
    <col min="7" max="7" width="22.33203125" style="625" customWidth="1"/>
    <col min="8" max="8" width="12.77734375" style="625" customWidth="1"/>
  </cols>
  <sheetData>
    <row r="1" spans="1:8" s="627" customFormat="1" ht="15.6">
      <c r="A1" s="626" t="s">
        <v>3762</v>
      </c>
      <c r="B1" s="626" t="s">
        <v>3763</v>
      </c>
      <c r="C1" s="627" t="s">
        <v>3764</v>
      </c>
      <c r="D1" s="627" t="s">
        <v>3924</v>
      </c>
      <c r="E1" s="627" t="s">
        <v>3925</v>
      </c>
      <c r="F1" s="627" t="s">
        <v>3932</v>
      </c>
      <c r="G1" s="627" t="s">
        <v>3927</v>
      </c>
      <c r="H1" s="627" t="s">
        <v>3926</v>
      </c>
    </row>
    <row r="2" spans="1:8">
      <c r="A2" s="382" t="s">
        <v>3773</v>
      </c>
      <c r="B2" s="382" t="s">
        <v>3760</v>
      </c>
      <c r="C2" s="382" t="s">
        <v>3787</v>
      </c>
      <c r="D2">
        <v>915</v>
      </c>
      <c r="E2">
        <v>108</v>
      </c>
      <c r="F2" s="625">
        <v>3</v>
      </c>
      <c r="G2" s="625">
        <v>185</v>
      </c>
      <c r="H2" s="625">
        <v>105</v>
      </c>
    </row>
    <row r="3" spans="1:8">
      <c r="A3" s="381" t="s">
        <v>3773</v>
      </c>
      <c r="B3" s="382" t="s">
        <v>3761</v>
      </c>
      <c r="C3" s="382" t="s">
        <v>3788</v>
      </c>
      <c r="D3">
        <v>915</v>
      </c>
      <c r="E3">
        <v>250</v>
      </c>
      <c r="F3" s="625">
        <v>3</v>
      </c>
      <c r="G3" s="625">
        <v>185</v>
      </c>
      <c r="H3" s="625">
        <v>50</v>
      </c>
    </row>
    <row r="4" spans="1:8">
      <c r="A4" s="381" t="s">
        <v>3773</v>
      </c>
      <c r="B4" s="382" t="s">
        <v>3765</v>
      </c>
      <c r="C4" s="382" t="s">
        <v>3789</v>
      </c>
      <c r="D4">
        <v>915</v>
      </c>
      <c r="E4">
        <v>340</v>
      </c>
      <c r="F4" s="625">
        <v>3</v>
      </c>
      <c r="G4" s="625">
        <v>185</v>
      </c>
      <c r="H4" s="625">
        <v>50</v>
      </c>
    </row>
    <row r="5" spans="1:8">
      <c r="A5" s="381" t="s">
        <v>3773</v>
      </c>
      <c r="B5" s="382" t="s">
        <v>3766</v>
      </c>
      <c r="C5" s="382" t="s">
        <v>3790</v>
      </c>
      <c r="D5">
        <v>915</v>
      </c>
      <c r="E5">
        <v>423</v>
      </c>
      <c r="F5" s="625">
        <v>3</v>
      </c>
      <c r="G5" s="625">
        <v>185</v>
      </c>
      <c r="H5" s="625">
        <v>50</v>
      </c>
    </row>
    <row r="6" spans="1:8">
      <c r="A6" s="381" t="s">
        <v>3773</v>
      </c>
      <c r="B6" s="382" t="s">
        <v>3767</v>
      </c>
      <c r="C6" s="382" t="s">
        <v>3791</v>
      </c>
      <c r="D6">
        <v>915</v>
      </c>
      <c r="E6">
        <v>510</v>
      </c>
      <c r="F6" s="625">
        <v>3</v>
      </c>
      <c r="G6" s="625">
        <v>185</v>
      </c>
      <c r="H6" s="625">
        <v>50</v>
      </c>
    </row>
    <row r="7" spans="1:8">
      <c r="A7" s="381" t="s">
        <v>3773</v>
      </c>
      <c r="B7" s="382" t="s">
        <v>3768</v>
      </c>
      <c r="C7" s="382" t="s">
        <v>3792</v>
      </c>
      <c r="D7">
        <v>915</v>
      </c>
      <c r="E7">
        <v>595</v>
      </c>
      <c r="F7" s="625">
        <v>3</v>
      </c>
      <c r="G7" s="625">
        <v>185</v>
      </c>
      <c r="H7" s="625">
        <v>50</v>
      </c>
    </row>
    <row r="8" spans="1:8">
      <c r="A8" s="381" t="s">
        <v>3773</v>
      </c>
      <c r="B8" s="382" t="s">
        <v>3769</v>
      </c>
      <c r="C8" s="382" t="s">
        <v>3793</v>
      </c>
      <c r="D8">
        <v>900</v>
      </c>
      <c r="E8">
        <v>680</v>
      </c>
      <c r="F8" s="625">
        <v>3</v>
      </c>
      <c r="G8" s="625">
        <v>185</v>
      </c>
      <c r="H8" s="625">
        <v>45</v>
      </c>
    </row>
    <row r="9" spans="1:8">
      <c r="A9" s="381" t="s">
        <v>3773</v>
      </c>
      <c r="B9" s="382" t="s">
        <v>3775</v>
      </c>
      <c r="C9" s="382" t="s">
        <v>3794</v>
      </c>
      <c r="D9">
        <v>915</v>
      </c>
      <c r="E9">
        <v>760</v>
      </c>
      <c r="F9" s="625">
        <v>3</v>
      </c>
      <c r="G9" s="625">
        <v>185</v>
      </c>
      <c r="H9" s="625">
        <v>50</v>
      </c>
    </row>
    <row r="10" spans="1:8">
      <c r="A10" s="381" t="s">
        <v>3773</v>
      </c>
      <c r="B10" s="382" t="s">
        <v>3795</v>
      </c>
      <c r="C10" s="382" t="s">
        <v>3797</v>
      </c>
      <c r="D10">
        <v>915</v>
      </c>
      <c r="E10">
        <v>850</v>
      </c>
      <c r="F10" s="625">
        <v>3</v>
      </c>
      <c r="G10" s="625">
        <v>185</v>
      </c>
      <c r="H10" s="625">
        <v>20</v>
      </c>
    </row>
    <row r="11" spans="1:8">
      <c r="A11" s="381" t="s">
        <v>3773</v>
      </c>
      <c r="B11" s="382" t="s">
        <v>3796</v>
      </c>
      <c r="C11" s="382" t="s">
        <v>3798</v>
      </c>
      <c r="D11">
        <v>915</v>
      </c>
      <c r="E11">
        <v>870</v>
      </c>
      <c r="F11" s="625">
        <v>5</v>
      </c>
      <c r="G11" s="625">
        <v>185</v>
      </c>
      <c r="H11" s="625">
        <v>20</v>
      </c>
    </row>
    <row r="12" spans="1:8">
      <c r="A12" s="381" t="s">
        <v>3773</v>
      </c>
      <c r="B12" s="382" t="s">
        <v>3776</v>
      </c>
      <c r="C12" s="382" t="s">
        <v>3799</v>
      </c>
      <c r="D12">
        <v>150</v>
      </c>
      <c r="E12">
        <v>890</v>
      </c>
      <c r="F12" s="625">
        <v>2</v>
      </c>
      <c r="G12" s="625">
        <v>700</v>
      </c>
      <c r="H12" s="625">
        <v>20</v>
      </c>
    </row>
    <row r="13" spans="1:8">
      <c r="A13" s="381" t="s">
        <v>3773</v>
      </c>
      <c r="B13" s="382" t="s">
        <v>3933</v>
      </c>
      <c r="C13" s="382" t="s">
        <v>3938</v>
      </c>
      <c r="D13">
        <v>650</v>
      </c>
      <c r="E13">
        <v>810</v>
      </c>
      <c r="F13" s="625">
        <v>4</v>
      </c>
      <c r="G13" s="625">
        <v>85</v>
      </c>
      <c r="H13" s="625">
        <v>50</v>
      </c>
    </row>
    <row r="14" spans="1:8">
      <c r="A14" s="381" t="s">
        <v>3773</v>
      </c>
      <c r="B14" s="382" t="s">
        <v>3934</v>
      </c>
      <c r="C14" s="382" t="s">
        <v>3939</v>
      </c>
      <c r="D14">
        <v>530</v>
      </c>
      <c r="E14">
        <v>810</v>
      </c>
      <c r="F14" s="625">
        <v>4</v>
      </c>
      <c r="G14" s="625">
        <v>85</v>
      </c>
      <c r="H14" s="625">
        <v>50</v>
      </c>
    </row>
    <row r="15" spans="1:8">
      <c r="A15" s="381" t="s">
        <v>3773</v>
      </c>
      <c r="B15" s="382" t="s">
        <v>3935</v>
      </c>
      <c r="C15" s="382" t="s">
        <v>3940</v>
      </c>
      <c r="D15">
        <v>415</v>
      </c>
      <c r="E15">
        <v>810</v>
      </c>
      <c r="F15" s="625">
        <v>4</v>
      </c>
      <c r="G15" s="625">
        <v>85</v>
      </c>
      <c r="H15" s="625">
        <v>50</v>
      </c>
    </row>
    <row r="16" spans="1:8">
      <c r="A16" s="381" t="s">
        <v>3773</v>
      </c>
      <c r="B16" s="382" t="s">
        <v>3936</v>
      </c>
      <c r="C16" s="382" t="s">
        <v>3941</v>
      </c>
      <c r="D16">
        <v>300</v>
      </c>
      <c r="E16">
        <v>810</v>
      </c>
      <c r="F16" s="625">
        <v>4</v>
      </c>
      <c r="G16" s="625">
        <v>85</v>
      </c>
      <c r="H16" s="625">
        <v>50</v>
      </c>
    </row>
    <row r="17" spans="1:8">
      <c r="A17" s="381" t="s">
        <v>3773</v>
      </c>
      <c r="B17" s="382" t="s">
        <v>3937</v>
      </c>
      <c r="C17" s="382" t="s">
        <v>3942</v>
      </c>
      <c r="D17">
        <v>185</v>
      </c>
      <c r="E17">
        <v>810</v>
      </c>
      <c r="F17" s="625">
        <v>4</v>
      </c>
      <c r="G17" s="625">
        <v>85</v>
      </c>
      <c r="H17" s="625">
        <v>50</v>
      </c>
    </row>
    <row r="18" spans="1:8">
      <c r="A18" s="381" t="s">
        <v>3773</v>
      </c>
      <c r="B18" s="382" t="s">
        <v>37</v>
      </c>
      <c r="C18" s="382" t="s">
        <v>3800</v>
      </c>
      <c r="D18">
        <v>806</v>
      </c>
      <c r="E18">
        <v>473</v>
      </c>
      <c r="F18" s="625">
        <v>5</v>
      </c>
      <c r="G18" s="625">
        <v>40</v>
      </c>
      <c r="H18" s="625">
        <v>352</v>
      </c>
    </row>
    <row r="19" spans="1:8">
      <c r="A19" s="381" t="s">
        <v>3773</v>
      </c>
      <c r="B19" s="382" t="s">
        <v>46</v>
      </c>
      <c r="C19" s="382" t="s">
        <v>3801</v>
      </c>
      <c r="D19">
        <v>756</v>
      </c>
      <c r="E19">
        <v>473</v>
      </c>
      <c r="F19" s="625">
        <v>5</v>
      </c>
      <c r="G19" s="625">
        <v>40</v>
      </c>
      <c r="H19" s="625">
        <v>352</v>
      </c>
    </row>
    <row r="20" spans="1:8">
      <c r="A20" s="381" t="s">
        <v>3773</v>
      </c>
      <c r="B20" s="382" t="s">
        <v>3778</v>
      </c>
      <c r="C20" s="382" t="s">
        <v>3802</v>
      </c>
      <c r="D20">
        <v>694</v>
      </c>
      <c r="E20">
        <v>140</v>
      </c>
      <c r="F20" s="625">
        <v>2</v>
      </c>
      <c r="G20" s="625">
        <v>40</v>
      </c>
      <c r="H20" s="625">
        <v>663</v>
      </c>
    </row>
    <row r="21" spans="1:8">
      <c r="A21" s="381" t="s">
        <v>3773</v>
      </c>
      <c r="B21" s="382" t="s">
        <v>3779</v>
      </c>
      <c r="C21" s="382" t="s">
        <v>3803</v>
      </c>
      <c r="D21">
        <v>648</v>
      </c>
      <c r="E21">
        <v>140</v>
      </c>
      <c r="F21" s="625">
        <v>2</v>
      </c>
      <c r="G21" s="625">
        <v>40</v>
      </c>
      <c r="H21" s="625">
        <v>663</v>
      </c>
    </row>
    <row r="22" spans="1:8">
      <c r="A22" s="381" t="s">
        <v>3773</v>
      </c>
      <c r="B22" s="382" t="s">
        <v>3780</v>
      </c>
      <c r="C22" s="382" t="s">
        <v>3804</v>
      </c>
      <c r="D22">
        <v>580</v>
      </c>
      <c r="E22">
        <v>140</v>
      </c>
      <c r="F22" s="625">
        <v>2</v>
      </c>
      <c r="G22" s="625">
        <v>40</v>
      </c>
      <c r="H22" s="625">
        <v>663</v>
      </c>
    </row>
    <row r="23" spans="1:8">
      <c r="A23" s="381" t="s">
        <v>3773</v>
      </c>
      <c r="B23" s="382" t="s">
        <v>3781</v>
      </c>
      <c r="C23" s="382" t="s">
        <v>3805</v>
      </c>
      <c r="D23">
        <v>530</v>
      </c>
      <c r="E23">
        <v>140</v>
      </c>
      <c r="F23" s="625">
        <v>2</v>
      </c>
      <c r="G23" s="625">
        <v>40</v>
      </c>
      <c r="H23" s="625">
        <v>663</v>
      </c>
    </row>
    <row r="24" spans="1:8">
      <c r="A24" s="381" t="s">
        <v>3773</v>
      </c>
      <c r="B24" s="382" t="s">
        <v>3782</v>
      </c>
      <c r="C24" s="382" t="s">
        <v>3806</v>
      </c>
      <c r="D24">
        <v>462</v>
      </c>
      <c r="E24">
        <v>140</v>
      </c>
      <c r="F24" s="625">
        <v>2</v>
      </c>
      <c r="G24" s="625">
        <v>40</v>
      </c>
      <c r="H24" s="625">
        <v>663</v>
      </c>
    </row>
    <row r="25" spans="1:8">
      <c r="A25" s="381" t="s">
        <v>3773</v>
      </c>
      <c r="B25" s="382" t="s">
        <v>27</v>
      </c>
      <c r="C25" s="382" t="s">
        <v>3807</v>
      </c>
      <c r="D25">
        <v>415</v>
      </c>
      <c r="E25">
        <v>140</v>
      </c>
      <c r="F25" s="625">
        <v>2</v>
      </c>
      <c r="G25" s="625">
        <v>40</v>
      </c>
      <c r="H25" s="625">
        <v>663</v>
      </c>
    </row>
    <row r="26" spans="1:8">
      <c r="A26" t="s">
        <v>3773</v>
      </c>
      <c r="B26" t="s">
        <v>3783</v>
      </c>
      <c r="C26" t="s">
        <v>3808</v>
      </c>
      <c r="D26">
        <v>347</v>
      </c>
      <c r="E26">
        <v>140</v>
      </c>
      <c r="F26" s="625">
        <v>2</v>
      </c>
      <c r="G26" s="625">
        <v>40</v>
      </c>
      <c r="H26" s="625">
        <v>663</v>
      </c>
    </row>
    <row r="27" spans="1:8">
      <c r="A27" t="s">
        <v>3773</v>
      </c>
      <c r="B27" t="s">
        <v>3784</v>
      </c>
      <c r="C27" t="s">
        <v>3809</v>
      </c>
      <c r="D27">
        <v>297</v>
      </c>
      <c r="E27">
        <v>140</v>
      </c>
      <c r="F27" s="625">
        <v>2</v>
      </c>
      <c r="G27" s="625">
        <v>40</v>
      </c>
      <c r="H27" s="625">
        <v>663</v>
      </c>
    </row>
    <row r="28" spans="1:8">
      <c r="A28" t="s">
        <v>3773</v>
      </c>
      <c r="B28" t="s">
        <v>3785</v>
      </c>
      <c r="C28" t="s">
        <v>3810</v>
      </c>
      <c r="D28">
        <v>230</v>
      </c>
      <c r="E28">
        <v>120</v>
      </c>
      <c r="F28" s="625">
        <v>2</v>
      </c>
      <c r="G28" s="625">
        <v>40</v>
      </c>
      <c r="H28" s="625">
        <v>680</v>
      </c>
    </row>
    <row r="29" spans="1:8">
      <c r="A29" t="s">
        <v>3773</v>
      </c>
      <c r="B29" t="s">
        <v>3786</v>
      </c>
      <c r="C29" t="s">
        <v>3811</v>
      </c>
      <c r="D29">
        <v>180</v>
      </c>
      <c r="E29">
        <v>120</v>
      </c>
      <c r="F29" s="625">
        <v>2</v>
      </c>
      <c r="G29" s="625">
        <v>40</v>
      </c>
      <c r="H29" s="625">
        <v>680</v>
      </c>
    </row>
    <row r="30" spans="1:8">
      <c r="A30" t="s">
        <v>3773</v>
      </c>
      <c r="B30" s="624" t="s">
        <v>3930</v>
      </c>
      <c r="C30" t="s">
        <v>3811</v>
      </c>
      <c r="D30">
        <v>180</v>
      </c>
      <c r="E30">
        <v>120</v>
      </c>
      <c r="F30" s="625">
        <v>2</v>
      </c>
      <c r="G30" s="625">
        <v>40</v>
      </c>
      <c r="H30" s="625">
        <v>680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2D-3837-468B-BDAE-63F2227F9FAC}">
  <dimension ref="A1:G661"/>
  <sheetViews>
    <sheetView tabSelected="1" workbookViewId="0">
      <selection activeCell="J3" sqref="J3"/>
    </sheetView>
  </sheetViews>
  <sheetFormatPr defaultRowHeight="14.4"/>
  <cols>
    <col min="1" max="1" width="18.21875" customWidth="1"/>
    <col min="2" max="6" width="25" customWidth="1"/>
    <col min="7" max="7" width="26.109375" customWidth="1"/>
  </cols>
  <sheetData>
    <row r="1" spans="1:7" s="628" customFormat="1" ht="15.6">
      <c r="A1" s="626" t="s">
        <v>3762</v>
      </c>
      <c r="B1" s="626" t="s">
        <v>3944</v>
      </c>
      <c r="C1" s="626"/>
      <c r="D1" s="626"/>
      <c r="E1" s="626"/>
      <c r="F1" s="626" t="s">
        <v>3770</v>
      </c>
      <c r="G1" s="627" t="s">
        <v>3771</v>
      </c>
    </row>
    <row r="2" spans="1:7">
      <c r="A2" s="381" t="s">
        <v>3773</v>
      </c>
      <c r="B2" s="455" t="s">
        <v>3786</v>
      </c>
      <c r="C2" s="455">
        <v>20</v>
      </c>
      <c r="D2" s="455" t="s">
        <v>3761</v>
      </c>
      <c r="F2" s="455" t="str">
        <f t="shared" ref="F2" si="0">B2&amp;C2&amp;D2</f>
        <v>W20B</v>
      </c>
      <c r="G2" t="str">
        <f t="shared" ref="G2" si="1">F2</f>
        <v>W20B</v>
      </c>
    </row>
    <row r="3" spans="1:7">
      <c r="A3" s="381" t="s">
        <v>3773</v>
      </c>
      <c r="B3" s="381" t="s">
        <v>3760</v>
      </c>
      <c r="C3" s="381">
        <v>1</v>
      </c>
      <c r="D3" s="382" t="s">
        <v>3760</v>
      </c>
      <c r="E3" s="381"/>
      <c r="F3" s="382" t="str">
        <f t="shared" ref="F3:F29" si="2">B3&amp;C3&amp;D3</f>
        <v>A1A</v>
      </c>
      <c r="G3" s="381" t="s">
        <v>3812</v>
      </c>
    </row>
    <row r="4" spans="1:7">
      <c r="A4" s="381" t="s">
        <v>3773</v>
      </c>
      <c r="B4" s="381" t="s">
        <v>3760</v>
      </c>
      <c r="C4" s="381">
        <v>1</v>
      </c>
      <c r="D4" s="382" t="s">
        <v>3761</v>
      </c>
      <c r="E4" s="381"/>
      <c r="F4" s="382" t="str">
        <f t="shared" si="2"/>
        <v>A1B</v>
      </c>
      <c r="G4" s="381" t="s">
        <v>3813</v>
      </c>
    </row>
    <row r="5" spans="1:7">
      <c r="A5" s="381" t="s">
        <v>3773</v>
      </c>
      <c r="B5" s="381" t="s">
        <v>3760</v>
      </c>
      <c r="C5" s="381">
        <v>1</v>
      </c>
      <c r="D5" s="382" t="s">
        <v>3765</v>
      </c>
      <c r="E5" s="381"/>
      <c r="F5" s="382" t="str">
        <f t="shared" si="2"/>
        <v>A1C</v>
      </c>
      <c r="G5" s="381" t="s">
        <v>3814</v>
      </c>
    </row>
    <row r="6" spans="1:7">
      <c r="A6" s="381" t="s">
        <v>3773</v>
      </c>
      <c r="B6" s="381" t="s">
        <v>3760</v>
      </c>
      <c r="C6" s="381">
        <v>2</v>
      </c>
      <c r="D6" s="382" t="s">
        <v>3760</v>
      </c>
      <c r="E6" s="381"/>
      <c r="F6" s="382" t="str">
        <f t="shared" si="2"/>
        <v>A2A</v>
      </c>
      <c r="G6" s="381" t="s">
        <v>3815</v>
      </c>
    </row>
    <row r="7" spans="1:7">
      <c r="A7" s="381" t="s">
        <v>3773</v>
      </c>
      <c r="B7" s="381" t="s">
        <v>3760</v>
      </c>
      <c r="C7" s="381">
        <v>2</v>
      </c>
      <c r="D7" s="382" t="s">
        <v>3761</v>
      </c>
      <c r="E7" s="381"/>
      <c r="F7" s="382" t="str">
        <f t="shared" si="2"/>
        <v>A2B</v>
      </c>
      <c r="G7" s="381" t="s">
        <v>3816</v>
      </c>
    </row>
    <row r="8" spans="1:7">
      <c r="A8" s="381" t="s">
        <v>3773</v>
      </c>
      <c r="B8" s="381" t="s">
        <v>3760</v>
      </c>
      <c r="C8" s="381">
        <v>2</v>
      </c>
      <c r="D8" s="382" t="s">
        <v>3765</v>
      </c>
      <c r="E8" s="381"/>
      <c r="F8" s="382" t="str">
        <f t="shared" si="2"/>
        <v>A2C</v>
      </c>
      <c r="G8" s="381" t="s">
        <v>3817</v>
      </c>
    </row>
    <row r="9" spans="1:7">
      <c r="A9" s="381" t="s">
        <v>3773</v>
      </c>
      <c r="B9" s="381" t="s">
        <v>3760</v>
      </c>
      <c r="C9" s="381">
        <v>3</v>
      </c>
      <c r="D9" s="382" t="s">
        <v>3760</v>
      </c>
      <c r="E9" s="381"/>
      <c r="F9" s="382" t="str">
        <f t="shared" si="2"/>
        <v>A3A</v>
      </c>
      <c r="G9" s="381" t="s">
        <v>3818</v>
      </c>
    </row>
    <row r="10" spans="1:7">
      <c r="A10" s="381" t="s">
        <v>3773</v>
      </c>
      <c r="B10" s="381" t="s">
        <v>3760</v>
      </c>
      <c r="C10" s="381">
        <v>3</v>
      </c>
      <c r="D10" s="382" t="s">
        <v>3761</v>
      </c>
      <c r="E10" s="381"/>
      <c r="F10" s="382" t="str">
        <f t="shared" si="2"/>
        <v>A3B</v>
      </c>
      <c r="G10" s="381" t="s">
        <v>3819</v>
      </c>
    </row>
    <row r="11" spans="1:7">
      <c r="A11" s="381" t="s">
        <v>3773</v>
      </c>
      <c r="B11" s="381" t="s">
        <v>3760</v>
      </c>
      <c r="C11" s="381">
        <v>3</v>
      </c>
      <c r="D11" s="382" t="s">
        <v>3765</v>
      </c>
      <c r="E11" s="381"/>
      <c r="F11" s="382" t="str">
        <f t="shared" si="2"/>
        <v>A3C</v>
      </c>
      <c r="G11" s="381" t="s">
        <v>3820</v>
      </c>
    </row>
    <row r="12" spans="1:7">
      <c r="A12" s="381" t="s">
        <v>3773</v>
      </c>
      <c r="B12" s="381" t="s">
        <v>3760</v>
      </c>
      <c r="C12" s="381">
        <v>4</v>
      </c>
      <c r="D12" s="382" t="s">
        <v>3760</v>
      </c>
      <c r="E12" s="381"/>
      <c r="F12" s="382" t="str">
        <f t="shared" si="2"/>
        <v>A4A</v>
      </c>
      <c r="G12" s="381" t="s">
        <v>3821</v>
      </c>
    </row>
    <row r="13" spans="1:7">
      <c r="A13" s="381" t="s">
        <v>3773</v>
      </c>
      <c r="B13" s="381" t="s">
        <v>3760</v>
      </c>
      <c r="C13" s="381">
        <v>4</v>
      </c>
      <c r="D13" s="382" t="s">
        <v>3761</v>
      </c>
      <c r="E13" s="381"/>
      <c r="F13" s="382" t="str">
        <f t="shared" si="2"/>
        <v>A4B</v>
      </c>
      <c r="G13" s="381" t="s">
        <v>3822</v>
      </c>
    </row>
    <row r="14" spans="1:7">
      <c r="A14" s="381" t="s">
        <v>3773</v>
      </c>
      <c r="B14" s="381" t="s">
        <v>3760</v>
      </c>
      <c r="C14" s="381">
        <v>4</v>
      </c>
      <c r="D14" s="382" t="s">
        <v>3765</v>
      </c>
      <c r="E14" s="381"/>
      <c r="F14" s="382" t="str">
        <f t="shared" si="2"/>
        <v>A4C</v>
      </c>
      <c r="G14" s="381" t="s">
        <v>3823</v>
      </c>
    </row>
    <row r="15" spans="1:7">
      <c r="A15" s="381" t="s">
        <v>3773</v>
      </c>
      <c r="B15" s="381" t="s">
        <v>3760</v>
      </c>
      <c r="C15" s="381">
        <v>5</v>
      </c>
      <c r="D15" s="382" t="s">
        <v>3760</v>
      </c>
      <c r="E15" s="381"/>
      <c r="F15" s="382" t="str">
        <f t="shared" si="2"/>
        <v>A5A</v>
      </c>
      <c r="G15" s="381" t="s">
        <v>3824</v>
      </c>
    </row>
    <row r="16" spans="1:7">
      <c r="A16" s="381" t="s">
        <v>3773</v>
      </c>
      <c r="B16" s="381" t="s">
        <v>3760</v>
      </c>
      <c r="C16" s="381">
        <v>5</v>
      </c>
      <c r="D16" s="382" t="s">
        <v>3761</v>
      </c>
      <c r="E16" s="381"/>
      <c r="F16" s="382" t="str">
        <f t="shared" si="2"/>
        <v>A5B</v>
      </c>
      <c r="G16" s="381" t="s">
        <v>3825</v>
      </c>
    </row>
    <row r="17" spans="1:7">
      <c r="A17" s="381" t="s">
        <v>3773</v>
      </c>
      <c r="B17" s="381" t="s">
        <v>3760</v>
      </c>
      <c r="C17" s="381">
        <v>5</v>
      </c>
      <c r="D17" s="382" t="s">
        <v>3765</v>
      </c>
      <c r="E17" s="381"/>
      <c r="F17" s="382" t="str">
        <f t="shared" si="2"/>
        <v>A5C</v>
      </c>
      <c r="G17" s="381" t="s">
        <v>3826</v>
      </c>
    </row>
    <row r="18" spans="1:7">
      <c r="A18" s="381" t="s">
        <v>3773</v>
      </c>
      <c r="B18" s="381" t="s">
        <v>3760</v>
      </c>
      <c r="C18" s="381">
        <v>6</v>
      </c>
      <c r="D18" s="382" t="s">
        <v>3760</v>
      </c>
      <c r="E18" s="381"/>
      <c r="F18" s="382" t="str">
        <f t="shared" si="2"/>
        <v>A6A</v>
      </c>
      <c r="G18" s="381" t="s">
        <v>3827</v>
      </c>
    </row>
    <row r="19" spans="1:7">
      <c r="A19" s="381" t="s">
        <v>3773</v>
      </c>
      <c r="B19" s="381" t="s">
        <v>3760</v>
      </c>
      <c r="C19" s="381">
        <v>6</v>
      </c>
      <c r="D19" s="382" t="s">
        <v>3761</v>
      </c>
      <c r="E19" s="381"/>
      <c r="F19" s="382" t="str">
        <f t="shared" si="2"/>
        <v>A6B</v>
      </c>
      <c r="G19" s="381" t="s">
        <v>3828</v>
      </c>
    </row>
    <row r="20" spans="1:7">
      <c r="A20" s="381" t="s">
        <v>3773</v>
      </c>
      <c r="B20" s="381" t="s">
        <v>3760</v>
      </c>
      <c r="C20" s="381">
        <v>6</v>
      </c>
      <c r="D20" s="382" t="s">
        <v>3765</v>
      </c>
      <c r="E20" s="381"/>
      <c r="F20" s="382" t="str">
        <f t="shared" si="2"/>
        <v>A6C</v>
      </c>
      <c r="G20" s="381" t="s">
        <v>3829</v>
      </c>
    </row>
    <row r="21" spans="1:7">
      <c r="A21" s="381" t="s">
        <v>3773</v>
      </c>
      <c r="B21" s="381" t="s">
        <v>3760</v>
      </c>
      <c r="C21" s="381">
        <v>7</v>
      </c>
      <c r="D21" s="382" t="s">
        <v>3760</v>
      </c>
      <c r="E21" s="381"/>
      <c r="F21" s="382" t="str">
        <f t="shared" si="2"/>
        <v>A7A</v>
      </c>
      <c r="G21" s="381" t="s">
        <v>3830</v>
      </c>
    </row>
    <row r="22" spans="1:7">
      <c r="A22" s="381" t="s">
        <v>3773</v>
      </c>
      <c r="B22" s="381" t="s">
        <v>3760</v>
      </c>
      <c r="C22" s="381">
        <v>7</v>
      </c>
      <c r="D22" s="382" t="s">
        <v>3761</v>
      </c>
      <c r="E22" s="381"/>
      <c r="F22" s="382" t="str">
        <f t="shared" si="2"/>
        <v>A7B</v>
      </c>
      <c r="G22" s="381" t="s">
        <v>3831</v>
      </c>
    </row>
    <row r="23" spans="1:7">
      <c r="A23" s="381" t="s">
        <v>3773</v>
      </c>
      <c r="B23" s="381" t="s">
        <v>3760</v>
      </c>
      <c r="C23" s="381">
        <v>7</v>
      </c>
      <c r="D23" s="382" t="s">
        <v>3765</v>
      </c>
      <c r="E23" s="381"/>
      <c r="F23" s="382" t="str">
        <f t="shared" si="2"/>
        <v>A7C</v>
      </c>
      <c r="G23" s="381" t="s">
        <v>3832</v>
      </c>
    </row>
    <row r="24" spans="1:7">
      <c r="A24" s="381" t="s">
        <v>3773</v>
      </c>
      <c r="B24" s="381" t="s">
        <v>3760</v>
      </c>
      <c r="C24" s="382">
        <v>8</v>
      </c>
      <c r="D24" s="382" t="s">
        <v>3760</v>
      </c>
      <c r="F24" s="382" t="str">
        <f t="shared" si="2"/>
        <v>A8A</v>
      </c>
      <c r="G24" t="s">
        <v>3833</v>
      </c>
    </row>
    <row r="25" spans="1:7">
      <c r="A25" s="381" t="s">
        <v>3773</v>
      </c>
      <c r="B25" s="381" t="s">
        <v>3760</v>
      </c>
      <c r="C25" s="382">
        <v>8</v>
      </c>
      <c r="D25" s="382" t="s">
        <v>3761</v>
      </c>
      <c r="F25" s="382" t="str">
        <f t="shared" si="2"/>
        <v>A8B</v>
      </c>
      <c r="G25" t="s">
        <v>3834</v>
      </c>
    </row>
    <row r="26" spans="1:7">
      <c r="A26" s="381" t="s">
        <v>3773</v>
      </c>
      <c r="B26" s="381" t="s">
        <v>3760</v>
      </c>
      <c r="C26" s="382">
        <v>8</v>
      </c>
      <c r="D26" s="382" t="s">
        <v>3765</v>
      </c>
      <c r="F26" s="382" t="str">
        <f t="shared" si="2"/>
        <v>A8C</v>
      </c>
      <c r="G26" t="s">
        <v>3835</v>
      </c>
    </row>
    <row r="27" spans="1:7">
      <c r="A27" s="381" t="s">
        <v>3773</v>
      </c>
      <c r="B27" s="381" t="s">
        <v>3760</v>
      </c>
      <c r="C27" s="382">
        <v>9</v>
      </c>
      <c r="D27" s="382" t="s">
        <v>3760</v>
      </c>
      <c r="F27" s="382" t="str">
        <f t="shared" si="2"/>
        <v>A9A</v>
      </c>
      <c r="G27" t="s">
        <v>3836</v>
      </c>
    </row>
    <row r="28" spans="1:7">
      <c r="A28" s="381" t="s">
        <v>3773</v>
      </c>
      <c r="B28" s="381" t="s">
        <v>3760</v>
      </c>
      <c r="C28" s="382">
        <v>9</v>
      </c>
      <c r="D28" s="382" t="s">
        <v>3761</v>
      </c>
      <c r="F28" s="382" t="str">
        <f t="shared" si="2"/>
        <v>A9B</v>
      </c>
      <c r="G28" t="s">
        <v>3837</v>
      </c>
    </row>
    <row r="29" spans="1:7">
      <c r="A29" s="381" t="s">
        <v>3773</v>
      </c>
      <c r="B29" s="381" t="s">
        <v>3760</v>
      </c>
      <c r="C29" s="382">
        <v>9</v>
      </c>
      <c r="D29" s="382" t="s">
        <v>3765</v>
      </c>
      <c r="F29" s="382" t="str">
        <f t="shared" si="2"/>
        <v>A9C</v>
      </c>
      <c r="G29" t="s">
        <v>3838</v>
      </c>
    </row>
    <row r="30" spans="1:7">
      <c r="A30" s="381" t="s">
        <v>3773</v>
      </c>
      <c r="B30" s="382" t="s">
        <v>3761</v>
      </c>
      <c r="C30" s="381">
        <v>1</v>
      </c>
      <c r="D30" s="382" t="s">
        <v>3760</v>
      </c>
      <c r="F30" s="382" t="str">
        <f t="shared" ref="F30:F90" si="3">B30&amp;C30&amp;D30</f>
        <v>B1A</v>
      </c>
      <c r="G30" t="str">
        <f>F30</f>
        <v>B1A</v>
      </c>
    </row>
    <row r="31" spans="1:7">
      <c r="A31" s="381" t="s">
        <v>3773</v>
      </c>
      <c r="B31" s="382" t="s">
        <v>3761</v>
      </c>
      <c r="C31" s="381">
        <v>1</v>
      </c>
      <c r="D31" s="382" t="s">
        <v>3761</v>
      </c>
      <c r="F31" s="382" t="str">
        <f t="shared" si="3"/>
        <v>B1B</v>
      </c>
      <c r="G31" t="str">
        <f t="shared" ref="G31:G91" si="4">F31</f>
        <v>B1B</v>
      </c>
    </row>
    <row r="32" spans="1:7">
      <c r="A32" s="381" t="s">
        <v>3773</v>
      </c>
      <c r="B32" s="382" t="s">
        <v>3761</v>
      </c>
      <c r="C32" s="381">
        <v>1</v>
      </c>
      <c r="D32" s="382" t="s">
        <v>3765</v>
      </c>
      <c r="F32" s="382" t="str">
        <f t="shared" si="3"/>
        <v>B1C</v>
      </c>
      <c r="G32" t="str">
        <f t="shared" si="4"/>
        <v>B1C</v>
      </c>
    </row>
    <row r="33" spans="1:7">
      <c r="A33" s="381" t="s">
        <v>3773</v>
      </c>
      <c r="B33" s="382" t="s">
        <v>3761</v>
      </c>
      <c r="C33" s="381">
        <v>2</v>
      </c>
      <c r="D33" s="382" t="s">
        <v>3760</v>
      </c>
      <c r="F33" s="382" t="str">
        <f t="shared" si="3"/>
        <v>B2A</v>
      </c>
      <c r="G33" t="str">
        <f t="shared" si="4"/>
        <v>B2A</v>
      </c>
    </row>
    <row r="34" spans="1:7">
      <c r="A34" s="381" t="s">
        <v>3773</v>
      </c>
      <c r="B34" s="382" t="s">
        <v>3761</v>
      </c>
      <c r="C34" s="381">
        <v>2</v>
      </c>
      <c r="D34" s="382" t="s">
        <v>3761</v>
      </c>
      <c r="F34" s="382" t="str">
        <f t="shared" si="3"/>
        <v>B2B</v>
      </c>
      <c r="G34" t="str">
        <f t="shared" si="4"/>
        <v>B2B</v>
      </c>
    </row>
    <row r="35" spans="1:7">
      <c r="A35" s="381" t="s">
        <v>3773</v>
      </c>
      <c r="B35" s="382" t="s">
        <v>3761</v>
      </c>
      <c r="C35" s="381">
        <v>2</v>
      </c>
      <c r="D35" s="382" t="s">
        <v>3765</v>
      </c>
      <c r="F35" s="382" t="str">
        <f t="shared" si="3"/>
        <v>B2C</v>
      </c>
      <c r="G35" t="str">
        <f t="shared" si="4"/>
        <v>B2C</v>
      </c>
    </row>
    <row r="36" spans="1:7">
      <c r="A36" s="381" t="s">
        <v>3773</v>
      </c>
      <c r="B36" s="382" t="s">
        <v>3761</v>
      </c>
      <c r="C36" s="381">
        <v>3</v>
      </c>
      <c r="D36" s="382" t="s">
        <v>3760</v>
      </c>
      <c r="F36" s="382" t="str">
        <f t="shared" si="3"/>
        <v>B3A</v>
      </c>
      <c r="G36" t="str">
        <f t="shared" si="4"/>
        <v>B3A</v>
      </c>
    </row>
    <row r="37" spans="1:7">
      <c r="A37" s="381" t="s">
        <v>3773</v>
      </c>
      <c r="B37" s="382" t="s">
        <v>3761</v>
      </c>
      <c r="C37" s="381">
        <v>3</v>
      </c>
      <c r="D37" s="382" t="s">
        <v>3761</v>
      </c>
      <c r="F37" s="382" t="str">
        <f t="shared" si="3"/>
        <v>B3B</v>
      </c>
      <c r="G37" t="str">
        <f t="shared" si="4"/>
        <v>B3B</v>
      </c>
    </row>
    <row r="38" spans="1:7">
      <c r="A38" s="381" t="s">
        <v>3773</v>
      </c>
      <c r="B38" s="382" t="s">
        <v>3761</v>
      </c>
      <c r="C38" s="381">
        <v>3</v>
      </c>
      <c r="D38" s="382" t="s">
        <v>3765</v>
      </c>
      <c r="F38" s="382" t="str">
        <f t="shared" si="3"/>
        <v>B3C</v>
      </c>
      <c r="G38" t="str">
        <f t="shared" si="4"/>
        <v>B3C</v>
      </c>
    </row>
    <row r="39" spans="1:7">
      <c r="A39" s="381" t="s">
        <v>3773</v>
      </c>
      <c r="B39" s="382" t="s">
        <v>3761</v>
      </c>
      <c r="C39" s="381">
        <v>4</v>
      </c>
      <c r="D39" s="382" t="s">
        <v>3760</v>
      </c>
      <c r="F39" s="382" t="str">
        <f t="shared" si="3"/>
        <v>B4A</v>
      </c>
      <c r="G39" t="str">
        <f t="shared" si="4"/>
        <v>B4A</v>
      </c>
    </row>
    <row r="40" spans="1:7">
      <c r="A40" s="381" t="s">
        <v>3773</v>
      </c>
      <c r="B40" s="382" t="s">
        <v>3761</v>
      </c>
      <c r="C40" s="381">
        <v>4</v>
      </c>
      <c r="D40" s="382" t="s">
        <v>3761</v>
      </c>
      <c r="F40" s="382" t="str">
        <f t="shared" si="3"/>
        <v>B4B</v>
      </c>
      <c r="G40" t="str">
        <f t="shared" si="4"/>
        <v>B4B</v>
      </c>
    </row>
    <row r="41" spans="1:7">
      <c r="A41" s="381" t="s">
        <v>3773</v>
      </c>
      <c r="B41" s="382" t="s">
        <v>3761</v>
      </c>
      <c r="C41" s="381">
        <v>4</v>
      </c>
      <c r="D41" s="382" t="s">
        <v>3765</v>
      </c>
      <c r="F41" s="382" t="str">
        <f t="shared" si="3"/>
        <v>B4C</v>
      </c>
      <c r="G41" t="str">
        <f t="shared" si="4"/>
        <v>B4C</v>
      </c>
    </row>
    <row r="42" spans="1:7">
      <c r="A42" s="381" t="s">
        <v>3773</v>
      </c>
      <c r="B42" s="382" t="s">
        <v>3761</v>
      </c>
      <c r="C42" s="381">
        <v>5</v>
      </c>
      <c r="D42" s="382" t="s">
        <v>3760</v>
      </c>
      <c r="F42" s="382" t="str">
        <f t="shared" si="3"/>
        <v>B5A</v>
      </c>
      <c r="G42" t="str">
        <f t="shared" si="4"/>
        <v>B5A</v>
      </c>
    </row>
    <row r="43" spans="1:7">
      <c r="A43" s="381" t="s">
        <v>3773</v>
      </c>
      <c r="B43" s="382" t="s">
        <v>3761</v>
      </c>
      <c r="C43" s="381">
        <v>5</v>
      </c>
      <c r="D43" s="382" t="s">
        <v>3761</v>
      </c>
      <c r="F43" s="382" t="str">
        <f t="shared" si="3"/>
        <v>B5B</v>
      </c>
      <c r="G43" t="str">
        <f t="shared" si="4"/>
        <v>B5B</v>
      </c>
    </row>
    <row r="44" spans="1:7">
      <c r="A44" s="381" t="s">
        <v>3773</v>
      </c>
      <c r="B44" s="382" t="s">
        <v>3761</v>
      </c>
      <c r="C44" s="381">
        <v>5</v>
      </c>
      <c r="D44" s="382" t="s">
        <v>3765</v>
      </c>
      <c r="F44" s="382" t="str">
        <f t="shared" si="3"/>
        <v>B5C</v>
      </c>
      <c r="G44" t="str">
        <f t="shared" si="4"/>
        <v>B5C</v>
      </c>
    </row>
    <row r="45" spans="1:7">
      <c r="A45" s="381" t="s">
        <v>3773</v>
      </c>
      <c r="B45" s="382" t="s">
        <v>3761</v>
      </c>
      <c r="C45" s="381">
        <v>6</v>
      </c>
      <c r="D45" s="382" t="s">
        <v>3760</v>
      </c>
      <c r="F45" s="382" t="str">
        <f t="shared" si="3"/>
        <v>B6A</v>
      </c>
      <c r="G45" t="str">
        <f t="shared" si="4"/>
        <v>B6A</v>
      </c>
    </row>
    <row r="46" spans="1:7">
      <c r="A46" s="381" t="s">
        <v>3773</v>
      </c>
      <c r="B46" s="382" t="s">
        <v>3761</v>
      </c>
      <c r="C46" s="381">
        <v>6</v>
      </c>
      <c r="D46" s="382" t="s">
        <v>3761</v>
      </c>
      <c r="F46" s="382" t="str">
        <f t="shared" si="3"/>
        <v>B6B</v>
      </c>
      <c r="G46" t="str">
        <f t="shared" si="4"/>
        <v>B6B</v>
      </c>
    </row>
    <row r="47" spans="1:7">
      <c r="A47" s="381" t="s">
        <v>3773</v>
      </c>
      <c r="B47" s="382" t="s">
        <v>3761</v>
      </c>
      <c r="C47" s="381">
        <v>6</v>
      </c>
      <c r="D47" s="382" t="s">
        <v>3765</v>
      </c>
      <c r="F47" s="382" t="str">
        <f t="shared" si="3"/>
        <v>B6C</v>
      </c>
      <c r="G47" t="str">
        <f t="shared" si="4"/>
        <v>B6C</v>
      </c>
    </row>
    <row r="48" spans="1:7">
      <c r="A48" s="381" t="s">
        <v>3773</v>
      </c>
      <c r="B48" s="382" t="s">
        <v>3765</v>
      </c>
      <c r="C48" s="381">
        <v>1</v>
      </c>
      <c r="D48" s="382" t="s">
        <v>3760</v>
      </c>
      <c r="F48" s="382" t="str">
        <f t="shared" si="3"/>
        <v>C1A</v>
      </c>
      <c r="G48" t="str">
        <f t="shared" si="4"/>
        <v>C1A</v>
      </c>
    </row>
    <row r="49" spans="1:7">
      <c r="A49" s="381" t="s">
        <v>3773</v>
      </c>
      <c r="B49" s="382" t="s">
        <v>3765</v>
      </c>
      <c r="C49" s="381">
        <v>1</v>
      </c>
      <c r="D49" s="382" t="s">
        <v>3761</v>
      </c>
      <c r="F49" s="382" t="str">
        <f t="shared" si="3"/>
        <v>C1B</v>
      </c>
      <c r="G49" t="str">
        <f t="shared" si="4"/>
        <v>C1B</v>
      </c>
    </row>
    <row r="50" spans="1:7">
      <c r="A50" s="381" t="s">
        <v>3773</v>
      </c>
      <c r="B50" s="382" t="s">
        <v>3765</v>
      </c>
      <c r="C50" s="381">
        <v>1</v>
      </c>
      <c r="D50" s="382" t="s">
        <v>3765</v>
      </c>
      <c r="F50" s="382" t="str">
        <f t="shared" si="3"/>
        <v>C1C</v>
      </c>
      <c r="G50" t="str">
        <f t="shared" si="4"/>
        <v>C1C</v>
      </c>
    </row>
    <row r="51" spans="1:7">
      <c r="A51" s="381" t="s">
        <v>3773</v>
      </c>
      <c r="B51" s="382" t="s">
        <v>3765</v>
      </c>
      <c r="C51" s="381">
        <v>2</v>
      </c>
      <c r="D51" s="382" t="s">
        <v>3760</v>
      </c>
      <c r="F51" s="382" t="str">
        <f t="shared" si="3"/>
        <v>C2A</v>
      </c>
      <c r="G51" t="str">
        <f t="shared" si="4"/>
        <v>C2A</v>
      </c>
    </row>
    <row r="52" spans="1:7">
      <c r="A52" s="381" t="s">
        <v>3773</v>
      </c>
      <c r="B52" s="382" t="s">
        <v>3765</v>
      </c>
      <c r="C52" s="381">
        <v>2</v>
      </c>
      <c r="D52" s="382" t="s">
        <v>3761</v>
      </c>
      <c r="F52" s="382" t="str">
        <f t="shared" si="3"/>
        <v>C2B</v>
      </c>
      <c r="G52" t="str">
        <f t="shared" si="4"/>
        <v>C2B</v>
      </c>
    </row>
    <row r="53" spans="1:7">
      <c r="A53" s="381" t="s">
        <v>3773</v>
      </c>
      <c r="B53" s="382" t="s">
        <v>3765</v>
      </c>
      <c r="C53" s="381">
        <v>2</v>
      </c>
      <c r="D53" s="382" t="s">
        <v>3765</v>
      </c>
      <c r="F53" s="382" t="str">
        <f t="shared" si="3"/>
        <v>C2C</v>
      </c>
      <c r="G53" t="str">
        <f t="shared" si="4"/>
        <v>C2C</v>
      </c>
    </row>
    <row r="54" spans="1:7">
      <c r="A54" s="381" t="s">
        <v>3773</v>
      </c>
      <c r="B54" s="382" t="s">
        <v>3765</v>
      </c>
      <c r="C54" s="381">
        <v>3</v>
      </c>
      <c r="D54" s="382" t="s">
        <v>3760</v>
      </c>
      <c r="F54" s="382" t="str">
        <f t="shared" si="3"/>
        <v>C3A</v>
      </c>
      <c r="G54" t="str">
        <f t="shared" si="4"/>
        <v>C3A</v>
      </c>
    </row>
    <row r="55" spans="1:7">
      <c r="A55" s="381" t="s">
        <v>3773</v>
      </c>
      <c r="B55" s="382" t="s">
        <v>3765</v>
      </c>
      <c r="C55" s="381">
        <v>3</v>
      </c>
      <c r="D55" s="382" t="s">
        <v>3761</v>
      </c>
      <c r="F55" s="382" t="str">
        <f t="shared" si="3"/>
        <v>C3B</v>
      </c>
      <c r="G55" t="str">
        <f t="shared" si="4"/>
        <v>C3B</v>
      </c>
    </row>
    <row r="56" spans="1:7">
      <c r="A56" s="381" t="s">
        <v>3773</v>
      </c>
      <c r="B56" s="382" t="s">
        <v>3765</v>
      </c>
      <c r="C56" s="381">
        <v>3</v>
      </c>
      <c r="D56" s="382" t="s">
        <v>3765</v>
      </c>
      <c r="F56" s="382" t="str">
        <f t="shared" si="3"/>
        <v>C3C</v>
      </c>
      <c r="G56" t="str">
        <f t="shared" si="4"/>
        <v>C3C</v>
      </c>
    </row>
    <row r="57" spans="1:7">
      <c r="A57" s="381" t="s">
        <v>3773</v>
      </c>
      <c r="B57" s="382" t="s">
        <v>3765</v>
      </c>
      <c r="C57" s="381">
        <v>4</v>
      </c>
      <c r="D57" s="382" t="s">
        <v>3760</v>
      </c>
      <c r="F57" s="382" t="str">
        <f t="shared" si="3"/>
        <v>C4A</v>
      </c>
      <c r="G57" t="str">
        <f t="shared" si="4"/>
        <v>C4A</v>
      </c>
    </row>
    <row r="58" spans="1:7">
      <c r="A58" s="381" t="s">
        <v>3773</v>
      </c>
      <c r="B58" s="382" t="s">
        <v>3765</v>
      </c>
      <c r="C58" s="381">
        <v>4</v>
      </c>
      <c r="D58" s="382" t="s">
        <v>3761</v>
      </c>
      <c r="F58" s="382" t="str">
        <f t="shared" si="3"/>
        <v>C4B</v>
      </c>
      <c r="G58" t="str">
        <f t="shared" si="4"/>
        <v>C4B</v>
      </c>
    </row>
    <row r="59" spans="1:7">
      <c r="A59" s="381" t="s">
        <v>3773</v>
      </c>
      <c r="B59" s="382" t="s">
        <v>3765</v>
      </c>
      <c r="C59" s="381">
        <v>4</v>
      </c>
      <c r="D59" s="382" t="s">
        <v>3765</v>
      </c>
      <c r="F59" s="382" t="str">
        <f t="shared" si="3"/>
        <v>C4C</v>
      </c>
      <c r="G59" t="str">
        <f t="shared" si="4"/>
        <v>C4C</v>
      </c>
    </row>
    <row r="60" spans="1:7">
      <c r="A60" s="381" t="s">
        <v>3773</v>
      </c>
      <c r="B60" s="382" t="s">
        <v>3765</v>
      </c>
      <c r="C60" s="381">
        <v>5</v>
      </c>
      <c r="D60" s="382" t="s">
        <v>3760</v>
      </c>
      <c r="F60" s="382" t="str">
        <f t="shared" si="3"/>
        <v>C5A</v>
      </c>
      <c r="G60" t="str">
        <f t="shared" si="4"/>
        <v>C5A</v>
      </c>
    </row>
    <row r="61" spans="1:7">
      <c r="A61" s="381" t="s">
        <v>3773</v>
      </c>
      <c r="B61" s="382" t="s">
        <v>3765</v>
      </c>
      <c r="C61" s="381">
        <v>5</v>
      </c>
      <c r="D61" s="382" t="s">
        <v>3761</v>
      </c>
      <c r="F61" s="382" t="str">
        <f t="shared" si="3"/>
        <v>C5B</v>
      </c>
      <c r="G61" t="str">
        <f t="shared" si="4"/>
        <v>C5B</v>
      </c>
    </row>
    <row r="62" spans="1:7">
      <c r="A62" s="381" t="s">
        <v>3773</v>
      </c>
      <c r="B62" s="382" t="s">
        <v>3765</v>
      </c>
      <c r="C62" s="381">
        <v>5</v>
      </c>
      <c r="D62" s="382" t="s">
        <v>3765</v>
      </c>
      <c r="F62" s="382" t="str">
        <f t="shared" si="3"/>
        <v>C5C</v>
      </c>
      <c r="G62" t="str">
        <f t="shared" si="4"/>
        <v>C5C</v>
      </c>
    </row>
    <row r="63" spans="1:7">
      <c r="A63" s="381" t="s">
        <v>3773</v>
      </c>
      <c r="B63" s="382" t="s">
        <v>3765</v>
      </c>
      <c r="C63" s="381">
        <v>6</v>
      </c>
      <c r="D63" s="382" t="s">
        <v>3760</v>
      </c>
      <c r="F63" s="382" t="str">
        <f t="shared" si="3"/>
        <v>C6A</v>
      </c>
      <c r="G63" t="str">
        <f t="shared" si="4"/>
        <v>C6A</v>
      </c>
    </row>
    <row r="64" spans="1:7">
      <c r="A64" s="381" t="s">
        <v>3773</v>
      </c>
      <c r="B64" s="382" t="s">
        <v>3765</v>
      </c>
      <c r="C64" s="381">
        <v>6</v>
      </c>
      <c r="D64" s="382" t="s">
        <v>3761</v>
      </c>
      <c r="F64" s="382" t="str">
        <f t="shared" si="3"/>
        <v>C6B</v>
      </c>
      <c r="G64" t="str">
        <f t="shared" si="4"/>
        <v>C6B</v>
      </c>
    </row>
    <row r="65" spans="1:7">
      <c r="A65" s="381" t="s">
        <v>3773</v>
      </c>
      <c r="B65" s="382" t="s">
        <v>3765</v>
      </c>
      <c r="C65" s="381">
        <v>6</v>
      </c>
      <c r="D65" s="382" t="s">
        <v>3765</v>
      </c>
      <c r="F65" s="382" t="str">
        <f t="shared" si="3"/>
        <v>C6C</v>
      </c>
      <c r="G65" t="str">
        <f t="shared" si="4"/>
        <v>C6C</v>
      </c>
    </row>
    <row r="66" spans="1:7">
      <c r="A66" s="381" t="s">
        <v>3773</v>
      </c>
      <c r="B66" s="455" t="s">
        <v>3766</v>
      </c>
      <c r="C66" s="455">
        <v>1</v>
      </c>
      <c r="D66" s="382" t="s">
        <v>3760</v>
      </c>
      <c r="F66" s="382" t="str">
        <f t="shared" si="3"/>
        <v>D1A</v>
      </c>
      <c r="G66" t="str">
        <f t="shared" si="4"/>
        <v>D1A</v>
      </c>
    </row>
    <row r="67" spans="1:7">
      <c r="A67" s="381" t="s">
        <v>3773</v>
      </c>
      <c r="B67" s="455" t="s">
        <v>3766</v>
      </c>
      <c r="C67" s="455">
        <v>1</v>
      </c>
      <c r="D67" s="382" t="s">
        <v>3761</v>
      </c>
      <c r="F67" s="382" t="str">
        <f t="shared" si="3"/>
        <v>D1B</v>
      </c>
      <c r="G67" t="str">
        <f t="shared" si="4"/>
        <v>D1B</v>
      </c>
    </row>
    <row r="68" spans="1:7">
      <c r="A68" s="381" t="s">
        <v>3773</v>
      </c>
      <c r="B68" s="455" t="s">
        <v>3766</v>
      </c>
      <c r="C68" s="455">
        <v>1</v>
      </c>
      <c r="D68" s="382" t="s">
        <v>3765</v>
      </c>
      <c r="F68" s="382" t="str">
        <f t="shared" si="3"/>
        <v>D1C</v>
      </c>
      <c r="G68" t="str">
        <f t="shared" si="4"/>
        <v>D1C</v>
      </c>
    </row>
    <row r="69" spans="1:7">
      <c r="A69" s="381" t="s">
        <v>3773</v>
      </c>
      <c r="B69" s="455" t="s">
        <v>3766</v>
      </c>
      <c r="C69" s="455">
        <v>2</v>
      </c>
      <c r="D69" s="382" t="s">
        <v>3760</v>
      </c>
      <c r="F69" s="382" t="str">
        <f t="shared" si="3"/>
        <v>D2A</v>
      </c>
      <c r="G69" t="str">
        <f t="shared" si="4"/>
        <v>D2A</v>
      </c>
    </row>
    <row r="70" spans="1:7">
      <c r="A70" s="381" t="s">
        <v>3773</v>
      </c>
      <c r="B70" s="455" t="s">
        <v>3766</v>
      </c>
      <c r="C70" s="455">
        <v>2</v>
      </c>
      <c r="D70" s="382" t="s">
        <v>3761</v>
      </c>
      <c r="F70" s="382" t="str">
        <f t="shared" si="3"/>
        <v>D2B</v>
      </c>
      <c r="G70" t="str">
        <f t="shared" si="4"/>
        <v>D2B</v>
      </c>
    </row>
    <row r="71" spans="1:7">
      <c r="A71" s="381" t="s">
        <v>3773</v>
      </c>
      <c r="B71" s="455" t="s">
        <v>3766</v>
      </c>
      <c r="C71" s="455">
        <v>2</v>
      </c>
      <c r="D71" s="382" t="s">
        <v>3765</v>
      </c>
      <c r="F71" s="382" t="str">
        <f t="shared" si="3"/>
        <v>D2C</v>
      </c>
      <c r="G71" t="str">
        <f t="shared" si="4"/>
        <v>D2C</v>
      </c>
    </row>
    <row r="72" spans="1:7">
      <c r="A72" s="381" t="s">
        <v>3773</v>
      </c>
      <c r="B72" s="455" t="s">
        <v>3766</v>
      </c>
      <c r="C72" s="455">
        <v>3</v>
      </c>
      <c r="D72" s="382" t="s">
        <v>3760</v>
      </c>
      <c r="F72" s="382" t="str">
        <f t="shared" si="3"/>
        <v>D3A</v>
      </c>
      <c r="G72" t="str">
        <f t="shared" si="4"/>
        <v>D3A</v>
      </c>
    </row>
    <row r="73" spans="1:7">
      <c r="A73" s="381" t="s">
        <v>3773</v>
      </c>
      <c r="B73" s="455" t="s">
        <v>3766</v>
      </c>
      <c r="C73" s="455">
        <v>3</v>
      </c>
      <c r="D73" s="382" t="s">
        <v>3761</v>
      </c>
      <c r="F73" s="382" t="str">
        <f t="shared" si="3"/>
        <v>D3B</v>
      </c>
      <c r="G73" t="str">
        <f t="shared" si="4"/>
        <v>D3B</v>
      </c>
    </row>
    <row r="74" spans="1:7">
      <c r="A74" s="381" t="s">
        <v>3773</v>
      </c>
      <c r="B74" s="455" t="s">
        <v>3766</v>
      </c>
      <c r="C74" s="455">
        <v>3</v>
      </c>
      <c r="D74" s="382" t="s">
        <v>3765</v>
      </c>
      <c r="F74" s="382" t="str">
        <f t="shared" si="3"/>
        <v>D3C</v>
      </c>
      <c r="G74" t="str">
        <f t="shared" si="4"/>
        <v>D3C</v>
      </c>
    </row>
    <row r="75" spans="1:7">
      <c r="A75" s="381" t="s">
        <v>3773</v>
      </c>
      <c r="B75" s="455" t="s">
        <v>3766</v>
      </c>
      <c r="C75" s="455">
        <v>4</v>
      </c>
      <c r="D75" s="382" t="s">
        <v>3760</v>
      </c>
      <c r="F75" s="382" t="str">
        <f t="shared" si="3"/>
        <v>D4A</v>
      </c>
      <c r="G75" t="str">
        <f t="shared" si="4"/>
        <v>D4A</v>
      </c>
    </row>
    <row r="76" spans="1:7">
      <c r="A76" s="381" t="s">
        <v>3773</v>
      </c>
      <c r="B76" s="455" t="s">
        <v>3766</v>
      </c>
      <c r="C76" s="455">
        <v>4</v>
      </c>
      <c r="D76" s="382" t="s">
        <v>3761</v>
      </c>
      <c r="F76" s="382" t="str">
        <f t="shared" si="3"/>
        <v>D4B</v>
      </c>
      <c r="G76" t="str">
        <f t="shared" si="4"/>
        <v>D4B</v>
      </c>
    </row>
    <row r="77" spans="1:7">
      <c r="A77" s="381" t="s">
        <v>3773</v>
      </c>
      <c r="B77" s="455" t="s">
        <v>3766</v>
      </c>
      <c r="C77" s="455">
        <v>4</v>
      </c>
      <c r="D77" s="382" t="s">
        <v>3765</v>
      </c>
      <c r="F77" s="382" t="str">
        <f t="shared" si="3"/>
        <v>D4C</v>
      </c>
      <c r="G77" t="str">
        <f t="shared" si="4"/>
        <v>D4C</v>
      </c>
    </row>
    <row r="78" spans="1:7">
      <c r="A78" s="381" t="s">
        <v>3773</v>
      </c>
      <c r="B78" s="455" t="s">
        <v>3766</v>
      </c>
      <c r="C78" s="455">
        <v>5</v>
      </c>
      <c r="D78" s="382" t="s">
        <v>3760</v>
      </c>
      <c r="F78" s="382" t="str">
        <f t="shared" si="3"/>
        <v>D5A</v>
      </c>
      <c r="G78" t="str">
        <f t="shared" si="4"/>
        <v>D5A</v>
      </c>
    </row>
    <row r="79" spans="1:7">
      <c r="A79" s="381" t="s">
        <v>3773</v>
      </c>
      <c r="B79" s="455" t="s">
        <v>3766</v>
      </c>
      <c r="C79" s="455">
        <v>5</v>
      </c>
      <c r="D79" s="382" t="s">
        <v>3761</v>
      </c>
      <c r="F79" s="382" t="str">
        <f t="shared" si="3"/>
        <v>D5B</v>
      </c>
      <c r="G79" t="str">
        <f t="shared" si="4"/>
        <v>D5B</v>
      </c>
    </row>
    <row r="80" spans="1:7">
      <c r="A80" s="381" t="s">
        <v>3773</v>
      </c>
      <c r="B80" s="455" t="s">
        <v>3766</v>
      </c>
      <c r="C80" s="455">
        <v>5</v>
      </c>
      <c r="D80" s="382" t="s">
        <v>3765</v>
      </c>
      <c r="F80" s="382" t="str">
        <f t="shared" si="3"/>
        <v>D5C</v>
      </c>
      <c r="G80" t="str">
        <f t="shared" si="4"/>
        <v>D5C</v>
      </c>
    </row>
    <row r="81" spans="1:7">
      <c r="A81" s="381" t="s">
        <v>3773</v>
      </c>
      <c r="B81" s="455" t="s">
        <v>3766</v>
      </c>
      <c r="C81" s="455">
        <v>6</v>
      </c>
      <c r="D81" s="382" t="s">
        <v>3760</v>
      </c>
      <c r="F81" s="382" t="str">
        <f t="shared" si="3"/>
        <v>D6A</v>
      </c>
      <c r="G81" t="str">
        <f t="shared" si="4"/>
        <v>D6A</v>
      </c>
    </row>
    <row r="82" spans="1:7">
      <c r="A82" s="381" t="s">
        <v>3773</v>
      </c>
      <c r="B82" s="455" t="s">
        <v>3766</v>
      </c>
      <c r="C82" s="455">
        <v>6</v>
      </c>
      <c r="D82" s="382" t="s">
        <v>3761</v>
      </c>
      <c r="F82" s="382" t="str">
        <f t="shared" si="3"/>
        <v>D6B</v>
      </c>
      <c r="G82" t="str">
        <f t="shared" si="4"/>
        <v>D6B</v>
      </c>
    </row>
    <row r="83" spans="1:7">
      <c r="A83" s="381" t="s">
        <v>3773</v>
      </c>
      <c r="B83" s="455" t="s">
        <v>3766</v>
      </c>
      <c r="C83" s="455">
        <v>6</v>
      </c>
      <c r="D83" s="382" t="s">
        <v>3765</v>
      </c>
      <c r="F83" s="382" t="str">
        <f t="shared" si="3"/>
        <v>D6C</v>
      </c>
      <c r="G83" t="str">
        <f t="shared" si="4"/>
        <v>D6C</v>
      </c>
    </row>
    <row r="84" spans="1:7">
      <c r="A84" s="381" t="s">
        <v>3773</v>
      </c>
      <c r="B84" s="455" t="s">
        <v>3767</v>
      </c>
      <c r="C84" s="455">
        <v>1</v>
      </c>
      <c r="D84" s="382" t="s">
        <v>3760</v>
      </c>
      <c r="F84" s="382" t="str">
        <f t="shared" si="3"/>
        <v>E1A</v>
      </c>
      <c r="G84" t="str">
        <f t="shared" si="4"/>
        <v>E1A</v>
      </c>
    </row>
    <row r="85" spans="1:7">
      <c r="A85" s="381" t="s">
        <v>3773</v>
      </c>
      <c r="B85" s="455" t="s">
        <v>3767</v>
      </c>
      <c r="C85" s="455">
        <v>1</v>
      </c>
      <c r="D85" s="382" t="s">
        <v>3761</v>
      </c>
      <c r="F85" s="382" t="str">
        <f t="shared" si="3"/>
        <v>E1B</v>
      </c>
      <c r="G85" t="str">
        <f t="shared" si="4"/>
        <v>E1B</v>
      </c>
    </row>
    <row r="86" spans="1:7">
      <c r="A86" s="381" t="s">
        <v>3773</v>
      </c>
      <c r="B86" s="455" t="s">
        <v>3767</v>
      </c>
      <c r="C86" s="455">
        <v>1</v>
      </c>
      <c r="D86" s="382" t="s">
        <v>3765</v>
      </c>
      <c r="F86" s="382" t="str">
        <f t="shared" si="3"/>
        <v>E1C</v>
      </c>
      <c r="G86" t="str">
        <f t="shared" si="4"/>
        <v>E1C</v>
      </c>
    </row>
    <row r="87" spans="1:7">
      <c r="A87" s="381" t="s">
        <v>3773</v>
      </c>
      <c r="B87" s="455" t="s">
        <v>3767</v>
      </c>
      <c r="C87" s="455">
        <v>2</v>
      </c>
      <c r="D87" s="382" t="s">
        <v>3760</v>
      </c>
      <c r="F87" s="382" t="str">
        <f t="shared" si="3"/>
        <v>E2A</v>
      </c>
      <c r="G87" t="str">
        <f t="shared" si="4"/>
        <v>E2A</v>
      </c>
    </row>
    <row r="88" spans="1:7">
      <c r="A88" s="381" t="s">
        <v>3773</v>
      </c>
      <c r="B88" s="455" t="s">
        <v>3767</v>
      </c>
      <c r="C88" s="455">
        <v>2</v>
      </c>
      <c r="D88" s="382" t="s">
        <v>3761</v>
      </c>
      <c r="F88" s="382" t="str">
        <f t="shared" si="3"/>
        <v>E2B</v>
      </c>
      <c r="G88" t="str">
        <f t="shared" si="4"/>
        <v>E2B</v>
      </c>
    </row>
    <row r="89" spans="1:7">
      <c r="A89" s="381" t="s">
        <v>3773</v>
      </c>
      <c r="B89" s="455" t="s">
        <v>3767</v>
      </c>
      <c r="C89" s="455">
        <v>2</v>
      </c>
      <c r="D89" s="382" t="s">
        <v>3765</v>
      </c>
      <c r="F89" s="382" t="str">
        <f t="shared" si="3"/>
        <v>E2C</v>
      </c>
      <c r="G89" t="str">
        <f t="shared" si="4"/>
        <v>E2C</v>
      </c>
    </row>
    <row r="90" spans="1:7">
      <c r="A90" s="381" t="s">
        <v>3773</v>
      </c>
      <c r="B90" s="455" t="s">
        <v>3767</v>
      </c>
      <c r="C90" s="455">
        <v>3</v>
      </c>
      <c r="D90" s="382" t="s">
        <v>3760</v>
      </c>
      <c r="F90" s="382" t="str">
        <f t="shared" si="3"/>
        <v>E3A</v>
      </c>
      <c r="G90" t="str">
        <f t="shared" si="4"/>
        <v>E3A</v>
      </c>
    </row>
    <row r="91" spans="1:7">
      <c r="A91" s="381" t="s">
        <v>3773</v>
      </c>
      <c r="B91" s="455" t="s">
        <v>3767</v>
      </c>
      <c r="C91" s="455">
        <v>3</v>
      </c>
      <c r="D91" s="382" t="s">
        <v>3761</v>
      </c>
      <c r="F91" s="382" t="str">
        <f t="shared" ref="F91:F155" si="5">B91&amp;C91&amp;D91</f>
        <v>E3B</v>
      </c>
      <c r="G91" t="str">
        <f t="shared" si="4"/>
        <v>E3B</v>
      </c>
    </row>
    <row r="92" spans="1:7">
      <c r="A92" s="381" t="s">
        <v>3773</v>
      </c>
      <c r="B92" s="455" t="s">
        <v>3767</v>
      </c>
      <c r="C92" s="455">
        <v>3</v>
      </c>
      <c r="D92" s="382" t="s">
        <v>3765</v>
      </c>
      <c r="F92" s="382" t="str">
        <f t="shared" si="5"/>
        <v>E3C</v>
      </c>
      <c r="G92" t="str">
        <f t="shared" ref="G92:G155" si="6">F92</f>
        <v>E3C</v>
      </c>
    </row>
    <row r="93" spans="1:7">
      <c r="A93" s="381" t="s">
        <v>3773</v>
      </c>
      <c r="B93" s="455" t="s">
        <v>3767</v>
      </c>
      <c r="C93" s="455">
        <v>4</v>
      </c>
      <c r="D93" s="382" t="s">
        <v>3760</v>
      </c>
      <c r="F93" s="382" t="str">
        <f t="shared" si="5"/>
        <v>E4A</v>
      </c>
      <c r="G93" t="str">
        <f t="shared" si="6"/>
        <v>E4A</v>
      </c>
    </row>
    <row r="94" spans="1:7">
      <c r="A94" s="381" t="s">
        <v>3773</v>
      </c>
      <c r="B94" s="455" t="s">
        <v>3767</v>
      </c>
      <c r="C94" s="455">
        <v>4</v>
      </c>
      <c r="D94" s="382" t="s">
        <v>3761</v>
      </c>
      <c r="F94" s="382" t="str">
        <f t="shared" si="5"/>
        <v>E4B</v>
      </c>
      <c r="G94" t="str">
        <f t="shared" si="6"/>
        <v>E4B</v>
      </c>
    </row>
    <row r="95" spans="1:7">
      <c r="A95" s="381" t="s">
        <v>3773</v>
      </c>
      <c r="B95" s="455" t="s">
        <v>3767</v>
      </c>
      <c r="C95" s="455">
        <v>4</v>
      </c>
      <c r="D95" s="382" t="s">
        <v>3765</v>
      </c>
      <c r="F95" s="382" t="str">
        <f t="shared" si="5"/>
        <v>E4C</v>
      </c>
      <c r="G95" t="str">
        <f t="shared" si="6"/>
        <v>E4C</v>
      </c>
    </row>
    <row r="96" spans="1:7">
      <c r="A96" s="381" t="s">
        <v>3773</v>
      </c>
      <c r="B96" s="455" t="s">
        <v>3767</v>
      </c>
      <c r="C96" s="455">
        <v>5</v>
      </c>
      <c r="D96" s="382" t="s">
        <v>3760</v>
      </c>
      <c r="F96" s="382" t="str">
        <f t="shared" si="5"/>
        <v>E5A</v>
      </c>
      <c r="G96" t="str">
        <f t="shared" si="6"/>
        <v>E5A</v>
      </c>
    </row>
    <row r="97" spans="1:7">
      <c r="A97" s="381" t="s">
        <v>3773</v>
      </c>
      <c r="B97" s="455" t="s">
        <v>3767</v>
      </c>
      <c r="C97" s="455">
        <v>5</v>
      </c>
      <c r="D97" s="382" t="s">
        <v>3761</v>
      </c>
      <c r="F97" s="382" t="str">
        <f t="shared" si="5"/>
        <v>E5B</v>
      </c>
      <c r="G97" t="str">
        <f t="shared" si="6"/>
        <v>E5B</v>
      </c>
    </row>
    <row r="98" spans="1:7">
      <c r="A98" s="381" t="s">
        <v>3773</v>
      </c>
      <c r="B98" s="455" t="s">
        <v>3767</v>
      </c>
      <c r="C98" s="455">
        <v>5</v>
      </c>
      <c r="D98" s="382" t="s">
        <v>3765</v>
      </c>
      <c r="F98" s="382" t="str">
        <f t="shared" si="5"/>
        <v>E5C</v>
      </c>
      <c r="G98" t="str">
        <f t="shared" si="6"/>
        <v>E5C</v>
      </c>
    </row>
    <row r="99" spans="1:7">
      <c r="A99" s="381" t="s">
        <v>3773</v>
      </c>
      <c r="B99" s="455" t="s">
        <v>3767</v>
      </c>
      <c r="C99" s="455">
        <v>6</v>
      </c>
      <c r="D99" s="382" t="s">
        <v>3760</v>
      </c>
      <c r="F99" s="382" t="str">
        <f t="shared" si="5"/>
        <v>E6A</v>
      </c>
      <c r="G99" t="str">
        <f t="shared" si="6"/>
        <v>E6A</v>
      </c>
    </row>
    <row r="100" spans="1:7">
      <c r="A100" s="381" t="s">
        <v>3773</v>
      </c>
      <c r="B100" s="455" t="s">
        <v>3767</v>
      </c>
      <c r="C100" s="455">
        <v>6</v>
      </c>
      <c r="D100" s="382" t="s">
        <v>3761</v>
      </c>
      <c r="F100" s="382" t="str">
        <f t="shared" si="5"/>
        <v>E6B</v>
      </c>
      <c r="G100" t="str">
        <f t="shared" si="6"/>
        <v>E6B</v>
      </c>
    </row>
    <row r="101" spans="1:7">
      <c r="A101" s="381" t="s">
        <v>3773</v>
      </c>
      <c r="B101" s="455" t="s">
        <v>3767</v>
      </c>
      <c r="C101" s="455">
        <v>6</v>
      </c>
      <c r="D101" s="382" t="s">
        <v>3765</v>
      </c>
      <c r="F101" s="382" t="str">
        <f t="shared" si="5"/>
        <v>E6C</v>
      </c>
      <c r="G101" t="str">
        <f t="shared" si="6"/>
        <v>E6C</v>
      </c>
    </row>
    <row r="102" spans="1:7">
      <c r="A102" s="381" t="s">
        <v>3773</v>
      </c>
      <c r="B102" s="455" t="s">
        <v>3768</v>
      </c>
      <c r="C102" s="455">
        <v>1</v>
      </c>
      <c r="D102" s="382" t="s">
        <v>3760</v>
      </c>
      <c r="F102" s="382" t="str">
        <f t="shared" si="5"/>
        <v>F1A</v>
      </c>
      <c r="G102" t="str">
        <f t="shared" si="6"/>
        <v>F1A</v>
      </c>
    </row>
    <row r="103" spans="1:7">
      <c r="A103" s="381" t="s">
        <v>3773</v>
      </c>
      <c r="B103" s="455" t="s">
        <v>3768</v>
      </c>
      <c r="C103" s="455">
        <v>1</v>
      </c>
      <c r="D103" s="382" t="s">
        <v>3761</v>
      </c>
      <c r="F103" s="382" t="str">
        <f t="shared" si="5"/>
        <v>F1B</v>
      </c>
      <c r="G103" t="str">
        <f t="shared" si="6"/>
        <v>F1B</v>
      </c>
    </row>
    <row r="104" spans="1:7">
      <c r="A104" s="381" t="s">
        <v>3773</v>
      </c>
      <c r="B104" s="455" t="s">
        <v>3768</v>
      </c>
      <c r="C104" s="455">
        <v>1</v>
      </c>
      <c r="D104" s="382" t="s">
        <v>3765</v>
      </c>
      <c r="F104" s="382" t="str">
        <f t="shared" si="5"/>
        <v>F1C</v>
      </c>
      <c r="G104" t="str">
        <f t="shared" si="6"/>
        <v>F1C</v>
      </c>
    </row>
    <row r="105" spans="1:7">
      <c r="A105" s="381" t="s">
        <v>3773</v>
      </c>
      <c r="B105" s="455" t="s">
        <v>3768</v>
      </c>
      <c r="C105" s="455">
        <v>2</v>
      </c>
      <c r="D105" s="382" t="s">
        <v>3760</v>
      </c>
      <c r="F105" s="382" t="str">
        <f t="shared" si="5"/>
        <v>F2A</v>
      </c>
      <c r="G105" t="str">
        <f t="shared" si="6"/>
        <v>F2A</v>
      </c>
    </row>
    <row r="106" spans="1:7">
      <c r="A106" s="381" t="s">
        <v>3773</v>
      </c>
      <c r="B106" s="455" t="s">
        <v>3768</v>
      </c>
      <c r="C106" s="455">
        <v>2</v>
      </c>
      <c r="D106" s="382" t="s">
        <v>3761</v>
      </c>
      <c r="F106" s="382" t="str">
        <f t="shared" si="5"/>
        <v>F2B</v>
      </c>
      <c r="G106" t="str">
        <f t="shared" si="6"/>
        <v>F2B</v>
      </c>
    </row>
    <row r="107" spans="1:7">
      <c r="A107" s="381" t="s">
        <v>3773</v>
      </c>
      <c r="B107" s="455" t="s">
        <v>3768</v>
      </c>
      <c r="C107" s="455">
        <v>2</v>
      </c>
      <c r="D107" s="382" t="s">
        <v>3765</v>
      </c>
      <c r="F107" s="382" t="str">
        <f t="shared" si="5"/>
        <v>F2C</v>
      </c>
      <c r="G107" t="str">
        <f t="shared" si="6"/>
        <v>F2C</v>
      </c>
    </row>
    <row r="108" spans="1:7">
      <c r="A108" s="381" t="s">
        <v>3773</v>
      </c>
      <c r="B108" s="455" t="s">
        <v>3768</v>
      </c>
      <c r="C108" s="455">
        <v>3</v>
      </c>
      <c r="D108" s="382" t="s">
        <v>3760</v>
      </c>
      <c r="F108" s="382" t="str">
        <f t="shared" si="5"/>
        <v>F3A</v>
      </c>
      <c r="G108" t="str">
        <f t="shared" si="6"/>
        <v>F3A</v>
      </c>
    </row>
    <row r="109" spans="1:7">
      <c r="A109" s="381" t="s">
        <v>3773</v>
      </c>
      <c r="B109" s="455" t="s">
        <v>3768</v>
      </c>
      <c r="C109" s="455">
        <v>3</v>
      </c>
      <c r="D109" s="382" t="s">
        <v>3761</v>
      </c>
      <c r="F109" s="382" t="str">
        <f t="shared" si="5"/>
        <v>F3B</v>
      </c>
      <c r="G109" t="str">
        <f t="shared" si="6"/>
        <v>F3B</v>
      </c>
    </row>
    <row r="110" spans="1:7">
      <c r="A110" s="381" t="s">
        <v>3773</v>
      </c>
      <c r="B110" s="455" t="s">
        <v>3768</v>
      </c>
      <c r="C110" s="455">
        <v>3</v>
      </c>
      <c r="D110" s="382" t="s">
        <v>3765</v>
      </c>
      <c r="F110" s="382" t="str">
        <f t="shared" si="5"/>
        <v>F3C</v>
      </c>
      <c r="G110" t="str">
        <f t="shared" si="6"/>
        <v>F3C</v>
      </c>
    </row>
    <row r="111" spans="1:7">
      <c r="A111" s="381" t="s">
        <v>3773</v>
      </c>
      <c r="B111" s="455" t="s">
        <v>3768</v>
      </c>
      <c r="C111" s="455">
        <v>4</v>
      </c>
      <c r="D111" s="382" t="s">
        <v>3760</v>
      </c>
      <c r="F111" s="382" t="str">
        <f t="shared" si="5"/>
        <v>F4A</v>
      </c>
      <c r="G111" t="str">
        <f t="shared" si="6"/>
        <v>F4A</v>
      </c>
    </row>
    <row r="112" spans="1:7">
      <c r="A112" s="381" t="s">
        <v>3773</v>
      </c>
      <c r="B112" s="455" t="s">
        <v>3768</v>
      </c>
      <c r="C112" s="455">
        <v>4</v>
      </c>
      <c r="D112" s="382" t="s">
        <v>3761</v>
      </c>
      <c r="F112" s="382" t="str">
        <f t="shared" si="5"/>
        <v>F4B</v>
      </c>
      <c r="G112" t="str">
        <f t="shared" si="6"/>
        <v>F4B</v>
      </c>
    </row>
    <row r="113" spans="1:7">
      <c r="A113" s="381" t="s">
        <v>3773</v>
      </c>
      <c r="B113" s="455" t="s">
        <v>3768</v>
      </c>
      <c r="C113" s="455">
        <v>4</v>
      </c>
      <c r="D113" s="382" t="s">
        <v>3765</v>
      </c>
      <c r="F113" s="382" t="str">
        <f t="shared" si="5"/>
        <v>F4C</v>
      </c>
      <c r="G113" t="str">
        <f t="shared" si="6"/>
        <v>F4C</v>
      </c>
    </row>
    <row r="114" spans="1:7">
      <c r="A114" s="381" t="s">
        <v>3773</v>
      </c>
      <c r="B114" s="455" t="s">
        <v>3768</v>
      </c>
      <c r="C114" s="455">
        <v>5</v>
      </c>
      <c r="D114" s="382" t="s">
        <v>3760</v>
      </c>
      <c r="F114" s="382" t="str">
        <f t="shared" si="5"/>
        <v>F5A</v>
      </c>
      <c r="G114" t="str">
        <f t="shared" si="6"/>
        <v>F5A</v>
      </c>
    </row>
    <row r="115" spans="1:7">
      <c r="A115" s="381" t="s">
        <v>3773</v>
      </c>
      <c r="B115" s="455" t="s">
        <v>3768</v>
      </c>
      <c r="C115" s="455">
        <v>5</v>
      </c>
      <c r="D115" s="382" t="s">
        <v>3761</v>
      </c>
      <c r="F115" s="382" t="str">
        <f t="shared" si="5"/>
        <v>F5B</v>
      </c>
      <c r="G115" t="str">
        <f t="shared" si="6"/>
        <v>F5B</v>
      </c>
    </row>
    <row r="116" spans="1:7">
      <c r="A116" s="381" t="s">
        <v>3773</v>
      </c>
      <c r="B116" s="455" t="s">
        <v>3768</v>
      </c>
      <c r="C116" s="455">
        <v>5</v>
      </c>
      <c r="D116" s="382" t="s">
        <v>3765</v>
      </c>
      <c r="F116" s="382" t="str">
        <f t="shared" si="5"/>
        <v>F5C</v>
      </c>
      <c r="G116" t="str">
        <f t="shared" si="6"/>
        <v>F5C</v>
      </c>
    </row>
    <row r="117" spans="1:7">
      <c r="A117" s="381" t="s">
        <v>3773</v>
      </c>
      <c r="B117" s="455" t="s">
        <v>3768</v>
      </c>
      <c r="C117" s="455">
        <v>6</v>
      </c>
      <c r="D117" s="382" t="s">
        <v>3760</v>
      </c>
      <c r="F117" s="382" t="str">
        <f t="shared" si="5"/>
        <v>F6A</v>
      </c>
      <c r="G117" t="str">
        <f t="shared" si="6"/>
        <v>F6A</v>
      </c>
    </row>
    <row r="118" spans="1:7">
      <c r="A118" s="381" t="s">
        <v>3773</v>
      </c>
      <c r="B118" s="455" t="s">
        <v>3768</v>
      </c>
      <c r="C118" s="455">
        <v>6</v>
      </c>
      <c r="D118" s="382" t="s">
        <v>3761</v>
      </c>
      <c r="F118" s="382" t="str">
        <f t="shared" si="5"/>
        <v>F6B</v>
      </c>
      <c r="G118" t="str">
        <f t="shared" si="6"/>
        <v>F6B</v>
      </c>
    </row>
    <row r="119" spans="1:7">
      <c r="A119" s="381" t="s">
        <v>3773</v>
      </c>
      <c r="B119" s="455" t="s">
        <v>3768</v>
      </c>
      <c r="C119" s="455">
        <v>6</v>
      </c>
      <c r="D119" s="382" t="s">
        <v>3765</v>
      </c>
      <c r="F119" s="382" t="str">
        <f t="shared" si="5"/>
        <v>F6C</v>
      </c>
      <c r="G119" t="str">
        <f t="shared" si="6"/>
        <v>F6C</v>
      </c>
    </row>
    <row r="120" spans="1:7">
      <c r="A120" s="381" t="s">
        <v>3773</v>
      </c>
      <c r="B120" s="455" t="s">
        <v>3769</v>
      </c>
      <c r="C120" s="455">
        <v>1</v>
      </c>
      <c r="D120" s="382" t="s">
        <v>3760</v>
      </c>
      <c r="F120" s="382" t="str">
        <f t="shared" si="5"/>
        <v>G1A</v>
      </c>
      <c r="G120" t="str">
        <f t="shared" si="6"/>
        <v>G1A</v>
      </c>
    </row>
    <row r="121" spans="1:7">
      <c r="A121" s="381" t="s">
        <v>3773</v>
      </c>
      <c r="B121" s="455" t="s">
        <v>3769</v>
      </c>
      <c r="C121" s="455">
        <v>1</v>
      </c>
      <c r="D121" s="382" t="s">
        <v>3761</v>
      </c>
      <c r="F121" s="382" t="str">
        <f t="shared" si="5"/>
        <v>G1B</v>
      </c>
      <c r="G121" t="str">
        <f t="shared" si="6"/>
        <v>G1B</v>
      </c>
    </row>
    <row r="122" spans="1:7">
      <c r="A122" s="381" t="s">
        <v>3773</v>
      </c>
      <c r="B122" s="455" t="s">
        <v>3769</v>
      </c>
      <c r="C122" s="455">
        <v>1</v>
      </c>
      <c r="D122" s="382" t="s">
        <v>3765</v>
      </c>
      <c r="F122" s="382" t="str">
        <f t="shared" si="5"/>
        <v>G1C</v>
      </c>
      <c r="G122" t="str">
        <f t="shared" si="6"/>
        <v>G1C</v>
      </c>
    </row>
    <row r="123" spans="1:7">
      <c r="A123" s="381" t="s">
        <v>3773</v>
      </c>
      <c r="B123" s="455" t="s">
        <v>3769</v>
      </c>
      <c r="C123" s="455">
        <v>2</v>
      </c>
      <c r="D123" s="382" t="s">
        <v>3760</v>
      </c>
      <c r="F123" s="382" t="str">
        <f t="shared" si="5"/>
        <v>G2A</v>
      </c>
      <c r="G123" t="str">
        <f t="shared" si="6"/>
        <v>G2A</v>
      </c>
    </row>
    <row r="124" spans="1:7">
      <c r="A124" s="381" t="s">
        <v>3773</v>
      </c>
      <c r="B124" s="455" t="s">
        <v>3769</v>
      </c>
      <c r="C124" s="455">
        <v>2</v>
      </c>
      <c r="D124" s="382" t="s">
        <v>3761</v>
      </c>
      <c r="F124" s="382" t="str">
        <f t="shared" si="5"/>
        <v>G2B</v>
      </c>
      <c r="G124" t="str">
        <f t="shared" si="6"/>
        <v>G2B</v>
      </c>
    </row>
    <row r="125" spans="1:7">
      <c r="A125" s="381" t="s">
        <v>3773</v>
      </c>
      <c r="B125" s="455" t="s">
        <v>3769</v>
      </c>
      <c r="C125" s="455">
        <v>2</v>
      </c>
      <c r="D125" s="382" t="s">
        <v>3765</v>
      </c>
      <c r="F125" s="382" t="str">
        <f t="shared" si="5"/>
        <v>G2C</v>
      </c>
      <c r="G125" t="str">
        <f t="shared" si="6"/>
        <v>G2C</v>
      </c>
    </row>
    <row r="126" spans="1:7">
      <c r="A126" s="381" t="s">
        <v>3773</v>
      </c>
      <c r="B126" s="455" t="s">
        <v>3769</v>
      </c>
      <c r="C126" s="455">
        <v>3</v>
      </c>
      <c r="D126" s="382" t="s">
        <v>3760</v>
      </c>
      <c r="F126" s="382" t="str">
        <f t="shared" si="5"/>
        <v>G3A</v>
      </c>
      <c r="G126" t="str">
        <f t="shared" si="6"/>
        <v>G3A</v>
      </c>
    </row>
    <row r="127" spans="1:7">
      <c r="A127" s="381" t="s">
        <v>3773</v>
      </c>
      <c r="B127" s="455" t="s">
        <v>3769</v>
      </c>
      <c r="C127" s="455">
        <v>3</v>
      </c>
      <c r="D127" s="382" t="s">
        <v>3761</v>
      </c>
      <c r="F127" s="382" t="str">
        <f t="shared" si="5"/>
        <v>G3B</v>
      </c>
      <c r="G127" t="str">
        <f t="shared" si="6"/>
        <v>G3B</v>
      </c>
    </row>
    <row r="128" spans="1:7">
      <c r="A128" s="381" t="s">
        <v>3773</v>
      </c>
      <c r="B128" s="455" t="s">
        <v>3769</v>
      </c>
      <c r="C128" s="455">
        <v>3</v>
      </c>
      <c r="D128" s="382" t="s">
        <v>3765</v>
      </c>
      <c r="F128" s="382" t="str">
        <f t="shared" si="5"/>
        <v>G3C</v>
      </c>
      <c r="G128" t="str">
        <f t="shared" si="6"/>
        <v>G3C</v>
      </c>
    </row>
    <row r="129" spans="1:7">
      <c r="A129" s="381" t="s">
        <v>3773</v>
      </c>
      <c r="B129" s="455" t="s">
        <v>3769</v>
      </c>
      <c r="C129" s="455">
        <v>4</v>
      </c>
      <c r="D129" s="382" t="s">
        <v>3760</v>
      </c>
      <c r="F129" s="382" t="str">
        <f t="shared" si="5"/>
        <v>G4A</v>
      </c>
      <c r="G129" t="str">
        <f t="shared" si="6"/>
        <v>G4A</v>
      </c>
    </row>
    <row r="130" spans="1:7">
      <c r="A130" s="381" t="s">
        <v>3773</v>
      </c>
      <c r="B130" s="455" t="s">
        <v>3769</v>
      </c>
      <c r="C130" s="455">
        <v>4</v>
      </c>
      <c r="D130" s="382" t="s">
        <v>3761</v>
      </c>
      <c r="F130" s="382" t="str">
        <f t="shared" si="5"/>
        <v>G4B</v>
      </c>
      <c r="G130" t="str">
        <f t="shared" si="6"/>
        <v>G4B</v>
      </c>
    </row>
    <row r="131" spans="1:7">
      <c r="A131" s="381" t="s">
        <v>3773</v>
      </c>
      <c r="B131" s="455" t="s">
        <v>3769</v>
      </c>
      <c r="C131" s="455">
        <v>4</v>
      </c>
      <c r="D131" s="382" t="s">
        <v>3765</v>
      </c>
      <c r="F131" s="382" t="str">
        <f t="shared" si="5"/>
        <v>G4C</v>
      </c>
      <c r="G131" t="str">
        <f t="shared" si="6"/>
        <v>G4C</v>
      </c>
    </row>
    <row r="132" spans="1:7">
      <c r="A132" s="381" t="s">
        <v>3773</v>
      </c>
      <c r="B132" s="455" t="s">
        <v>3769</v>
      </c>
      <c r="C132" s="455">
        <v>5</v>
      </c>
      <c r="D132" s="382" t="s">
        <v>3760</v>
      </c>
      <c r="F132" s="382" t="str">
        <f t="shared" si="5"/>
        <v>G5A</v>
      </c>
      <c r="G132" t="str">
        <f t="shared" si="6"/>
        <v>G5A</v>
      </c>
    </row>
    <row r="133" spans="1:7">
      <c r="A133" s="381" t="s">
        <v>3773</v>
      </c>
      <c r="B133" s="455" t="s">
        <v>3769</v>
      </c>
      <c r="C133" s="455">
        <v>5</v>
      </c>
      <c r="D133" s="382" t="s">
        <v>3761</v>
      </c>
      <c r="F133" s="382" t="str">
        <f t="shared" si="5"/>
        <v>G5B</v>
      </c>
      <c r="G133" t="str">
        <f t="shared" si="6"/>
        <v>G5B</v>
      </c>
    </row>
    <row r="134" spans="1:7">
      <c r="A134" s="381" t="s">
        <v>3773</v>
      </c>
      <c r="B134" s="455" t="s">
        <v>3769</v>
      </c>
      <c r="C134" s="455">
        <v>5</v>
      </c>
      <c r="D134" s="382" t="s">
        <v>3765</v>
      </c>
      <c r="F134" s="382" t="str">
        <f t="shared" si="5"/>
        <v>G5C</v>
      </c>
      <c r="G134" t="str">
        <f t="shared" si="6"/>
        <v>G5C</v>
      </c>
    </row>
    <row r="135" spans="1:7">
      <c r="A135" s="381" t="s">
        <v>3773</v>
      </c>
      <c r="B135" s="455" t="s">
        <v>3769</v>
      </c>
      <c r="C135" s="455">
        <v>6</v>
      </c>
      <c r="D135" s="382" t="s">
        <v>3760</v>
      </c>
      <c r="F135" s="382" t="str">
        <f t="shared" si="5"/>
        <v>G6A</v>
      </c>
      <c r="G135" t="str">
        <f t="shared" si="6"/>
        <v>G6A</v>
      </c>
    </row>
    <row r="136" spans="1:7">
      <c r="A136" s="381" t="s">
        <v>3773</v>
      </c>
      <c r="B136" s="455" t="s">
        <v>3769</v>
      </c>
      <c r="C136" s="455">
        <v>6</v>
      </c>
      <c r="D136" s="382" t="s">
        <v>3761</v>
      </c>
      <c r="F136" s="382" t="str">
        <f t="shared" si="5"/>
        <v>G6B</v>
      </c>
      <c r="G136" t="str">
        <f t="shared" si="6"/>
        <v>G6B</v>
      </c>
    </row>
    <row r="137" spans="1:7">
      <c r="A137" s="381" t="s">
        <v>3773</v>
      </c>
      <c r="B137" s="455" t="s">
        <v>3769</v>
      </c>
      <c r="C137" s="455">
        <v>6</v>
      </c>
      <c r="D137" s="382" t="s">
        <v>3765</v>
      </c>
      <c r="F137" s="382" t="str">
        <f t="shared" si="5"/>
        <v>G6C</v>
      </c>
      <c r="G137" t="str">
        <f t="shared" si="6"/>
        <v>G6C</v>
      </c>
    </row>
    <row r="138" spans="1:7">
      <c r="A138" s="381" t="s">
        <v>3773</v>
      </c>
      <c r="B138" s="455" t="s">
        <v>3775</v>
      </c>
      <c r="C138" s="455">
        <v>1</v>
      </c>
      <c r="D138" s="382" t="s">
        <v>3760</v>
      </c>
      <c r="F138" s="382" t="str">
        <f t="shared" si="5"/>
        <v>H1A</v>
      </c>
      <c r="G138" t="str">
        <f t="shared" si="6"/>
        <v>H1A</v>
      </c>
    </row>
    <row r="139" spans="1:7">
      <c r="A139" s="381" t="s">
        <v>3773</v>
      </c>
      <c r="B139" s="455" t="s">
        <v>3775</v>
      </c>
      <c r="C139" s="455">
        <v>1</v>
      </c>
      <c r="D139" s="382" t="s">
        <v>3761</v>
      </c>
      <c r="F139" s="382" t="str">
        <f t="shared" si="5"/>
        <v>H1B</v>
      </c>
      <c r="G139" t="str">
        <f t="shared" si="6"/>
        <v>H1B</v>
      </c>
    </row>
    <row r="140" spans="1:7">
      <c r="A140" s="381" t="s">
        <v>3773</v>
      </c>
      <c r="B140" s="455" t="s">
        <v>3775</v>
      </c>
      <c r="C140" s="455">
        <v>1</v>
      </c>
      <c r="D140" s="382" t="s">
        <v>3765</v>
      </c>
      <c r="F140" s="382" t="str">
        <f t="shared" si="5"/>
        <v>H1C</v>
      </c>
      <c r="G140" t="str">
        <f t="shared" si="6"/>
        <v>H1C</v>
      </c>
    </row>
    <row r="141" spans="1:7">
      <c r="A141" s="381" t="s">
        <v>3773</v>
      </c>
      <c r="B141" s="455" t="s">
        <v>3775</v>
      </c>
      <c r="C141" s="455">
        <v>2</v>
      </c>
      <c r="D141" s="382" t="s">
        <v>3760</v>
      </c>
      <c r="F141" s="382" t="str">
        <f t="shared" si="5"/>
        <v>H2A</v>
      </c>
      <c r="G141" t="str">
        <f t="shared" si="6"/>
        <v>H2A</v>
      </c>
    </row>
    <row r="142" spans="1:7">
      <c r="A142" s="381" t="s">
        <v>3773</v>
      </c>
      <c r="B142" s="455" t="s">
        <v>3775</v>
      </c>
      <c r="C142" s="455">
        <v>2</v>
      </c>
      <c r="D142" s="382" t="s">
        <v>3761</v>
      </c>
      <c r="F142" s="382" t="str">
        <f t="shared" si="5"/>
        <v>H2B</v>
      </c>
      <c r="G142" t="str">
        <f t="shared" si="6"/>
        <v>H2B</v>
      </c>
    </row>
    <row r="143" spans="1:7">
      <c r="A143" s="381" t="s">
        <v>3773</v>
      </c>
      <c r="B143" s="455" t="s">
        <v>3775</v>
      </c>
      <c r="C143" s="455">
        <v>2</v>
      </c>
      <c r="D143" s="382" t="s">
        <v>3765</v>
      </c>
      <c r="F143" s="382" t="str">
        <f t="shared" si="5"/>
        <v>H2C</v>
      </c>
      <c r="G143" t="str">
        <f t="shared" si="6"/>
        <v>H2C</v>
      </c>
    </row>
    <row r="144" spans="1:7">
      <c r="A144" s="381" t="s">
        <v>3773</v>
      </c>
      <c r="B144" s="455" t="s">
        <v>3775</v>
      </c>
      <c r="C144" s="455">
        <v>3</v>
      </c>
      <c r="D144" s="382" t="s">
        <v>3760</v>
      </c>
      <c r="F144" s="382" t="str">
        <f t="shared" si="5"/>
        <v>H3A</v>
      </c>
      <c r="G144" t="str">
        <f t="shared" si="6"/>
        <v>H3A</v>
      </c>
    </row>
    <row r="145" spans="1:7">
      <c r="A145" s="381" t="s">
        <v>3773</v>
      </c>
      <c r="B145" s="455" t="s">
        <v>3775</v>
      </c>
      <c r="C145" s="455">
        <v>3</v>
      </c>
      <c r="D145" s="382" t="s">
        <v>3761</v>
      </c>
      <c r="F145" s="382" t="str">
        <f t="shared" si="5"/>
        <v>H3B</v>
      </c>
      <c r="G145" t="str">
        <f t="shared" si="6"/>
        <v>H3B</v>
      </c>
    </row>
    <row r="146" spans="1:7">
      <c r="A146" s="381" t="s">
        <v>3773</v>
      </c>
      <c r="B146" s="455" t="s">
        <v>3775</v>
      </c>
      <c r="C146" s="455">
        <v>3</v>
      </c>
      <c r="D146" s="382" t="s">
        <v>3765</v>
      </c>
      <c r="F146" s="382" t="str">
        <f t="shared" si="5"/>
        <v>H3C</v>
      </c>
      <c r="G146" t="str">
        <f t="shared" si="6"/>
        <v>H3C</v>
      </c>
    </row>
    <row r="147" spans="1:7">
      <c r="A147" s="381" t="s">
        <v>3773</v>
      </c>
      <c r="B147" s="455" t="s">
        <v>3775</v>
      </c>
      <c r="C147" s="455">
        <v>4</v>
      </c>
      <c r="D147" s="382" t="s">
        <v>3760</v>
      </c>
      <c r="F147" s="382" t="str">
        <f t="shared" si="5"/>
        <v>H4A</v>
      </c>
      <c r="G147" t="str">
        <f t="shared" si="6"/>
        <v>H4A</v>
      </c>
    </row>
    <row r="148" spans="1:7">
      <c r="A148" s="381" t="s">
        <v>3773</v>
      </c>
      <c r="B148" s="455" t="s">
        <v>3775</v>
      </c>
      <c r="C148" s="455">
        <v>4</v>
      </c>
      <c r="D148" s="382" t="s">
        <v>3761</v>
      </c>
      <c r="F148" s="382" t="str">
        <f t="shared" si="5"/>
        <v>H4B</v>
      </c>
      <c r="G148" t="str">
        <f t="shared" si="6"/>
        <v>H4B</v>
      </c>
    </row>
    <row r="149" spans="1:7">
      <c r="A149" s="381" t="s">
        <v>3773</v>
      </c>
      <c r="B149" s="455" t="s">
        <v>3775</v>
      </c>
      <c r="C149" s="455">
        <v>4</v>
      </c>
      <c r="D149" s="382" t="s">
        <v>3765</v>
      </c>
      <c r="F149" s="382" t="str">
        <f t="shared" si="5"/>
        <v>H4C</v>
      </c>
      <c r="G149" t="str">
        <f t="shared" si="6"/>
        <v>H4C</v>
      </c>
    </row>
    <row r="150" spans="1:7">
      <c r="A150" s="381" t="s">
        <v>3773</v>
      </c>
      <c r="B150" s="455" t="s">
        <v>3775</v>
      </c>
      <c r="C150" s="455">
        <v>5</v>
      </c>
      <c r="D150" s="382" t="s">
        <v>3760</v>
      </c>
      <c r="F150" s="382" t="str">
        <f t="shared" si="5"/>
        <v>H5A</v>
      </c>
      <c r="G150" t="str">
        <f t="shared" si="6"/>
        <v>H5A</v>
      </c>
    </row>
    <row r="151" spans="1:7">
      <c r="A151" s="381" t="s">
        <v>3773</v>
      </c>
      <c r="B151" s="455" t="s">
        <v>3775</v>
      </c>
      <c r="C151" s="455">
        <v>5</v>
      </c>
      <c r="D151" s="382" t="s">
        <v>3761</v>
      </c>
      <c r="F151" s="382" t="str">
        <f t="shared" si="5"/>
        <v>H5B</v>
      </c>
      <c r="G151" t="str">
        <f t="shared" si="6"/>
        <v>H5B</v>
      </c>
    </row>
    <row r="152" spans="1:7">
      <c r="A152" s="381" t="s">
        <v>3773</v>
      </c>
      <c r="B152" s="455" t="s">
        <v>3775</v>
      </c>
      <c r="C152" s="455">
        <v>5</v>
      </c>
      <c r="D152" s="382" t="s">
        <v>3765</v>
      </c>
      <c r="F152" s="382" t="str">
        <f t="shared" si="5"/>
        <v>H5C</v>
      </c>
      <c r="G152" t="str">
        <f t="shared" si="6"/>
        <v>H5C</v>
      </c>
    </row>
    <row r="153" spans="1:7">
      <c r="A153" s="381" t="s">
        <v>3773</v>
      </c>
      <c r="B153" s="455" t="s">
        <v>3775</v>
      </c>
      <c r="C153" s="455">
        <v>6</v>
      </c>
      <c r="D153" s="382" t="s">
        <v>3760</v>
      </c>
      <c r="F153" s="382" t="str">
        <f t="shared" si="5"/>
        <v>H6A</v>
      </c>
      <c r="G153" t="str">
        <f t="shared" si="6"/>
        <v>H6A</v>
      </c>
    </row>
    <row r="154" spans="1:7">
      <c r="A154" s="381" t="s">
        <v>3773</v>
      </c>
      <c r="B154" s="455" t="s">
        <v>3775</v>
      </c>
      <c r="C154" s="455">
        <v>6</v>
      </c>
      <c r="D154" s="382" t="s">
        <v>3761</v>
      </c>
      <c r="F154" s="382" t="str">
        <f t="shared" si="5"/>
        <v>H6B</v>
      </c>
      <c r="G154" t="str">
        <f t="shared" si="6"/>
        <v>H6B</v>
      </c>
    </row>
    <row r="155" spans="1:7">
      <c r="A155" s="381" t="s">
        <v>3773</v>
      </c>
      <c r="B155" s="455" t="s">
        <v>3775</v>
      </c>
      <c r="C155" s="455">
        <v>6</v>
      </c>
      <c r="D155" s="382" t="s">
        <v>3765</v>
      </c>
      <c r="F155" s="382" t="str">
        <f t="shared" si="5"/>
        <v>H6C</v>
      </c>
      <c r="G155" t="str">
        <f t="shared" si="6"/>
        <v>H6C</v>
      </c>
    </row>
    <row r="156" spans="1:7">
      <c r="A156" s="381" t="s">
        <v>3773</v>
      </c>
      <c r="B156" s="382" t="s">
        <v>3795</v>
      </c>
      <c r="C156" s="382">
        <v>1</v>
      </c>
      <c r="D156" s="382" t="s">
        <v>3760</v>
      </c>
      <c r="F156" s="382" t="str">
        <f>B156&amp;C156&amp;D156</f>
        <v>I11A</v>
      </c>
      <c r="G156" t="str">
        <f>F156</f>
        <v>I11A</v>
      </c>
    </row>
    <row r="157" spans="1:7">
      <c r="A157" s="381" t="s">
        <v>3773</v>
      </c>
      <c r="B157" s="382" t="s">
        <v>3795</v>
      </c>
      <c r="C157" s="382">
        <v>1</v>
      </c>
      <c r="D157" s="382" t="s">
        <v>3761</v>
      </c>
      <c r="F157" s="382" t="str">
        <f>B157&amp;C157&amp;D157</f>
        <v>I11B</v>
      </c>
      <c r="G157" t="str">
        <f>F157</f>
        <v>I11B</v>
      </c>
    </row>
    <row r="158" spans="1:7">
      <c r="A158" s="381" t="s">
        <v>3773</v>
      </c>
      <c r="B158" s="382" t="s">
        <v>3795</v>
      </c>
      <c r="C158" s="382">
        <v>1</v>
      </c>
      <c r="D158" s="382" t="s">
        <v>3765</v>
      </c>
      <c r="F158" s="382" t="str">
        <f>B158&amp;C158&amp;D158</f>
        <v>I11C</v>
      </c>
      <c r="G158" t="str">
        <f>F158</f>
        <v>I11C</v>
      </c>
    </row>
    <row r="159" spans="1:7">
      <c r="A159" s="381" t="s">
        <v>3773</v>
      </c>
      <c r="B159" s="382" t="s">
        <v>3795</v>
      </c>
      <c r="C159" s="455">
        <v>2</v>
      </c>
      <c r="D159" s="382" t="s">
        <v>3760</v>
      </c>
      <c r="F159" s="382" t="str">
        <f t="shared" ref="F159:F163" si="7">B159&amp;C159&amp;D159</f>
        <v>I12A</v>
      </c>
      <c r="G159" t="str">
        <f t="shared" ref="G159:G164" si="8">F159</f>
        <v>I12A</v>
      </c>
    </row>
    <row r="160" spans="1:7">
      <c r="A160" s="381" t="s">
        <v>3773</v>
      </c>
      <c r="B160" s="382" t="s">
        <v>3795</v>
      </c>
      <c r="C160" s="455">
        <v>2</v>
      </c>
      <c r="D160" s="382" t="s">
        <v>3761</v>
      </c>
      <c r="F160" s="382" t="str">
        <f t="shared" si="7"/>
        <v>I12B</v>
      </c>
      <c r="G160" t="str">
        <f t="shared" si="8"/>
        <v>I12B</v>
      </c>
    </row>
    <row r="161" spans="1:7">
      <c r="A161" s="381" t="s">
        <v>3773</v>
      </c>
      <c r="B161" s="382" t="s">
        <v>3795</v>
      </c>
      <c r="C161" s="455">
        <v>2</v>
      </c>
      <c r="D161" s="382" t="s">
        <v>3765</v>
      </c>
      <c r="F161" s="382" t="str">
        <f t="shared" si="7"/>
        <v>I12C</v>
      </c>
      <c r="G161" t="str">
        <f t="shared" si="8"/>
        <v>I12C</v>
      </c>
    </row>
    <row r="162" spans="1:7">
      <c r="A162" s="381" t="s">
        <v>3773</v>
      </c>
      <c r="B162" s="382" t="s">
        <v>3795</v>
      </c>
      <c r="C162" s="455">
        <v>3</v>
      </c>
      <c r="D162" s="382" t="s">
        <v>3760</v>
      </c>
      <c r="F162" s="382" t="str">
        <f t="shared" si="7"/>
        <v>I13A</v>
      </c>
      <c r="G162" t="str">
        <f t="shared" si="8"/>
        <v>I13A</v>
      </c>
    </row>
    <row r="163" spans="1:7">
      <c r="A163" s="381" t="s">
        <v>3773</v>
      </c>
      <c r="B163" s="382" t="s">
        <v>3795</v>
      </c>
      <c r="C163" s="455">
        <v>3</v>
      </c>
      <c r="D163" s="382" t="s">
        <v>3761</v>
      </c>
      <c r="F163" s="382" t="str">
        <f t="shared" si="7"/>
        <v>I13B</v>
      </c>
      <c r="G163" t="str">
        <f t="shared" si="8"/>
        <v>I13B</v>
      </c>
    </row>
    <row r="164" spans="1:7">
      <c r="A164" s="381" t="s">
        <v>3773</v>
      </c>
      <c r="B164" s="382" t="s">
        <v>3795</v>
      </c>
      <c r="C164" s="455">
        <v>3</v>
      </c>
      <c r="D164" s="382" t="s">
        <v>3765</v>
      </c>
      <c r="F164" s="382" t="str">
        <f>B164&amp;C164&amp;D164</f>
        <v>I13C</v>
      </c>
      <c r="G164" t="str">
        <f t="shared" si="8"/>
        <v>I13C</v>
      </c>
    </row>
    <row r="165" spans="1:7">
      <c r="A165" s="381" t="s">
        <v>3773</v>
      </c>
      <c r="B165" s="455" t="s">
        <v>3796</v>
      </c>
      <c r="C165" s="455">
        <v>4</v>
      </c>
      <c r="D165" s="382" t="s">
        <v>3760</v>
      </c>
      <c r="F165" s="382" t="str">
        <f t="shared" ref="F165:F228" si="9">B165&amp;C165&amp;D165</f>
        <v>I24A</v>
      </c>
      <c r="G165" t="str">
        <f t="shared" ref="G165:G228" si="10">F165</f>
        <v>I24A</v>
      </c>
    </row>
    <row r="166" spans="1:7">
      <c r="A166" s="381" t="s">
        <v>3773</v>
      </c>
      <c r="B166" s="455" t="s">
        <v>3796</v>
      </c>
      <c r="C166" s="455">
        <v>4</v>
      </c>
      <c r="D166" s="382" t="s">
        <v>3761</v>
      </c>
      <c r="F166" s="382" t="str">
        <f t="shared" si="9"/>
        <v>I24B</v>
      </c>
      <c r="G166" t="str">
        <f t="shared" si="10"/>
        <v>I24B</v>
      </c>
    </row>
    <row r="167" spans="1:7">
      <c r="A167" s="381" t="s">
        <v>3773</v>
      </c>
      <c r="B167" s="455" t="s">
        <v>3796</v>
      </c>
      <c r="C167" s="455">
        <v>4</v>
      </c>
      <c r="D167" s="382" t="s">
        <v>3765</v>
      </c>
      <c r="F167" s="382" t="str">
        <f t="shared" si="9"/>
        <v>I24C</v>
      </c>
      <c r="G167" t="str">
        <f t="shared" si="10"/>
        <v>I24C</v>
      </c>
    </row>
    <row r="168" spans="1:7">
      <c r="A168" s="381" t="s">
        <v>3773</v>
      </c>
      <c r="B168" s="455" t="s">
        <v>3796</v>
      </c>
      <c r="C168" s="455">
        <v>4</v>
      </c>
      <c r="D168" s="455" t="s">
        <v>3766</v>
      </c>
      <c r="F168" s="382" t="str">
        <f t="shared" si="9"/>
        <v>I24D</v>
      </c>
      <c r="G168" t="str">
        <f t="shared" si="10"/>
        <v>I24D</v>
      </c>
    </row>
    <row r="169" spans="1:7">
      <c r="A169" s="381" t="s">
        <v>3773</v>
      </c>
      <c r="B169" s="455" t="s">
        <v>3796</v>
      </c>
      <c r="C169" s="455">
        <v>4</v>
      </c>
      <c r="D169" s="455" t="s">
        <v>3767</v>
      </c>
      <c r="F169" s="382" t="str">
        <f t="shared" si="9"/>
        <v>I24E</v>
      </c>
      <c r="G169" t="str">
        <f t="shared" si="10"/>
        <v>I24E</v>
      </c>
    </row>
    <row r="170" spans="1:7">
      <c r="A170" s="381" t="s">
        <v>3773</v>
      </c>
      <c r="B170" s="455" t="s">
        <v>3796</v>
      </c>
      <c r="C170" s="455">
        <v>5</v>
      </c>
      <c r="D170" s="382" t="s">
        <v>3760</v>
      </c>
      <c r="F170" s="382" t="str">
        <f t="shared" si="9"/>
        <v>I25A</v>
      </c>
      <c r="G170" t="str">
        <f t="shared" si="10"/>
        <v>I25A</v>
      </c>
    </row>
    <row r="171" spans="1:7">
      <c r="A171" s="381" t="s">
        <v>3773</v>
      </c>
      <c r="B171" s="455" t="s">
        <v>3796</v>
      </c>
      <c r="C171" s="455">
        <v>5</v>
      </c>
      <c r="D171" s="382" t="s">
        <v>3761</v>
      </c>
      <c r="F171" s="382" t="str">
        <f t="shared" si="9"/>
        <v>I25B</v>
      </c>
      <c r="G171" t="str">
        <f t="shared" si="10"/>
        <v>I25B</v>
      </c>
    </row>
    <row r="172" spans="1:7">
      <c r="A172" s="381" t="s">
        <v>3773</v>
      </c>
      <c r="B172" s="455" t="s">
        <v>3796</v>
      </c>
      <c r="C172" s="455">
        <v>5</v>
      </c>
      <c r="D172" s="382" t="s">
        <v>3765</v>
      </c>
      <c r="F172" s="382" t="str">
        <f t="shared" si="9"/>
        <v>I25C</v>
      </c>
      <c r="G172" t="str">
        <f t="shared" si="10"/>
        <v>I25C</v>
      </c>
    </row>
    <row r="173" spans="1:7">
      <c r="A173" s="381" t="s">
        <v>3773</v>
      </c>
      <c r="B173" s="455" t="s">
        <v>3796</v>
      </c>
      <c r="C173" s="455">
        <v>5</v>
      </c>
      <c r="D173" s="455" t="s">
        <v>3766</v>
      </c>
      <c r="F173" s="382" t="str">
        <f t="shared" si="9"/>
        <v>I25D</v>
      </c>
      <c r="G173" t="str">
        <f t="shared" si="10"/>
        <v>I25D</v>
      </c>
    </row>
    <row r="174" spans="1:7">
      <c r="A174" s="381" t="s">
        <v>3773</v>
      </c>
      <c r="B174" s="455" t="s">
        <v>3796</v>
      </c>
      <c r="C174" s="455">
        <v>5</v>
      </c>
      <c r="D174" s="455" t="s">
        <v>3767</v>
      </c>
      <c r="F174" s="382" t="str">
        <f t="shared" si="9"/>
        <v>I25E</v>
      </c>
      <c r="G174" t="str">
        <f t="shared" si="10"/>
        <v>I25E</v>
      </c>
    </row>
    <row r="175" spans="1:7">
      <c r="A175" s="381" t="s">
        <v>3773</v>
      </c>
      <c r="B175" s="455" t="s">
        <v>3796</v>
      </c>
      <c r="C175" s="455">
        <v>6</v>
      </c>
      <c r="D175" s="382" t="s">
        <v>3760</v>
      </c>
      <c r="F175" s="382" t="str">
        <f t="shared" si="9"/>
        <v>I26A</v>
      </c>
      <c r="G175" t="str">
        <f t="shared" si="10"/>
        <v>I26A</v>
      </c>
    </row>
    <row r="176" spans="1:7">
      <c r="A176" s="381" t="s">
        <v>3773</v>
      </c>
      <c r="B176" s="455" t="s">
        <v>3796</v>
      </c>
      <c r="C176" s="455">
        <v>6</v>
      </c>
      <c r="D176" s="382" t="s">
        <v>3761</v>
      </c>
      <c r="F176" s="382" t="str">
        <f t="shared" si="9"/>
        <v>I26B</v>
      </c>
      <c r="G176" t="str">
        <f t="shared" si="10"/>
        <v>I26B</v>
      </c>
    </row>
    <row r="177" spans="1:7">
      <c r="A177" s="381" t="s">
        <v>3773</v>
      </c>
      <c r="B177" s="455" t="s">
        <v>3796</v>
      </c>
      <c r="C177" s="455">
        <v>6</v>
      </c>
      <c r="D177" s="382" t="s">
        <v>3765</v>
      </c>
      <c r="F177" s="382" t="str">
        <f t="shared" si="9"/>
        <v>I26C</v>
      </c>
      <c r="G177" t="str">
        <f t="shared" si="10"/>
        <v>I26C</v>
      </c>
    </row>
    <row r="178" spans="1:7">
      <c r="A178" s="381" t="s">
        <v>3773</v>
      </c>
      <c r="B178" s="455" t="s">
        <v>3796</v>
      </c>
      <c r="C178" s="455">
        <v>6</v>
      </c>
      <c r="D178" s="455" t="s">
        <v>3766</v>
      </c>
      <c r="F178" s="382" t="str">
        <f t="shared" si="9"/>
        <v>I26D</v>
      </c>
      <c r="G178" t="str">
        <f t="shared" si="10"/>
        <v>I26D</v>
      </c>
    </row>
    <row r="179" spans="1:7">
      <c r="A179" s="381" t="s">
        <v>3773</v>
      </c>
      <c r="B179" s="455" t="s">
        <v>3796</v>
      </c>
      <c r="C179" s="455">
        <v>6</v>
      </c>
      <c r="D179" s="455" t="s">
        <v>3767</v>
      </c>
      <c r="F179" s="382" t="str">
        <f t="shared" si="9"/>
        <v>I26E</v>
      </c>
      <c r="G179" t="str">
        <f t="shared" si="10"/>
        <v>I26E</v>
      </c>
    </row>
    <row r="180" spans="1:7">
      <c r="A180" s="381" t="s">
        <v>3773</v>
      </c>
      <c r="B180" s="455" t="s">
        <v>3776</v>
      </c>
      <c r="C180" s="455">
        <v>1</v>
      </c>
      <c r="D180" s="455" t="s">
        <v>3760</v>
      </c>
      <c r="F180" s="455" t="str">
        <f t="shared" si="9"/>
        <v>J1A</v>
      </c>
      <c r="G180" t="str">
        <f t="shared" si="10"/>
        <v>J1A</v>
      </c>
    </row>
    <row r="181" spans="1:7">
      <c r="A181" s="381" t="s">
        <v>3773</v>
      </c>
      <c r="B181" s="455" t="s">
        <v>3776</v>
      </c>
      <c r="C181" s="455">
        <v>1</v>
      </c>
      <c r="D181" s="455" t="s">
        <v>3761</v>
      </c>
      <c r="F181" s="455" t="str">
        <f t="shared" si="9"/>
        <v>J1B</v>
      </c>
      <c r="G181" t="str">
        <f t="shared" si="10"/>
        <v>J1B</v>
      </c>
    </row>
    <row r="182" spans="1:7">
      <c r="A182" s="381" t="s">
        <v>3773</v>
      </c>
      <c r="B182" s="455" t="s">
        <v>3776</v>
      </c>
      <c r="C182" s="455">
        <v>2</v>
      </c>
      <c r="D182" s="455" t="s">
        <v>3760</v>
      </c>
      <c r="F182" s="455" t="str">
        <f t="shared" si="9"/>
        <v>J2A</v>
      </c>
      <c r="G182" t="str">
        <f t="shared" si="10"/>
        <v>J2A</v>
      </c>
    </row>
    <row r="183" spans="1:7">
      <c r="A183" s="381" t="s">
        <v>3773</v>
      </c>
      <c r="B183" s="455" t="s">
        <v>3776</v>
      </c>
      <c r="C183" s="455">
        <v>2</v>
      </c>
      <c r="D183" s="455" t="s">
        <v>3761</v>
      </c>
      <c r="F183" s="455" t="str">
        <f t="shared" si="9"/>
        <v>J2B</v>
      </c>
      <c r="G183" t="str">
        <f t="shared" si="10"/>
        <v>J2B</v>
      </c>
    </row>
    <row r="184" spans="1:7">
      <c r="A184" s="381" t="s">
        <v>3773</v>
      </c>
      <c r="B184" s="455" t="s">
        <v>3776</v>
      </c>
      <c r="C184" s="455">
        <v>3</v>
      </c>
      <c r="D184" s="455" t="s">
        <v>3760</v>
      </c>
      <c r="F184" s="455" t="str">
        <f t="shared" si="9"/>
        <v>J3A</v>
      </c>
      <c r="G184" t="str">
        <f t="shared" si="10"/>
        <v>J3A</v>
      </c>
    </row>
    <row r="185" spans="1:7">
      <c r="A185" s="381" t="s">
        <v>3773</v>
      </c>
      <c r="B185" s="455" t="s">
        <v>3776</v>
      </c>
      <c r="C185" s="455">
        <v>3</v>
      </c>
      <c r="D185" s="455" t="s">
        <v>3761</v>
      </c>
      <c r="F185" s="455" t="str">
        <f t="shared" si="9"/>
        <v>J3B</v>
      </c>
      <c r="G185" t="str">
        <f t="shared" si="10"/>
        <v>J3B</v>
      </c>
    </row>
    <row r="186" spans="1:7">
      <c r="A186" s="381" t="s">
        <v>3773</v>
      </c>
      <c r="B186" s="455" t="s">
        <v>3776</v>
      </c>
      <c r="C186" s="455">
        <v>4</v>
      </c>
      <c r="D186" s="455" t="s">
        <v>3760</v>
      </c>
      <c r="F186" s="455" t="str">
        <f t="shared" si="9"/>
        <v>J4A</v>
      </c>
      <c r="G186" t="str">
        <f t="shared" si="10"/>
        <v>J4A</v>
      </c>
    </row>
    <row r="187" spans="1:7">
      <c r="A187" s="381" t="s">
        <v>3773</v>
      </c>
      <c r="B187" s="455" t="s">
        <v>3776</v>
      </c>
      <c r="C187" s="455">
        <v>4</v>
      </c>
      <c r="D187" s="455" t="s">
        <v>3761</v>
      </c>
      <c r="F187" s="455" t="str">
        <f t="shared" si="9"/>
        <v>J4B</v>
      </c>
      <c r="G187" t="str">
        <f t="shared" si="10"/>
        <v>J4B</v>
      </c>
    </row>
    <row r="188" spans="1:7">
      <c r="A188" s="381" t="s">
        <v>3773</v>
      </c>
      <c r="B188" s="455" t="s">
        <v>3776</v>
      </c>
      <c r="C188" s="455">
        <v>5</v>
      </c>
      <c r="D188" s="455" t="s">
        <v>3760</v>
      </c>
      <c r="F188" s="455" t="str">
        <f t="shared" si="9"/>
        <v>J5A</v>
      </c>
      <c r="G188" t="str">
        <f t="shared" si="10"/>
        <v>J5A</v>
      </c>
    </row>
    <row r="189" spans="1:7">
      <c r="A189" s="381" t="s">
        <v>3773</v>
      </c>
      <c r="B189" s="455" t="s">
        <v>3776</v>
      </c>
      <c r="C189" s="455">
        <v>5</v>
      </c>
      <c r="D189" s="455" t="s">
        <v>3761</v>
      </c>
      <c r="F189" s="455" t="str">
        <f t="shared" si="9"/>
        <v>J5B</v>
      </c>
      <c r="G189" t="str">
        <f t="shared" si="10"/>
        <v>J5B</v>
      </c>
    </row>
    <row r="190" spans="1:7">
      <c r="A190" s="381" t="s">
        <v>3773</v>
      </c>
      <c r="B190" s="455" t="s">
        <v>3776</v>
      </c>
      <c r="C190" s="455">
        <v>6</v>
      </c>
      <c r="D190" s="455" t="s">
        <v>3760</v>
      </c>
      <c r="F190" s="455" t="str">
        <f t="shared" si="9"/>
        <v>J6A</v>
      </c>
      <c r="G190" t="str">
        <f t="shared" si="10"/>
        <v>J6A</v>
      </c>
    </row>
    <row r="191" spans="1:7">
      <c r="A191" s="381" t="s">
        <v>3773</v>
      </c>
      <c r="B191" s="455" t="s">
        <v>3776</v>
      </c>
      <c r="C191" s="455">
        <v>6</v>
      </c>
      <c r="D191" s="455" t="s">
        <v>3761</v>
      </c>
      <c r="F191" s="455" t="str">
        <f t="shared" si="9"/>
        <v>J6B</v>
      </c>
      <c r="G191" t="str">
        <f t="shared" si="10"/>
        <v>J6B</v>
      </c>
    </row>
    <row r="192" spans="1:7">
      <c r="A192" s="381" t="s">
        <v>3773</v>
      </c>
      <c r="B192" s="455" t="s">
        <v>3776</v>
      </c>
      <c r="C192" s="455">
        <v>7</v>
      </c>
      <c r="D192" s="455" t="s">
        <v>3760</v>
      </c>
      <c r="F192" s="455" t="str">
        <f t="shared" si="9"/>
        <v>J7A</v>
      </c>
      <c r="G192" t="str">
        <f t="shared" si="10"/>
        <v>J7A</v>
      </c>
    </row>
    <row r="193" spans="1:7">
      <c r="A193" s="381" t="s">
        <v>3773</v>
      </c>
      <c r="B193" s="455" t="s">
        <v>3776</v>
      </c>
      <c r="C193" s="455">
        <v>7</v>
      </c>
      <c r="D193" s="455" t="s">
        <v>3761</v>
      </c>
      <c r="F193" s="455" t="str">
        <f t="shared" si="9"/>
        <v>J7B</v>
      </c>
      <c r="G193" t="str">
        <f t="shared" si="10"/>
        <v>J7B</v>
      </c>
    </row>
    <row r="194" spans="1:7">
      <c r="A194" s="381" t="s">
        <v>3773</v>
      </c>
      <c r="B194" s="455" t="s">
        <v>3776</v>
      </c>
      <c r="C194" s="455">
        <v>8</v>
      </c>
      <c r="D194" s="455" t="s">
        <v>3760</v>
      </c>
      <c r="F194" s="455" t="str">
        <f t="shared" si="9"/>
        <v>J8A</v>
      </c>
      <c r="G194" t="str">
        <f t="shared" si="10"/>
        <v>J8A</v>
      </c>
    </row>
    <row r="195" spans="1:7">
      <c r="A195" s="381" t="s">
        <v>3773</v>
      </c>
      <c r="B195" s="455" t="s">
        <v>3776</v>
      </c>
      <c r="C195" s="455">
        <v>8</v>
      </c>
      <c r="D195" s="455" t="s">
        <v>3761</v>
      </c>
      <c r="F195" s="455" t="str">
        <f t="shared" si="9"/>
        <v>J8B</v>
      </c>
      <c r="G195" t="str">
        <f t="shared" si="10"/>
        <v>J8B</v>
      </c>
    </row>
    <row r="196" spans="1:7">
      <c r="A196" s="381" t="s">
        <v>3773</v>
      </c>
      <c r="B196" s="455" t="s">
        <v>3776</v>
      </c>
      <c r="C196" s="455">
        <v>9</v>
      </c>
      <c r="D196" s="455" t="s">
        <v>3760</v>
      </c>
      <c r="F196" s="455" t="str">
        <f t="shared" si="9"/>
        <v>J9A</v>
      </c>
      <c r="G196" t="str">
        <f t="shared" si="10"/>
        <v>J9A</v>
      </c>
    </row>
    <row r="197" spans="1:7">
      <c r="A197" s="381" t="s">
        <v>3773</v>
      </c>
      <c r="B197" s="455" t="s">
        <v>3776</v>
      </c>
      <c r="C197" s="455">
        <v>9</v>
      </c>
      <c r="D197" s="455" t="s">
        <v>3761</v>
      </c>
      <c r="F197" s="455" t="str">
        <f t="shared" si="9"/>
        <v>J9B</v>
      </c>
      <c r="G197" t="str">
        <f t="shared" si="10"/>
        <v>J9B</v>
      </c>
    </row>
    <row r="198" spans="1:7">
      <c r="A198" s="381" t="s">
        <v>3773</v>
      </c>
      <c r="B198" s="455" t="s">
        <v>3776</v>
      </c>
      <c r="C198" s="455">
        <v>10</v>
      </c>
      <c r="D198" s="455" t="s">
        <v>3760</v>
      </c>
      <c r="F198" s="455" t="str">
        <f t="shared" si="9"/>
        <v>J10A</v>
      </c>
      <c r="G198" t="str">
        <f t="shared" si="10"/>
        <v>J10A</v>
      </c>
    </row>
    <row r="199" spans="1:7">
      <c r="A199" s="381" t="s">
        <v>3773</v>
      </c>
      <c r="B199" s="455" t="s">
        <v>3776</v>
      </c>
      <c r="C199" s="455">
        <v>10</v>
      </c>
      <c r="D199" s="455" t="s">
        <v>3761</v>
      </c>
      <c r="F199" s="455" t="str">
        <f t="shared" si="9"/>
        <v>J10B</v>
      </c>
      <c r="G199" t="str">
        <f t="shared" si="10"/>
        <v>J10B</v>
      </c>
    </row>
    <row r="200" spans="1:7">
      <c r="A200" s="381" t="s">
        <v>3773</v>
      </c>
      <c r="B200" s="455" t="s">
        <v>3776</v>
      </c>
      <c r="C200" s="455">
        <v>11</v>
      </c>
      <c r="D200" s="455" t="s">
        <v>3760</v>
      </c>
      <c r="F200" s="455" t="str">
        <f t="shared" si="9"/>
        <v>J11A</v>
      </c>
      <c r="G200" t="str">
        <f t="shared" si="10"/>
        <v>J11A</v>
      </c>
    </row>
    <row r="201" spans="1:7">
      <c r="A201" s="381" t="s">
        <v>3773</v>
      </c>
      <c r="B201" s="455" t="s">
        <v>3776</v>
      </c>
      <c r="C201" s="455">
        <v>11</v>
      </c>
      <c r="D201" s="455" t="s">
        <v>3761</v>
      </c>
      <c r="F201" s="455" t="str">
        <f t="shared" si="9"/>
        <v>J11B</v>
      </c>
      <c r="G201" t="str">
        <f t="shared" si="10"/>
        <v>J11B</v>
      </c>
    </row>
    <row r="202" spans="1:7">
      <c r="A202" s="381" t="s">
        <v>3773</v>
      </c>
      <c r="B202" s="455" t="s">
        <v>3776</v>
      </c>
      <c r="C202" s="455">
        <v>12</v>
      </c>
      <c r="D202" s="455" t="s">
        <v>3760</v>
      </c>
      <c r="F202" s="455" t="str">
        <f t="shared" si="9"/>
        <v>J12A</v>
      </c>
      <c r="G202" t="str">
        <f t="shared" si="10"/>
        <v>J12A</v>
      </c>
    </row>
    <row r="203" spans="1:7">
      <c r="A203" s="381" t="s">
        <v>3773</v>
      </c>
      <c r="B203" s="455" t="s">
        <v>3776</v>
      </c>
      <c r="C203" s="455">
        <v>12</v>
      </c>
      <c r="D203" s="455" t="s">
        <v>3761</v>
      </c>
      <c r="F203" s="455" t="str">
        <f t="shared" si="9"/>
        <v>J12B</v>
      </c>
      <c r="G203" t="str">
        <f t="shared" si="10"/>
        <v>J12B</v>
      </c>
    </row>
    <row r="204" spans="1:7">
      <c r="A204" s="381" t="s">
        <v>3773</v>
      </c>
      <c r="B204" s="455" t="s">
        <v>3776</v>
      </c>
      <c r="C204" s="455">
        <v>13</v>
      </c>
      <c r="D204" s="455" t="s">
        <v>3760</v>
      </c>
      <c r="F204" s="455" t="str">
        <f t="shared" si="9"/>
        <v>J13A</v>
      </c>
      <c r="G204" t="str">
        <f t="shared" si="10"/>
        <v>J13A</v>
      </c>
    </row>
    <row r="205" spans="1:7">
      <c r="A205" s="381" t="s">
        <v>3773</v>
      </c>
      <c r="B205" s="455" t="s">
        <v>3776</v>
      </c>
      <c r="C205" s="455">
        <v>13</v>
      </c>
      <c r="D205" s="455" t="s">
        <v>3761</v>
      </c>
      <c r="F205" s="455" t="str">
        <f t="shared" si="9"/>
        <v>J13B</v>
      </c>
      <c r="G205" t="str">
        <f t="shared" si="10"/>
        <v>J13B</v>
      </c>
    </row>
    <row r="206" spans="1:7">
      <c r="A206" s="381" t="s">
        <v>3773</v>
      </c>
      <c r="B206" s="455" t="s">
        <v>3776</v>
      </c>
      <c r="C206" s="455">
        <v>14</v>
      </c>
      <c r="D206" s="455" t="s">
        <v>3760</v>
      </c>
      <c r="F206" s="455" t="str">
        <f t="shared" si="9"/>
        <v>J14A</v>
      </c>
      <c r="G206" t="str">
        <f t="shared" si="10"/>
        <v>J14A</v>
      </c>
    </row>
    <row r="207" spans="1:7">
      <c r="A207" s="381" t="s">
        <v>3773</v>
      </c>
      <c r="B207" s="455" t="s">
        <v>3776</v>
      </c>
      <c r="C207" s="455">
        <v>14</v>
      </c>
      <c r="D207" s="455" t="s">
        <v>3761</v>
      </c>
      <c r="F207" s="455" t="str">
        <f t="shared" si="9"/>
        <v>J14B</v>
      </c>
      <c r="G207" t="str">
        <f t="shared" si="10"/>
        <v>J14B</v>
      </c>
    </row>
    <row r="208" spans="1:7">
      <c r="A208" s="381" t="s">
        <v>3773</v>
      </c>
      <c r="B208" s="455" t="s">
        <v>3776</v>
      </c>
      <c r="C208" s="455">
        <v>15</v>
      </c>
      <c r="D208" s="455" t="s">
        <v>3760</v>
      </c>
      <c r="F208" s="455" t="str">
        <f t="shared" si="9"/>
        <v>J15A</v>
      </c>
      <c r="G208" t="str">
        <f t="shared" si="10"/>
        <v>J15A</v>
      </c>
    </row>
    <row r="209" spans="1:7">
      <c r="A209" s="381" t="s">
        <v>3773</v>
      </c>
      <c r="B209" s="455" t="s">
        <v>3776</v>
      </c>
      <c r="C209" s="455">
        <v>15</v>
      </c>
      <c r="D209" s="455" t="s">
        <v>3761</v>
      </c>
      <c r="F209" s="455" t="str">
        <f t="shared" si="9"/>
        <v>J15B</v>
      </c>
      <c r="G209" t="str">
        <f t="shared" si="10"/>
        <v>J15B</v>
      </c>
    </row>
    <row r="210" spans="1:7">
      <c r="A210" s="381" t="s">
        <v>3773</v>
      </c>
      <c r="B210" s="455" t="s">
        <v>3776</v>
      </c>
      <c r="C210" s="455">
        <v>16</v>
      </c>
      <c r="D210" s="455" t="s">
        <v>3760</v>
      </c>
      <c r="F210" s="455" t="str">
        <f t="shared" si="9"/>
        <v>J16A</v>
      </c>
      <c r="G210" t="str">
        <f t="shared" si="10"/>
        <v>J16A</v>
      </c>
    </row>
    <row r="211" spans="1:7">
      <c r="A211" s="381" t="s">
        <v>3773</v>
      </c>
      <c r="B211" s="455" t="s">
        <v>3776</v>
      </c>
      <c r="C211" s="455">
        <v>16</v>
      </c>
      <c r="D211" s="455" t="s">
        <v>3761</v>
      </c>
      <c r="F211" s="455" t="str">
        <f t="shared" si="9"/>
        <v>J16B</v>
      </c>
      <c r="G211" t="str">
        <f t="shared" si="10"/>
        <v>J16B</v>
      </c>
    </row>
    <row r="212" spans="1:7">
      <c r="A212" s="381" t="s">
        <v>3773</v>
      </c>
      <c r="B212" s="455" t="s">
        <v>3776</v>
      </c>
      <c r="C212" s="455">
        <v>17</v>
      </c>
      <c r="D212" s="455" t="s">
        <v>3760</v>
      </c>
      <c r="F212" s="455" t="str">
        <f t="shared" si="9"/>
        <v>J17A</v>
      </c>
      <c r="G212" t="str">
        <f t="shared" si="10"/>
        <v>J17A</v>
      </c>
    </row>
    <row r="213" spans="1:7">
      <c r="A213" s="381" t="s">
        <v>3773</v>
      </c>
      <c r="B213" s="455" t="s">
        <v>3776</v>
      </c>
      <c r="C213" s="455">
        <v>17</v>
      </c>
      <c r="D213" s="455" t="s">
        <v>3761</v>
      </c>
      <c r="F213" s="455" t="str">
        <f t="shared" si="9"/>
        <v>J17B</v>
      </c>
      <c r="G213" t="str">
        <f t="shared" si="10"/>
        <v>J17B</v>
      </c>
    </row>
    <row r="214" spans="1:7">
      <c r="A214" s="381" t="s">
        <v>3773</v>
      </c>
      <c r="B214" s="455" t="s">
        <v>3776</v>
      </c>
      <c r="C214" s="455">
        <v>18</v>
      </c>
      <c r="D214" s="455" t="s">
        <v>3760</v>
      </c>
      <c r="F214" s="455" t="str">
        <f t="shared" si="9"/>
        <v>J18A</v>
      </c>
      <c r="G214" t="str">
        <f t="shared" si="10"/>
        <v>J18A</v>
      </c>
    </row>
    <row r="215" spans="1:7">
      <c r="A215" s="381" t="s">
        <v>3773</v>
      </c>
      <c r="B215" s="455" t="s">
        <v>3776</v>
      </c>
      <c r="C215" s="455">
        <v>18</v>
      </c>
      <c r="D215" s="455" t="s">
        <v>3761</v>
      </c>
      <c r="F215" s="455" t="str">
        <f t="shared" si="9"/>
        <v>J18B</v>
      </c>
      <c r="G215" t="str">
        <f t="shared" si="10"/>
        <v>J18B</v>
      </c>
    </row>
    <row r="216" spans="1:7">
      <c r="A216" s="381" t="s">
        <v>3773</v>
      </c>
      <c r="B216" s="455" t="s">
        <v>3776</v>
      </c>
      <c r="C216" s="455">
        <v>19</v>
      </c>
      <c r="D216" s="455" t="s">
        <v>3760</v>
      </c>
      <c r="F216" s="455" t="str">
        <f t="shared" si="9"/>
        <v>J19A</v>
      </c>
      <c r="G216" t="str">
        <f t="shared" si="10"/>
        <v>J19A</v>
      </c>
    </row>
    <row r="217" spans="1:7">
      <c r="A217" s="381" t="s">
        <v>3773</v>
      </c>
      <c r="B217" s="455" t="s">
        <v>3776</v>
      </c>
      <c r="C217" s="455">
        <v>19</v>
      </c>
      <c r="D217" s="455" t="s">
        <v>3761</v>
      </c>
      <c r="F217" s="455" t="str">
        <f t="shared" si="9"/>
        <v>J19B</v>
      </c>
      <c r="G217" t="str">
        <f t="shared" si="10"/>
        <v>J19B</v>
      </c>
    </row>
    <row r="218" spans="1:7">
      <c r="A218" s="381" t="s">
        <v>3773</v>
      </c>
      <c r="B218" s="455" t="s">
        <v>3776</v>
      </c>
      <c r="C218" s="455">
        <v>20</v>
      </c>
      <c r="D218" s="455" t="s">
        <v>3760</v>
      </c>
      <c r="F218" s="455" t="str">
        <f t="shared" si="9"/>
        <v>J20A</v>
      </c>
      <c r="G218" t="str">
        <f t="shared" si="10"/>
        <v>J20A</v>
      </c>
    </row>
    <row r="219" spans="1:7">
      <c r="A219" s="381" t="s">
        <v>3773</v>
      </c>
      <c r="B219" s="455" t="s">
        <v>3776</v>
      </c>
      <c r="C219" s="455">
        <v>20</v>
      </c>
      <c r="D219" s="455" t="s">
        <v>3761</v>
      </c>
      <c r="F219" s="455" t="str">
        <f t="shared" si="9"/>
        <v>J20B</v>
      </c>
      <c r="G219" t="str">
        <f t="shared" si="10"/>
        <v>J20B</v>
      </c>
    </row>
    <row r="220" spans="1:7">
      <c r="A220" s="381" t="s">
        <v>3773</v>
      </c>
      <c r="B220" s="455" t="s">
        <v>3776</v>
      </c>
      <c r="C220" s="455">
        <v>21</v>
      </c>
      <c r="D220" s="455" t="s">
        <v>3760</v>
      </c>
      <c r="F220" s="455" t="str">
        <f t="shared" si="9"/>
        <v>J21A</v>
      </c>
      <c r="G220" t="str">
        <f t="shared" si="10"/>
        <v>J21A</v>
      </c>
    </row>
    <row r="221" spans="1:7">
      <c r="A221" s="381" t="s">
        <v>3773</v>
      </c>
      <c r="B221" s="455" t="s">
        <v>3776</v>
      </c>
      <c r="C221" s="455">
        <v>21</v>
      </c>
      <c r="D221" s="455" t="s">
        <v>3761</v>
      </c>
      <c r="F221" s="455" t="str">
        <f t="shared" si="9"/>
        <v>J21B</v>
      </c>
      <c r="G221" t="str">
        <f t="shared" si="10"/>
        <v>J21B</v>
      </c>
    </row>
    <row r="222" spans="1:7">
      <c r="A222" s="381" t="s">
        <v>3773</v>
      </c>
      <c r="B222" s="455" t="s">
        <v>3777</v>
      </c>
      <c r="C222" s="455">
        <v>1</v>
      </c>
      <c r="D222" s="455" t="s">
        <v>3760</v>
      </c>
      <c r="F222" s="455" t="str">
        <f t="shared" si="9"/>
        <v>K1A</v>
      </c>
      <c r="G222" t="str">
        <f t="shared" si="10"/>
        <v>K1A</v>
      </c>
    </row>
    <row r="223" spans="1:7">
      <c r="A223" s="381" t="s">
        <v>3773</v>
      </c>
      <c r="B223" s="455" t="s">
        <v>3777</v>
      </c>
      <c r="C223" s="455">
        <v>1</v>
      </c>
      <c r="D223" s="455" t="s">
        <v>3761</v>
      </c>
      <c r="F223" s="455" t="str">
        <f t="shared" si="9"/>
        <v>K1B</v>
      </c>
      <c r="G223" t="str">
        <f t="shared" si="10"/>
        <v>K1B</v>
      </c>
    </row>
    <row r="224" spans="1:7">
      <c r="A224" s="381" t="s">
        <v>3773</v>
      </c>
      <c r="B224" s="455" t="s">
        <v>3777</v>
      </c>
      <c r="C224" s="455">
        <v>1</v>
      </c>
      <c r="D224" s="455" t="s">
        <v>3765</v>
      </c>
      <c r="F224" s="455" t="str">
        <f t="shared" si="9"/>
        <v>K1C</v>
      </c>
      <c r="G224" t="str">
        <f t="shared" si="10"/>
        <v>K1C</v>
      </c>
    </row>
    <row r="225" spans="1:7">
      <c r="A225" s="381" t="s">
        <v>3773</v>
      </c>
      <c r="B225" s="455" t="s">
        <v>3777</v>
      </c>
      <c r="C225" s="455">
        <v>1</v>
      </c>
      <c r="D225" s="455" t="s">
        <v>3766</v>
      </c>
      <c r="F225" s="455" t="str">
        <f t="shared" si="9"/>
        <v>K1D</v>
      </c>
      <c r="G225" t="str">
        <f t="shared" si="10"/>
        <v>K1D</v>
      </c>
    </row>
    <row r="226" spans="1:7">
      <c r="A226" s="381" t="s">
        <v>3773</v>
      </c>
      <c r="B226" s="455" t="s">
        <v>3777</v>
      </c>
      <c r="C226" s="455">
        <v>2</v>
      </c>
      <c r="D226" s="455" t="s">
        <v>3760</v>
      </c>
      <c r="F226" s="455" t="str">
        <f t="shared" si="9"/>
        <v>K2A</v>
      </c>
      <c r="G226" t="str">
        <f t="shared" si="10"/>
        <v>K2A</v>
      </c>
    </row>
    <row r="227" spans="1:7">
      <c r="A227" s="381" t="s">
        <v>3773</v>
      </c>
      <c r="B227" s="455" t="s">
        <v>3777</v>
      </c>
      <c r="C227" s="455">
        <v>2</v>
      </c>
      <c r="D227" s="455" t="s">
        <v>3761</v>
      </c>
      <c r="F227" s="455" t="str">
        <f t="shared" si="9"/>
        <v>K2B</v>
      </c>
      <c r="G227" t="str">
        <f t="shared" si="10"/>
        <v>K2B</v>
      </c>
    </row>
    <row r="228" spans="1:7">
      <c r="A228" s="381" t="s">
        <v>3773</v>
      </c>
      <c r="B228" s="455" t="s">
        <v>3777</v>
      </c>
      <c r="C228" s="455">
        <v>2</v>
      </c>
      <c r="D228" s="455" t="s">
        <v>3765</v>
      </c>
      <c r="F228" s="455" t="str">
        <f t="shared" si="9"/>
        <v>K2C</v>
      </c>
      <c r="G228" t="str">
        <f t="shared" si="10"/>
        <v>K2C</v>
      </c>
    </row>
    <row r="229" spans="1:7">
      <c r="A229" s="381" t="s">
        <v>3773</v>
      </c>
      <c r="B229" s="455" t="s">
        <v>3777</v>
      </c>
      <c r="C229" s="455">
        <v>2</v>
      </c>
      <c r="D229" s="455" t="s">
        <v>3766</v>
      </c>
      <c r="F229" s="455" t="str">
        <f t="shared" ref="F229:F292" si="11">B229&amp;C229&amp;D229</f>
        <v>K2D</v>
      </c>
      <c r="G229" t="str">
        <f t="shared" ref="G229:G292" si="12">F229</f>
        <v>K2D</v>
      </c>
    </row>
    <row r="230" spans="1:7">
      <c r="A230" s="381" t="s">
        <v>3773</v>
      </c>
      <c r="B230" s="455" t="s">
        <v>3777</v>
      </c>
      <c r="C230" s="455">
        <v>3</v>
      </c>
      <c r="D230" s="455" t="s">
        <v>3760</v>
      </c>
      <c r="F230" s="455" t="str">
        <f t="shared" si="11"/>
        <v>K3A</v>
      </c>
      <c r="G230" t="str">
        <f t="shared" si="12"/>
        <v>K3A</v>
      </c>
    </row>
    <row r="231" spans="1:7">
      <c r="A231" s="381" t="s">
        <v>3773</v>
      </c>
      <c r="B231" s="455" t="s">
        <v>3777</v>
      </c>
      <c r="C231" s="455">
        <v>3</v>
      </c>
      <c r="D231" s="455" t="s">
        <v>3761</v>
      </c>
      <c r="F231" s="455" t="str">
        <f t="shared" si="11"/>
        <v>K3B</v>
      </c>
      <c r="G231" t="str">
        <f t="shared" si="12"/>
        <v>K3B</v>
      </c>
    </row>
    <row r="232" spans="1:7">
      <c r="A232" s="381" t="s">
        <v>3773</v>
      </c>
      <c r="B232" s="455" t="s">
        <v>3777</v>
      </c>
      <c r="C232" s="455">
        <v>3</v>
      </c>
      <c r="D232" s="455" t="s">
        <v>3765</v>
      </c>
      <c r="F232" s="455" t="str">
        <f t="shared" si="11"/>
        <v>K3C</v>
      </c>
      <c r="G232" t="str">
        <f t="shared" si="12"/>
        <v>K3C</v>
      </c>
    </row>
    <row r="233" spans="1:7">
      <c r="A233" s="381" t="s">
        <v>3773</v>
      </c>
      <c r="B233" s="455" t="s">
        <v>3777</v>
      </c>
      <c r="C233" s="455">
        <v>3</v>
      </c>
      <c r="D233" s="455" t="s">
        <v>3766</v>
      </c>
      <c r="F233" s="455" t="str">
        <f t="shared" si="11"/>
        <v>K3D</v>
      </c>
      <c r="G233" t="str">
        <f t="shared" si="12"/>
        <v>K3D</v>
      </c>
    </row>
    <row r="234" spans="1:7">
      <c r="A234" s="381" t="s">
        <v>3773</v>
      </c>
      <c r="B234" s="455" t="s">
        <v>3777</v>
      </c>
      <c r="C234" s="455">
        <v>4</v>
      </c>
      <c r="D234" s="455" t="s">
        <v>3760</v>
      </c>
      <c r="F234" s="455" t="str">
        <f t="shared" si="11"/>
        <v>K4A</v>
      </c>
      <c r="G234" t="str">
        <f t="shared" si="12"/>
        <v>K4A</v>
      </c>
    </row>
    <row r="235" spans="1:7">
      <c r="A235" s="381" t="s">
        <v>3773</v>
      </c>
      <c r="B235" s="455" t="s">
        <v>3777</v>
      </c>
      <c r="C235" s="455">
        <v>4</v>
      </c>
      <c r="D235" s="455" t="s">
        <v>3761</v>
      </c>
      <c r="F235" s="455" t="str">
        <f t="shared" si="11"/>
        <v>K4B</v>
      </c>
      <c r="G235" t="str">
        <f t="shared" si="12"/>
        <v>K4B</v>
      </c>
    </row>
    <row r="236" spans="1:7">
      <c r="A236" s="381" t="s">
        <v>3773</v>
      </c>
      <c r="B236" s="455" t="s">
        <v>3777</v>
      </c>
      <c r="C236" s="455">
        <v>4</v>
      </c>
      <c r="D236" s="455" t="s">
        <v>3765</v>
      </c>
      <c r="F236" s="455" t="str">
        <f t="shared" si="11"/>
        <v>K4C</v>
      </c>
      <c r="G236" t="str">
        <f t="shared" si="12"/>
        <v>K4C</v>
      </c>
    </row>
    <row r="237" spans="1:7">
      <c r="A237" s="381" t="s">
        <v>3773</v>
      </c>
      <c r="B237" s="455" t="s">
        <v>3777</v>
      </c>
      <c r="C237" s="455">
        <v>4</v>
      </c>
      <c r="D237" s="455" t="s">
        <v>3766</v>
      </c>
      <c r="F237" s="455" t="str">
        <f t="shared" si="11"/>
        <v>K4D</v>
      </c>
      <c r="G237" t="str">
        <f t="shared" si="12"/>
        <v>K4D</v>
      </c>
    </row>
    <row r="238" spans="1:7">
      <c r="A238" s="381" t="s">
        <v>3773</v>
      </c>
      <c r="B238" s="455" t="s">
        <v>3777</v>
      </c>
      <c r="C238" s="455">
        <v>5</v>
      </c>
      <c r="D238" s="455" t="s">
        <v>3760</v>
      </c>
      <c r="F238" s="455" t="str">
        <f t="shared" si="11"/>
        <v>K5A</v>
      </c>
      <c r="G238" t="str">
        <f t="shared" si="12"/>
        <v>K5A</v>
      </c>
    </row>
    <row r="239" spans="1:7">
      <c r="A239" s="381" t="s">
        <v>3773</v>
      </c>
      <c r="B239" s="455" t="s">
        <v>3777</v>
      </c>
      <c r="C239" s="455">
        <v>5</v>
      </c>
      <c r="D239" s="455" t="s">
        <v>3761</v>
      </c>
      <c r="F239" s="455" t="str">
        <f t="shared" si="11"/>
        <v>K5B</v>
      </c>
      <c r="G239" t="str">
        <f t="shared" si="12"/>
        <v>K5B</v>
      </c>
    </row>
    <row r="240" spans="1:7">
      <c r="A240" s="381" t="s">
        <v>3773</v>
      </c>
      <c r="B240" s="455" t="s">
        <v>3777</v>
      </c>
      <c r="C240" s="455">
        <v>5</v>
      </c>
      <c r="D240" s="455" t="s">
        <v>3765</v>
      </c>
      <c r="F240" s="455" t="str">
        <f t="shared" si="11"/>
        <v>K5C</v>
      </c>
      <c r="G240" t="str">
        <f t="shared" si="12"/>
        <v>K5C</v>
      </c>
    </row>
    <row r="241" spans="1:7">
      <c r="A241" s="381" t="s">
        <v>3773</v>
      </c>
      <c r="B241" s="455" t="s">
        <v>3777</v>
      </c>
      <c r="C241" s="455">
        <v>5</v>
      </c>
      <c r="D241" s="455" t="s">
        <v>3766</v>
      </c>
      <c r="F241" s="455" t="str">
        <f t="shared" si="11"/>
        <v>K5D</v>
      </c>
      <c r="G241" t="str">
        <f t="shared" si="12"/>
        <v>K5D</v>
      </c>
    </row>
    <row r="242" spans="1:7">
      <c r="A242" s="381" t="s">
        <v>3773</v>
      </c>
      <c r="B242" s="455" t="s">
        <v>37</v>
      </c>
      <c r="C242" s="455">
        <v>1</v>
      </c>
      <c r="D242" s="455" t="s">
        <v>3760</v>
      </c>
      <c r="F242" s="455" t="str">
        <f t="shared" si="11"/>
        <v>L1A</v>
      </c>
      <c r="G242" t="str">
        <f t="shared" si="12"/>
        <v>L1A</v>
      </c>
    </row>
    <row r="243" spans="1:7">
      <c r="A243" s="381" t="s">
        <v>3773</v>
      </c>
      <c r="B243" s="455" t="s">
        <v>37</v>
      </c>
      <c r="C243" s="455">
        <v>1</v>
      </c>
      <c r="D243" s="455" t="s">
        <v>3761</v>
      </c>
      <c r="F243" s="455" t="str">
        <f t="shared" si="11"/>
        <v>L1B</v>
      </c>
      <c r="G243" t="str">
        <f t="shared" si="12"/>
        <v>L1B</v>
      </c>
    </row>
    <row r="244" spans="1:7">
      <c r="A244" s="381" t="s">
        <v>3773</v>
      </c>
      <c r="B244" s="455" t="s">
        <v>37</v>
      </c>
      <c r="C244" s="455">
        <v>1</v>
      </c>
      <c r="D244" s="455" t="s">
        <v>3765</v>
      </c>
      <c r="F244" s="455" t="str">
        <f t="shared" si="11"/>
        <v>L1C</v>
      </c>
      <c r="G244" t="str">
        <f t="shared" si="12"/>
        <v>L1C</v>
      </c>
    </row>
    <row r="245" spans="1:7">
      <c r="A245" s="381" t="s">
        <v>3773</v>
      </c>
      <c r="B245" s="455" t="s">
        <v>37</v>
      </c>
      <c r="C245" s="455">
        <v>1</v>
      </c>
      <c r="D245" s="455" t="s">
        <v>3766</v>
      </c>
      <c r="F245" s="455" t="str">
        <f t="shared" si="11"/>
        <v>L1D</v>
      </c>
      <c r="G245" t="str">
        <f t="shared" si="12"/>
        <v>L1D</v>
      </c>
    </row>
    <row r="246" spans="1:7">
      <c r="A246" s="381" t="s">
        <v>3773</v>
      </c>
      <c r="B246" s="455" t="s">
        <v>37</v>
      </c>
      <c r="C246" s="455">
        <v>1</v>
      </c>
      <c r="D246" s="455" t="s">
        <v>3767</v>
      </c>
      <c r="F246" s="455" t="str">
        <f t="shared" si="11"/>
        <v>L1E</v>
      </c>
      <c r="G246" t="str">
        <f t="shared" si="12"/>
        <v>L1E</v>
      </c>
    </row>
    <row r="247" spans="1:7">
      <c r="A247" s="381" t="s">
        <v>3773</v>
      </c>
      <c r="B247" s="455" t="s">
        <v>37</v>
      </c>
      <c r="C247" s="455">
        <v>2</v>
      </c>
      <c r="D247" s="455" t="s">
        <v>3760</v>
      </c>
      <c r="F247" s="455" t="str">
        <f t="shared" si="11"/>
        <v>L2A</v>
      </c>
      <c r="G247" t="str">
        <f t="shared" si="12"/>
        <v>L2A</v>
      </c>
    </row>
    <row r="248" spans="1:7">
      <c r="A248" s="381" t="s">
        <v>3773</v>
      </c>
      <c r="B248" s="455" t="s">
        <v>37</v>
      </c>
      <c r="C248" s="455">
        <v>2</v>
      </c>
      <c r="D248" s="455" t="s">
        <v>3761</v>
      </c>
      <c r="F248" s="455" t="str">
        <f t="shared" si="11"/>
        <v>L2B</v>
      </c>
      <c r="G248" t="str">
        <f t="shared" si="12"/>
        <v>L2B</v>
      </c>
    </row>
    <row r="249" spans="1:7">
      <c r="A249" s="381" t="s">
        <v>3773</v>
      </c>
      <c r="B249" s="455" t="s">
        <v>37</v>
      </c>
      <c r="C249" s="455">
        <v>2</v>
      </c>
      <c r="D249" s="455" t="s">
        <v>3765</v>
      </c>
      <c r="F249" s="455" t="str">
        <f t="shared" si="11"/>
        <v>L2C</v>
      </c>
      <c r="G249" t="str">
        <f t="shared" si="12"/>
        <v>L2C</v>
      </c>
    </row>
    <row r="250" spans="1:7">
      <c r="A250" s="381" t="s">
        <v>3773</v>
      </c>
      <c r="B250" s="455" t="s">
        <v>37</v>
      </c>
      <c r="C250" s="455">
        <v>2</v>
      </c>
      <c r="D250" s="455" t="s">
        <v>3766</v>
      </c>
      <c r="F250" s="455" t="str">
        <f t="shared" si="11"/>
        <v>L2D</v>
      </c>
      <c r="G250" t="str">
        <f t="shared" si="12"/>
        <v>L2D</v>
      </c>
    </row>
    <row r="251" spans="1:7">
      <c r="A251" s="381" t="s">
        <v>3773</v>
      </c>
      <c r="B251" s="455" t="s">
        <v>37</v>
      </c>
      <c r="C251" s="455">
        <v>2</v>
      </c>
      <c r="D251" s="455" t="s">
        <v>3767</v>
      </c>
      <c r="F251" s="455" t="str">
        <f t="shared" si="11"/>
        <v>L2E</v>
      </c>
      <c r="G251" t="str">
        <f t="shared" si="12"/>
        <v>L2E</v>
      </c>
    </row>
    <row r="252" spans="1:7">
      <c r="A252" s="381" t="s">
        <v>3773</v>
      </c>
      <c r="B252" s="455" t="s">
        <v>37</v>
      </c>
      <c r="C252" s="455">
        <v>3</v>
      </c>
      <c r="D252" s="455" t="s">
        <v>3760</v>
      </c>
      <c r="F252" s="455" t="str">
        <f t="shared" si="11"/>
        <v>L3A</v>
      </c>
      <c r="G252" t="str">
        <f t="shared" si="12"/>
        <v>L3A</v>
      </c>
    </row>
    <row r="253" spans="1:7">
      <c r="A253" s="381" t="s">
        <v>3773</v>
      </c>
      <c r="B253" s="455" t="s">
        <v>37</v>
      </c>
      <c r="C253" s="455">
        <v>3</v>
      </c>
      <c r="D253" s="455" t="s">
        <v>3761</v>
      </c>
      <c r="F253" s="455" t="str">
        <f t="shared" si="11"/>
        <v>L3B</v>
      </c>
      <c r="G253" t="str">
        <f t="shared" si="12"/>
        <v>L3B</v>
      </c>
    </row>
    <row r="254" spans="1:7">
      <c r="A254" s="381" t="s">
        <v>3773</v>
      </c>
      <c r="B254" s="455" t="s">
        <v>37</v>
      </c>
      <c r="C254" s="455">
        <v>3</v>
      </c>
      <c r="D254" s="455" t="s">
        <v>3765</v>
      </c>
      <c r="F254" s="455" t="str">
        <f t="shared" si="11"/>
        <v>L3C</v>
      </c>
      <c r="G254" t="str">
        <f t="shared" si="12"/>
        <v>L3C</v>
      </c>
    </row>
    <row r="255" spans="1:7">
      <c r="A255" s="381" t="s">
        <v>3773</v>
      </c>
      <c r="B255" s="455" t="s">
        <v>37</v>
      </c>
      <c r="C255" s="455">
        <v>3</v>
      </c>
      <c r="D255" s="455" t="s">
        <v>3766</v>
      </c>
      <c r="F255" s="455" t="str">
        <f t="shared" si="11"/>
        <v>L3D</v>
      </c>
      <c r="G255" t="str">
        <f t="shared" si="12"/>
        <v>L3D</v>
      </c>
    </row>
    <row r="256" spans="1:7">
      <c r="A256" s="381" t="s">
        <v>3773</v>
      </c>
      <c r="B256" s="455" t="s">
        <v>37</v>
      </c>
      <c r="C256" s="455">
        <v>3</v>
      </c>
      <c r="D256" s="455" t="s">
        <v>3767</v>
      </c>
      <c r="F256" s="455" t="str">
        <f t="shared" si="11"/>
        <v>L3E</v>
      </c>
      <c r="G256" t="str">
        <f t="shared" si="12"/>
        <v>L3E</v>
      </c>
    </row>
    <row r="257" spans="1:7">
      <c r="A257" s="381" t="s">
        <v>3773</v>
      </c>
      <c r="B257" s="455" t="s">
        <v>37</v>
      </c>
      <c r="C257" s="455">
        <v>4</v>
      </c>
      <c r="D257" s="455" t="s">
        <v>3760</v>
      </c>
      <c r="F257" s="455" t="str">
        <f t="shared" si="11"/>
        <v>L4A</v>
      </c>
      <c r="G257" t="str">
        <f t="shared" si="12"/>
        <v>L4A</v>
      </c>
    </row>
    <row r="258" spans="1:7">
      <c r="A258" s="381" t="s">
        <v>3773</v>
      </c>
      <c r="B258" s="455" t="s">
        <v>37</v>
      </c>
      <c r="C258" s="455">
        <v>4</v>
      </c>
      <c r="D258" s="455" t="s">
        <v>3761</v>
      </c>
      <c r="F258" s="455" t="str">
        <f t="shared" si="11"/>
        <v>L4B</v>
      </c>
      <c r="G258" t="str">
        <f t="shared" si="12"/>
        <v>L4B</v>
      </c>
    </row>
    <row r="259" spans="1:7">
      <c r="A259" s="381" t="s">
        <v>3773</v>
      </c>
      <c r="B259" s="455" t="s">
        <v>37</v>
      </c>
      <c r="C259" s="455">
        <v>4</v>
      </c>
      <c r="D259" s="455" t="s">
        <v>3765</v>
      </c>
      <c r="F259" s="455" t="str">
        <f t="shared" si="11"/>
        <v>L4C</v>
      </c>
      <c r="G259" t="str">
        <f t="shared" si="12"/>
        <v>L4C</v>
      </c>
    </row>
    <row r="260" spans="1:7">
      <c r="A260" s="381" t="s">
        <v>3773</v>
      </c>
      <c r="B260" s="455" t="s">
        <v>37</v>
      </c>
      <c r="C260" s="455">
        <v>4</v>
      </c>
      <c r="D260" s="455" t="s">
        <v>3766</v>
      </c>
      <c r="F260" s="455" t="str">
        <f t="shared" si="11"/>
        <v>L4D</v>
      </c>
      <c r="G260" t="str">
        <f t="shared" si="12"/>
        <v>L4D</v>
      </c>
    </row>
    <row r="261" spans="1:7">
      <c r="A261" s="381" t="s">
        <v>3773</v>
      </c>
      <c r="B261" s="455" t="s">
        <v>37</v>
      </c>
      <c r="C261" s="455">
        <v>4</v>
      </c>
      <c r="D261" s="455" t="s">
        <v>3767</v>
      </c>
      <c r="F261" s="455" t="str">
        <f t="shared" si="11"/>
        <v>L4E</v>
      </c>
      <c r="G261" t="str">
        <f t="shared" si="12"/>
        <v>L4E</v>
      </c>
    </row>
    <row r="262" spans="1:7">
      <c r="A262" s="381" t="s">
        <v>3773</v>
      </c>
      <c r="B262" s="455" t="s">
        <v>37</v>
      </c>
      <c r="C262" s="455">
        <v>5</v>
      </c>
      <c r="D262" s="455" t="s">
        <v>3760</v>
      </c>
      <c r="F262" s="455" t="str">
        <f t="shared" si="11"/>
        <v>L5A</v>
      </c>
      <c r="G262" t="str">
        <f t="shared" si="12"/>
        <v>L5A</v>
      </c>
    </row>
    <row r="263" spans="1:7">
      <c r="A263" s="381" t="s">
        <v>3773</v>
      </c>
      <c r="B263" s="455" t="s">
        <v>37</v>
      </c>
      <c r="C263" s="455">
        <v>5</v>
      </c>
      <c r="D263" s="455" t="s">
        <v>3761</v>
      </c>
      <c r="F263" s="455" t="str">
        <f t="shared" si="11"/>
        <v>L5B</v>
      </c>
      <c r="G263" t="str">
        <f t="shared" si="12"/>
        <v>L5B</v>
      </c>
    </row>
    <row r="264" spans="1:7">
      <c r="A264" s="381" t="s">
        <v>3773</v>
      </c>
      <c r="B264" s="455" t="s">
        <v>37</v>
      </c>
      <c r="C264" s="455">
        <v>5</v>
      </c>
      <c r="D264" s="455" t="s">
        <v>3765</v>
      </c>
      <c r="F264" s="455" t="str">
        <f t="shared" si="11"/>
        <v>L5C</v>
      </c>
      <c r="G264" t="str">
        <f t="shared" si="12"/>
        <v>L5C</v>
      </c>
    </row>
    <row r="265" spans="1:7">
      <c r="A265" s="381" t="s">
        <v>3773</v>
      </c>
      <c r="B265" s="455" t="s">
        <v>37</v>
      </c>
      <c r="C265" s="455">
        <v>5</v>
      </c>
      <c r="D265" s="455" t="s">
        <v>3766</v>
      </c>
      <c r="F265" s="455" t="str">
        <f t="shared" si="11"/>
        <v>L5D</v>
      </c>
      <c r="G265" t="str">
        <f t="shared" si="12"/>
        <v>L5D</v>
      </c>
    </row>
    <row r="266" spans="1:7">
      <c r="A266" s="381" t="s">
        <v>3773</v>
      </c>
      <c r="B266" s="455" t="s">
        <v>37</v>
      </c>
      <c r="C266" s="455">
        <v>5</v>
      </c>
      <c r="D266" s="455" t="s">
        <v>3767</v>
      </c>
      <c r="F266" s="455" t="str">
        <f t="shared" si="11"/>
        <v>L5E</v>
      </c>
      <c r="G266" t="str">
        <f t="shared" si="12"/>
        <v>L5E</v>
      </c>
    </row>
    <row r="267" spans="1:7">
      <c r="A267" s="381" t="s">
        <v>3773</v>
      </c>
      <c r="B267" s="455" t="s">
        <v>37</v>
      </c>
      <c r="C267" s="455">
        <v>6</v>
      </c>
      <c r="D267" s="455" t="s">
        <v>3760</v>
      </c>
      <c r="F267" s="455" t="str">
        <f t="shared" si="11"/>
        <v>L6A</v>
      </c>
      <c r="G267" t="str">
        <f t="shared" si="12"/>
        <v>L6A</v>
      </c>
    </row>
    <row r="268" spans="1:7">
      <c r="A268" s="381" t="s">
        <v>3773</v>
      </c>
      <c r="B268" s="455" t="s">
        <v>37</v>
      </c>
      <c r="C268" s="455">
        <v>6</v>
      </c>
      <c r="D268" s="455" t="s">
        <v>3761</v>
      </c>
      <c r="F268" s="455" t="str">
        <f t="shared" si="11"/>
        <v>L6B</v>
      </c>
      <c r="G268" t="str">
        <f t="shared" si="12"/>
        <v>L6B</v>
      </c>
    </row>
    <row r="269" spans="1:7">
      <c r="A269" s="381" t="s">
        <v>3773</v>
      </c>
      <c r="B269" s="455" t="s">
        <v>37</v>
      </c>
      <c r="C269" s="455">
        <v>6</v>
      </c>
      <c r="D269" s="455" t="s">
        <v>3765</v>
      </c>
      <c r="F269" s="455" t="str">
        <f t="shared" si="11"/>
        <v>L6C</v>
      </c>
      <c r="G269" t="str">
        <f t="shared" si="12"/>
        <v>L6C</v>
      </c>
    </row>
    <row r="270" spans="1:7">
      <c r="A270" s="381" t="s">
        <v>3773</v>
      </c>
      <c r="B270" s="455" t="s">
        <v>37</v>
      </c>
      <c r="C270" s="455">
        <v>6</v>
      </c>
      <c r="D270" s="455" t="s">
        <v>3766</v>
      </c>
      <c r="F270" s="455" t="str">
        <f t="shared" si="11"/>
        <v>L6D</v>
      </c>
      <c r="G270" t="str">
        <f t="shared" si="12"/>
        <v>L6D</v>
      </c>
    </row>
    <row r="271" spans="1:7">
      <c r="A271" s="381" t="s">
        <v>3773</v>
      </c>
      <c r="B271" s="455" t="s">
        <v>37</v>
      </c>
      <c r="C271" s="455">
        <v>6</v>
      </c>
      <c r="D271" s="455" t="s">
        <v>3767</v>
      </c>
      <c r="F271" s="455" t="str">
        <f t="shared" si="11"/>
        <v>L6E</v>
      </c>
      <c r="G271" t="str">
        <f t="shared" si="12"/>
        <v>L6E</v>
      </c>
    </row>
    <row r="272" spans="1:7">
      <c r="A272" s="381" t="s">
        <v>3773</v>
      </c>
      <c r="B272" s="455" t="s">
        <v>46</v>
      </c>
      <c r="C272" s="455">
        <v>1</v>
      </c>
      <c r="D272" s="455" t="s">
        <v>3760</v>
      </c>
      <c r="F272" s="455" t="str">
        <f t="shared" si="11"/>
        <v>M1A</v>
      </c>
      <c r="G272" t="str">
        <f t="shared" si="12"/>
        <v>M1A</v>
      </c>
    </row>
    <row r="273" spans="1:7">
      <c r="A273" s="381" t="s">
        <v>3773</v>
      </c>
      <c r="B273" s="455" t="s">
        <v>46</v>
      </c>
      <c r="C273" s="455">
        <v>1</v>
      </c>
      <c r="D273" s="455" t="s">
        <v>3761</v>
      </c>
      <c r="F273" s="455" t="str">
        <f t="shared" si="11"/>
        <v>M1B</v>
      </c>
      <c r="G273" t="str">
        <f t="shared" si="12"/>
        <v>M1B</v>
      </c>
    </row>
    <row r="274" spans="1:7">
      <c r="A274" s="381" t="s">
        <v>3773</v>
      </c>
      <c r="B274" s="455" t="s">
        <v>46</v>
      </c>
      <c r="C274" s="455">
        <v>1</v>
      </c>
      <c r="D274" s="455" t="s">
        <v>3765</v>
      </c>
      <c r="F274" s="455" t="str">
        <f t="shared" si="11"/>
        <v>M1C</v>
      </c>
      <c r="G274" t="str">
        <f t="shared" si="12"/>
        <v>M1C</v>
      </c>
    </row>
    <row r="275" spans="1:7">
      <c r="A275" s="381" t="s">
        <v>3773</v>
      </c>
      <c r="B275" s="455" t="s">
        <v>46</v>
      </c>
      <c r="C275" s="455">
        <v>1</v>
      </c>
      <c r="D275" s="455" t="s">
        <v>3766</v>
      </c>
      <c r="F275" s="455" t="str">
        <f t="shared" si="11"/>
        <v>M1D</v>
      </c>
      <c r="G275" t="str">
        <f t="shared" si="12"/>
        <v>M1D</v>
      </c>
    </row>
    <row r="276" spans="1:7">
      <c r="A276" s="381" t="s">
        <v>3773</v>
      </c>
      <c r="B276" s="455" t="s">
        <v>46</v>
      </c>
      <c r="C276" s="455">
        <v>1</v>
      </c>
      <c r="D276" s="455" t="s">
        <v>3767</v>
      </c>
      <c r="F276" s="455" t="str">
        <f t="shared" si="11"/>
        <v>M1E</v>
      </c>
      <c r="G276" t="str">
        <f t="shared" si="12"/>
        <v>M1E</v>
      </c>
    </row>
    <row r="277" spans="1:7">
      <c r="A277" s="381" t="s">
        <v>3773</v>
      </c>
      <c r="B277" s="455" t="s">
        <v>46</v>
      </c>
      <c r="C277" s="455">
        <v>2</v>
      </c>
      <c r="D277" s="455" t="s">
        <v>3760</v>
      </c>
      <c r="F277" s="455" t="str">
        <f t="shared" si="11"/>
        <v>M2A</v>
      </c>
      <c r="G277" t="str">
        <f t="shared" si="12"/>
        <v>M2A</v>
      </c>
    </row>
    <row r="278" spans="1:7">
      <c r="A278" s="381" t="s">
        <v>3773</v>
      </c>
      <c r="B278" s="455" t="s">
        <v>46</v>
      </c>
      <c r="C278" s="455">
        <v>2</v>
      </c>
      <c r="D278" s="455" t="s">
        <v>3761</v>
      </c>
      <c r="F278" s="455" t="str">
        <f t="shared" si="11"/>
        <v>M2B</v>
      </c>
      <c r="G278" t="str">
        <f t="shared" si="12"/>
        <v>M2B</v>
      </c>
    </row>
    <row r="279" spans="1:7">
      <c r="A279" s="381" t="s">
        <v>3773</v>
      </c>
      <c r="B279" s="455" t="s">
        <v>46</v>
      </c>
      <c r="C279" s="455">
        <v>2</v>
      </c>
      <c r="D279" s="455" t="s">
        <v>3765</v>
      </c>
      <c r="F279" s="455" t="str">
        <f t="shared" si="11"/>
        <v>M2C</v>
      </c>
      <c r="G279" t="str">
        <f t="shared" si="12"/>
        <v>M2C</v>
      </c>
    </row>
    <row r="280" spans="1:7">
      <c r="A280" s="381" t="s">
        <v>3773</v>
      </c>
      <c r="B280" s="455" t="s">
        <v>46</v>
      </c>
      <c r="C280" s="455">
        <v>2</v>
      </c>
      <c r="D280" s="455" t="s">
        <v>3766</v>
      </c>
      <c r="F280" s="455" t="str">
        <f t="shared" si="11"/>
        <v>M2D</v>
      </c>
      <c r="G280" t="str">
        <f t="shared" si="12"/>
        <v>M2D</v>
      </c>
    </row>
    <row r="281" spans="1:7">
      <c r="A281" s="381" t="s">
        <v>3773</v>
      </c>
      <c r="B281" s="455" t="s">
        <v>46</v>
      </c>
      <c r="C281" s="455">
        <v>2</v>
      </c>
      <c r="D281" s="455" t="s">
        <v>3767</v>
      </c>
      <c r="F281" s="455" t="str">
        <f t="shared" si="11"/>
        <v>M2E</v>
      </c>
      <c r="G281" t="str">
        <f t="shared" si="12"/>
        <v>M2E</v>
      </c>
    </row>
    <row r="282" spans="1:7">
      <c r="A282" s="381" t="s">
        <v>3773</v>
      </c>
      <c r="B282" s="455" t="s">
        <v>46</v>
      </c>
      <c r="C282" s="455">
        <v>3</v>
      </c>
      <c r="D282" s="455" t="s">
        <v>3760</v>
      </c>
      <c r="F282" s="455" t="str">
        <f t="shared" si="11"/>
        <v>M3A</v>
      </c>
      <c r="G282" t="str">
        <f t="shared" si="12"/>
        <v>M3A</v>
      </c>
    </row>
    <row r="283" spans="1:7">
      <c r="A283" s="381" t="s">
        <v>3773</v>
      </c>
      <c r="B283" s="455" t="s">
        <v>46</v>
      </c>
      <c r="C283" s="455">
        <v>3</v>
      </c>
      <c r="D283" s="455" t="s">
        <v>3761</v>
      </c>
      <c r="F283" s="455" t="str">
        <f t="shared" si="11"/>
        <v>M3B</v>
      </c>
      <c r="G283" t="str">
        <f t="shared" si="12"/>
        <v>M3B</v>
      </c>
    </row>
    <row r="284" spans="1:7">
      <c r="A284" s="381" t="s">
        <v>3773</v>
      </c>
      <c r="B284" s="455" t="s">
        <v>46</v>
      </c>
      <c r="C284" s="455">
        <v>3</v>
      </c>
      <c r="D284" s="455" t="s">
        <v>3765</v>
      </c>
      <c r="F284" s="455" t="str">
        <f t="shared" si="11"/>
        <v>M3C</v>
      </c>
      <c r="G284" t="str">
        <f t="shared" si="12"/>
        <v>M3C</v>
      </c>
    </row>
    <row r="285" spans="1:7">
      <c r="A285" s="381" t="s">
        <v>3773</v>
      </c>
      <c r="B285" s="455" t="s">
        <v>46</v>
      </c>
      <c r="C285" s="455">
        <v>3</v>
      </c>
      <c r="D285" s="455" t="s">
        <v>3766</v>
      </c>
      <c r="F285" s="455" t="str">
        <f t="shared" si="11"/>
        <v>M3D</v>
      </c>
      <c r="G285" t="str">
        <f t="shared" si="12"/>
        <v>M3D</v>
      </c>
    </row>
    <row r="286" spans="1:7">
      <c r="A286" s="381" t="s">
        <v>3773</v>
      </c>
      <c r="B286" s="455" t="s">
        <v>46</v>
      </c>
      <c r="C286" s="455">
        <v>3</v>
      </c>
      <c r="D286" s="455" t="s">
        <v>3767</v>
      </c>
      <c r="F286" s="455" t="str">
        <f t="shared" si="11"/>
        <v>M3E</v>
      </c>
      <c r="G286" t="str">
        <f t="shared" si="12"/>
        <v>M3E</v>
      </c>
    </row>
    <row r="287" spans="1:7">
      <c r="A287" s="381" t="s">
        <v>3773</v>
      </c>
      <c r="B287" s="455" t="s">
        <v>46</v>
      </c>
      <c r="C287" s="455">
        <v>4</v>
      </c>
      <c r="D287" s="455" t="s">
        <v>3760</v>
      </c>
      <c r="F287" s="455" t="str">
        <f t="shared" si="11"/>
        <v>M4A</v>
      </c>
      <c r="G287" t="str">
        <f t="shared" si="12"/>
        <v>M4A</v>
      </c>
    </row>
    <row r="288" spans="1:7">
      <c r="A288" s="381" t="s">
        <v>3773</v>
      </c>
      <c r="B288" s="455" t="s">
        <v>46</v>
      </c>
      <c r="C288" s="455">
        <v>4</v>
      </c>
      <c r="D288" s="455" t="s">
        <v>3761</v>
      </c>
      <c r="F288" s="455" t="str">
        <f t="shared" si="11"/>
        <v>M4B</v>
      </c>
      <c r="G288" t="str">
        <f t="shared" si="12"/>
        <v>M4B</v>
      </c>
    </row>
    <row r="289" spans="1:7">
      <c r="A289" s="381" t="s">
        <v>3773</v>
      </c>
      <c r="B289" s="455" t="s">
        <v>46</v>
      </c>
      <c r="C289" s="455">
        <v>4</v>
      </c>
      <c r="D289" s="455" t="s">
        <v>3765</v>
      </c>
      <c r="F289" s="455" t="str">
        <f t="shared" si="11"/>
        <v>M4C</v>
      </c>
      <c r="G289" t="str">
        <f t="shared" si="12"/>
        <v>M4C</v>
      </c>
    </row>
    <row r="290" spans="1:7">
      <c r="A290" s="381" t="s">
        <v>3773</v>
      </c>
      <c r="B290" s="455" t="s">
        <v>46</v>
      </c>
      <c r="C290" s="455">
        <v>4</v>
      </c>
      <c r="D290" s="455" t="s">
        <v>3766</v>
      </c>
      <c r="F290" s="455" t="str">
        <f t="shared" si="11"/>
        <v>M4D</v>
      </c>
      <c r="G290" t="str">
        <f t="shared" si="12"/>
        <v>M4D</v>
      </c>
    </row>
    <row r="291" spans="1:7">
      <c r="A291" s="381" t="s">
        <v>3773</v>
      </c>
      <c r="B291" s="455" t="s">
        <v>46</v>
      </c>
      <c r="C291" s="455">
        <v>4</v>
      </c>
      <c r="D291" s="455" t="s">
        <v>3767</v>
      </c>
      <c r="F291" s="455" t="str">
        <f t="shared" si="11"/>
        <v>M4E</v>
      </c>
      <c r="G291" t="str">
        <f t="shared" si="12"/>
        <v>M4E</v>
      </c>
    </row>
    <row r="292" spans="1:7">
      <c r="A292" s="381" t="s">
        <v>3773</v>
      </c>
      <c r="B292" s="455" t="s">
        <v>46</v>
      </c>
      <c r="C292" s="455">
        <v>5</v>
      </c>
      <c r="D292" s="455" t="s">
        <v>3760</v>
      </c>
      <c r="F292" s="455" t="str">
        <f t="shared" si="11"/>
        <v>M5A</v>
      </c>
      <c r="G292" t="str">
        <f t="shared" si="12"/>
        <v>M5A</v>
      </c>
    </row>
    <row r="293" spans="1:7">
      <c r="A293" s="381" t="s">
        <v>3773</v>
      </c>
      <c r="B293" s="455" t="s">
        <v>46</v>
      </c>
      <c r="C293" s="455">
        <v>5</v>
      </c>
      <c r="D293" s="455" t="s">
        <v>3761</v>
      </c>
      <c r="F293" s="455" t="str">
        <f t="shared" ref="F293:F356" si="13">B293&amp;C293&amp;D293</f>
        <v>M5B</v>
      </c>
      <c r="G293" t="str">
        <f t="shared" ref="G293:G356" si="14">F293</f>
        <v>M5B</v>
      </c>
    </row>
    <row r="294" spans="1:7">
      <c r="A294" s="381" t="s">
        <v>3773</v>
      </c>
      <c r="B294" s="455" t="s">
        <v>46</v>
      </c>
      <c r="C294" s="455">
        <v>5</v>
      </c>
      <c r="D294" s="455" t="s">
        <v>3765</v>
      </c>
      <c r="F294" s="455" t="str">
        <f t="shared" si="13"/>
        <v>M5C</v>
      </c>
      <c r="G294" t="str">
        <f t="shared" si="14"/>
        <v>M5C</v>
      </c>
    </row>
    <row r="295" spans="1:7">
      <c r="A295" s="381" t="s">
        <v>3773</v>
      </c>
      <c r="B295" s="455" t="s">
        <v>46</v>
      </c>
      <c r="C295" s="455">
        <v>5</v>
      </c>
      <c r="D295" s="455" t="s">
        <v>3766</v>
      </c>
      <c r="F295" s="455" t="str">
        <f t="shared" si="13"/>
        <v>M5D</v>
      </c>
      <c r="G295" t="str">
        <f t="shared" si="14"/>
        <v>M5D</v>
      </c>
    </row>
    <row r="296" spans="1:7">
      <c r="A296" s="381" t="s">
        <v>3773</v>
      </c>
      <c r="B296" s="455" t="s">
        <v>46</v>
      </c>
      <c r="C296" s="455">
        <v>5</v>
      </c>
      <c r="D296" s="455" t="s">
        <v>3767</v>
      </c>
      <c r="F296" s="455" t="str">
        <f t="shared" si="13"/>
        <v>M5E</v>
      </c>
      <c r="G296" t="str">
        <f t="shared" si="14"/>
        <v>M5E</v>
      </c>
    </row>
    <row r="297" spans="1:7">
      <c r="A297" s="381" t="s">
        <v>3773</v>
      </c>
      <c r="B297" s="455" t="s">
        <v>46</v>
      </c>
      <c r="C297" s="455">
        <v>6</v>
      </c>
      <c r="D297" s="455" t="s">
        <v>3760</v>
      </c>
      <c r="F297" s="455" t="str">
        <f t="shared" si="13"/>
        <v>M6A</v>
      </c>
      <c r="G297" t="str">
        <f t="shared" si="14"/>
        <v>M6A</v>
      </c>
    </row>
    <row r="298" spans="1:7">
      <c r="A298" s="381" t="s">
        <v>3773</v>
      </c>
      <c r="B298" s="455" t="s">
        <v>46</v>
      </c>
      <c r="C298" s="455">
        <v>6</v>
      </c>
      <c r="D298" s="455" t="s">
        <v>3761</v>
      </c>
      <c r="F298" s="455" t="str">
        <f t="shared" si="13"/>
        <v>M6B</v>
      </c>
      <c r="G298" t="str">
        <f t="shared" si="14"/>
        <v>M6B</v>
      </c>
    </row>
    <row r="299" spans="1:7">
      <c r="A299" s="381" t="s">
        <v>3773</v>
      </c>
      <c r="B299" s="455" t="s">
        <v>46</v>
      </c>
      <c r="C299" s="455">
        <v>6</v>
      </c>
      <c r="D299" s="455" t="s">
        <v>3765</v>
      </c>
      <c r="F299" s="455" t="str">
        <f t="shared" si="13"/>
        <v>M6C</v>
      </c>
      <c r="G299" t="str">
        <f t="shared" si="14"/>
        <v>M6C</v>
      </c>
    </row>
    <row r="300" spans="1:7">
      <c r="A300" s="381" t="s">
        <v>3773</v>
      </c>
      <c r="B300" s="455" t="s">
        <v>46</v>
      </c>
      <c r="C300" s="455">
        <v>6</v>
      </c>
      <c r="D300" s="455" t="s">
        <v>3766</v>
      </c>
      <c r="F300" s="455" t="str">
        <f t="shared" si="13"/>
        <v>M6D</v>
      </c>
      <c r="G300" t="str">
        <f t="shared" si="14"/>
        <v>M6D</v>
      </c>
    </row>
    <row r="301" spans="1:7">
      <c r="A301" s="381" t="s">
        <v>3773</v>
      </c>
      <c r="B301" s="455" t="s">
        <v>46</v>
      </c>
      <c r="C301" s="455">
        <v>6</v>
      </c>
      <c r="D301" s="455" t="s">
        <v>3767</v>
      </c>
      <c r="F301" s="455" t="str">
        <f t="shared" si="13"/>
        <v>M6E</v>
      </c>
      <c r="G301" t="str">
        <f t="shared" si="14"/>
        <v>M6E</v>
      </c>
    </row>
    <row r="302" spans="1:7">
      <c r="A302" s="381" t="s">
        <v>3773</v>
      </c>
      <c r="B302" s="455" t="s">
        <v>3778</v>
      </c>
      <c r="C302" s="455">
        <v>1</v>
      </c>
      <c r="D302" s="455" t="s">
        <v>3760</v>
      </c>
      <c r="F302" s="455" t="str">
        <f t="shared" si="13"/>
        <v>N1A</v>
      </c>
      <c r="G302" t="str">
        <f t="shared" si="14"/>
        <v>N1A</v>
      </c>
    </row>
    <row r="303" spans="1:7">
      <c r="A303" s="381" t="s">
        <v>3773</v>
      </c>
      <c r="B303" s="455" t="s">
        <v>3778</v>
      </c>
      <c r="C303" s="455">
        <v>1</v>
      </c>
      <c r="D303" s="455" t="s">
        <v>3761</v>
      </c>
      <c r="F303" s="455" t="str">
        <f t="shared" si="13"/>
        <v>N1B</v>
      </c>
      <c r="G303" t="str">
        <f t="shared" si="14"/>
        <v>N1B</v>
      </c>
    </row>
    <row r="304" spans="1:7">
      <c r="A304" s="381" t="s">
        <v>3773</v>
      </c>
      <c r="B304" s="455" t="s">
        <v>3778</v>
      </c>
      <c r="C304" s="455">
        <v>2</v>
      </c>
      <c r="D304" s="455" t="s">
        <v>3760</v>
      </c>
      <c r="F304" s="455" t="str">
        <f t="shared" si="13"/>
        <v>N2A</v>
      </c>
      <c r="G304" t="str">
        <f t="shared" si="14"/>
        <v>N2A</v>
      </c>
    </row>
    <row r="305" spans="1:7">
      <c r="A305" s="381" t="s">
        <v>3773</v>
      </c>
      <c r="B305" s="455" t="s">
        <v>3778</v>
      </c>
      <c r="C305" s="455">
        <v>2</v>
      </c>
      <c r="D305" s="455" t="s">
        <v>3761</v>
      </c>
      <c r="F305" s="455" t="str">
        <f t="shared" si="13"/>
        <v>N2B</v>
      </c>
      <c r="G305" t="str">
        <f t="shared" si="14"/>
        <v>N2B</v>
      </c>
    </row>
    <row r="306" spans="1:7">
      <c r="A306" s="381" t="s">
        <v>3773</v>
      </c>
      <c r="B306" s="455" t="s">
        <v>3778</v>
      </c>
      <c r="C306" s="455">
        <v>3</v>
      </c>
      <c r="D306" s="455" t="s">
        <v>3760</v>
      </c>
      <c r="F306" s="455" t="str">
        <f t="shared" si="13"/>
        <v>N3A</v>
      </c>
      <c r="G306" t="str">
        <f t="shared" si="14"/>
        <v>N3A</v>
      </c>
    </row>
    <row r="307" spans="1:7">
      <c r="A307" s="381" t="s">
        <v>3773</v>
      </c>
      <c r="B307" s="455" t="s">
        <v>3778</v>
      </c>
      <c r="C307" s="455">
        <v>3</v>
      </c>
      <c r="D307" s="455" t="s">
        <v>3761</v>
      </c>
      <c r="F307" s="455" t="str">
        <f t="shared" si="13"/>
        <v>N3B</v>
      </c>
      <c r="G307" t="str">
        <f t="shared" si="14"/>
        <v>N3B</v>
      </c>
    </row>
    <row r="308" spans="1:7">
      <c r="A308" s="381" t="s">
        <v>3773</v>
      </c>
      <c r="B308" s="455" t="s">
        <v>3778</v>
      </c>
      <c r="C308" s="455">
        <v>4</v>
      </c>
      <c r="D308" s="455" t="s">
        <v>3760</v>
      </c>
      <c r="F308" s="455" t="str">
        <f t="shared" si="13"/>
        <v>N4A</v>
      </c>
      <c r="G308" t="str">
        <f t="shared" si="14"/>
        <v>N4A</v>
      </c>
    </row>
    <row r="309" spans="1:7">
      <c r="A309" s="381" t="s">
        <v>3773</v>
      </c>
      <c r="B309" s="455" t="s">
        <v>3778</v>
      </c>
      <c r="C309" s="455">
        <v>4</v>
      </c>
      <c r="D309" s="455" t="s">
        <v>3761</v>
      </c>
      <c r="F309" s="455" t="str">
        <f t="shared" si="13"/>
        <v>N4B</v>
      </c>
      <c r="G309" t="str">
        <f t="shared" si="14"/>
        <v>N4B</v>
      </c>
    </row>
    <row r="310" spans="1:7">
      <c r="A310" s="381" t="s">
        <v>3773</v>
      </c>
      <c r="B310" s="455" t="s">
        <v>3778</v>
      </c>
      <c r="C310" s="455">
        <v>5</v>
      </c>
      <c r="D310" s="455" t="s">
        <v>3760</v>
      </c>
      <c r="F310" s="455" t="str">
        <f t="shared" si="13"/>
        <v>N5A</v>
      </c>
      <c r="G310" t="str">
        <f t="shared" si="14"/>
        <v>N5A</v>
      </c>
    </row>
    <row r="311" spans="1:7">
      <c r="A311" s="381" t="s">
        <v>3773</v>
      </c>
      <c r="B311" s="455" t="s">
        <v>3778</v>
      </c>
      <c r="C311" s="455">
        <v>5</v>
      </c>
      <c r="D311" s="455" t="s">
        <v>3761</v>
      </c>
      <c r="F311" s="455" t="str">
        <f t="shared" si="13"/>
        <v>N5B</v>
      </c>
      <c r="G311" t="str">
        <f t="shared" si="14"/>
        <v>N5B</v>
      </c>
    </row>
    <row r="312" spans="1:7">
      <c r="A312" s="381" t="s">
        <v>3773</v>
      </c>
      <c r="B312" s="455" t="s">
        <v>3778</v>
      </c>
      <c r="C312" s="455">
        <v>6</v>
      </c>
      <c r="D312" s="455" t="s">
        <v>3760</v>
      </c>
      <c r="F312" s="455" t="str">
        <f t="shared" si="13"/>
        <v>N6A</v>
      </c>
      <c r="G312" t="str">
        <f t="shared" si="14"/>
        <v>N6A</v>
      </c>
    </row>
    <row r="313" spans="1:7">
      <c r="A313" s="381" t="s">
        <v>3773</v>
      </c>
      <c r="B313" s="455" t="s">
        <v>3778</v>
      </c>
      <c r="C313" s="455">
        <v>6</v>
      </c>
      <c r="D313" s="455" t="s">
        <v>3761</v>
      </c>
      <c r="F313" s="455" t="str">
        <f t="shared" si="13"/>
        <v>N6B</v>
      </c>
      <c r="G313" t="str">
        <f t="shared" si="14"/>
        <v>N6B</v>
      </c>
    </row>
    <row r="314" spans="1:7">
      <c r="A314" s="381" t="s">
        <v>3773</v>
      </c>
      <c r="B314" s="455" t="s">
        <v>3778</v>
      </c>
      <c r="C314" s="455">
        <v>7</v>
      </c>
      <c r="D314" s="455" t="s">
        <v>3760</v>
      </c>
      <c r="F314" s="455" t="str">
        <f t="shared" si="13"/>
        <v>N7A</v>
      </c>
      <c r="G314" t="str">
        <f t="shared" si="14"/>
        <v>N7A</v>
      </c>
    </row>
    <row r="315" spans="1:7">
      <c r="A315" s="381" t="s">
        <v>3773</v>
      </c>
      <c r="B315" s="455" t="s">
        <v>3778</v>
      </c>
      <c r="C315" s="455">
        <v>7</v>
      </c>
      <c r="D315" s="455" t="s">
        <v>3761</v>
      </c>
      <c r="F315" s="455" t="str">
        <f t="shared" si="13"/>
        <v>N7B</v>
      </c>
      <c r="G315" t="str">
        <f t="shared" si="14"/>
        <v>N7B</v>
      </c>
    </row>
    <row r="316" spans="1:7">
      <c r="A316" s="381" t="s">
        <v>3773</v>
      </c>
      <c r="B316" s="455" t="s">
        <v>3778</v>
      </c>
      <c r="C316" s="455">
        <v>8</v>
      </c>
      <c r="D316" s="455" t="s">
        <v>3760</v>
      </c>
      <c r="F316" s="455" t="str">
        <f t="shared" si="13"/>
        <v>N8A</v>
      </c>
      <c r="G316" t="str">
        <f t="shared" si="14"/>
        <v>N8A</v>
      </c>
    </row>
    <row r="317" spans="1:7">
      <c r="A317" s="381" t="s">
        <v>3773</v>
      </c>
      <c r="B317" s="455" t="s">
        <v>3778</v>
      </c>
      <c r="C317" s="455">
        <v>8</v>
      </c>
      <c r="D317" s="455" t="s">
        <v>3761</v>
      </c>
      <c r="F317" s="455" t="str">
        <f t="shared" si="13"/>
        <v>N8B</v>
      </c>
      <c r="G317" t="str">
        <f t="shared" si="14"/>
        <v>N8B</v>
      </c>
    </row>
    <row r="318" spans="1:7">
      <c r="A318" s="381" t="s">
        <v>3773</v>
      </c>
      <c r="B318" s="455" t="s">
        <v>3778</v>
      </c>
      <c r="C318" s="455">
        <v>9</v>
      </c>
      <c r="D318" s="455" t="s">
        <v>3760</v>
      </c>
      <c r="F318" s="455" t="str">
        <f t="shared" si="13"/>
        <v>N9A</v>
      </c>
      <c r="G318" t="str">
        <f t="shared" si="14"/>
        <v>N9A</v>
      </c>
    </row>
    <row r="319" spans="1:7">
      <c r="A319" s="381" t="s">
        <v>3773</v>
      </c>
      <c r="B319" s="455" t="s">
        <v>3778</v>
      </c>
      <c r="C319" s="455">
        <v>9</v>
      </c>
      <c r="D319" s="455" t="s">
        <v>3761</v>
      </c>
      <c r="F319" s="455" t="str">
        <f t="shared" si="13"/>
        <v>N9B</v>
      </c>
      <c r="G319" t="str">
        <f t="shared" si="14"/>
        <v>N9B</v>
      </c>
    </row>
    <row r="320" spans="1:7">
      <c r="A320" s="381" t="s">
        <v>3773</v>
      </c>
      <c r="B320" s="455" t="s">
        <v>3778</v>
      </c>
      <c r="C320" s="455">
        <v>10</v>
      </c>
      <c r="D320" s="455" t="s">
        <v>3760</v>
      </c>
      <c r="F320" s="455" t="str">
        <f t="shared" si="13"/>
        <v>N10A</v>
      </c>
      <c r="G320" t="str">
        <f t="shared" si="14"/>
        <v>N10A</v>
      </c>
    </row>
    <row r="321" spans="1:7">
      <c r="A321" s="381" t="s">
        <v>3773</v>
      </c>
      <c r="B321" s="455" t="s">
        <v>3778</v>
      </c>
      <c r="C321" s="455">
        <v>10</v>
      </c>
      <c r="D321" s="455" t="s">
        <v>3761</v>
      </c>
      <c r="F321" s="455" t="str">
        <f t="shared" si="13"/>
        <v>N10B</v>
      </c>
      <c r="G321" t="str">
        <f t="shared" si="14"/>
        <v>N10B</v>
      </c>
    </row>
    <row r="322" spans="1:7">
      <c r="A322" s="381" t="s">
        <v>3773</v>
      </c>
      <c r="B322" s="455" t="s">
        <v>3778</v>
      </c>
      <c r="C322" s="455">
        <v>11</v>
      </c>
      <c r="D322" s="455" t="s">
        <v>3760</v>
      </c>
      <c r="F322" s="455" t="str">
        <f t="shared" si="13"/>
        <v>N11A</v>
      </c>
      <c r="G322" t="str">
        <f t="shared" si="14"/>
        <v>N11A</v>
      </c>
    </row>
    <row r="323" spans="1:7">
      <c r="A323" s="381" t="s">
        <v>3773</v>
      </c>
      <c r="B323" s="455" t="s">
        <v>3778</v>
      </c>
      <c r="C323" s="455">
        <v>11</v>
      </c>
      <c r="D323" s="455" t="s">
        <v>3761</v>
      </c>
      <c r="F323" s="455" t="str">
        <f t="shared" si="13"/>
        <v>N11B</v>
      </c>
      <c r="G323" t="str">
        <f t="shared" si="14"/>
        <v>N11B</v>
      </c>
    </row>
    <row r="324" spans="1:7">
      <c r="A324" s="381" t="s">
        <v>3773</v>
      </c>
      <c r="B324" s="455" t="s">
        <v>3778</v>
      </c>
      <c r="C324" s="455">
        <v>12</v>
      </c>
      <c r="D324" s="455" t="s">
        <v>3760</v>
      </c>
      <c r="F324" s="455" t="str">
        <f t="shared" si="13"/>
        <v>N12A</v>
      </c>
      <c r="G324" t="str">
        <f t="shared" si="14"/>
        <v>N12A</v>
      </c>
    </row>
    <row r="325" spans="1:7">
      <c r="A325" s="381" t="s">
        <v>3773</v>
      </c>
      <c r="B325" s="455" t="s">
        <v>3778</v>
      </c>
      <c r="C325" s="455">
        <v>12</v>
      </c>
      <c r="D325" s="455" t="s">
        <v>3761</v>
      </c>
      <c r="F325" s="455" t="str">
        <f t="shared" si="13"/>
        <v>N12B</v>
      </c>
      <c r="G325" t="str">
        <f t="shared" si="14"/>
        <v>N12B</v>
      </c>
    </row>
    <row r="326" spans="1:7">
      <c r="A326" s="381" t="s">
        <v>3773</v>
      </c>
      <c r="B326" s="455" t="s">
        <v>3778</v>
      </c>
      <c r="C326" s="455">
        <v>13</v>
      </c>
      <c r="D326" s="455" t="s">
        <v>3760</v>
      </c>
      <c r="F326" s="455" t="str">
        <f t="shared" si="13"/>
        <v>N13A</v>
      </c>
      <c r="G326" t="str">
        <f t="shared" si="14"/>
        <v>N13A</v>
      </c>
    </row>
    <row r="327" spans="1:7">
      <c r="A327" s="381" t="s">
        <v>3773</v>
      </c>
      <c r="B327" s="455" t="s">
        <v>3778</v>
      </c>
      <c r="C327" s="455">
        <v>13</v>
      </c>
      <c r="D327" s="455" t="s">
        <v>3761</v>
      </c>
      <c r="F327" s="455" t="str">
        <f t="shared" si="13"/>
        <v>N13B</v>
      </c>
      <c r="G327" t="str">
        <f t="shared" si="14"/>
        <v>N13B</v>
      </c>
    </row>
    <row r="328" spans="1:7">
      <c r="A328" s="381" t="s">
        <v>3773</v>
      </c>
      <c r="B328" s="455" t="s">
        <v>3778</v>
      </c>
      <c r="C328" s="455">
        <v>14</v>
      </c>
      <c r="D328" s="455" t="s">
        <v>3760</v>
      </c>
      <c r="F328" s="455" t="str">
        <f t="shared" si="13"/>
        <v>N14A</v>
      </c>
      <c r="G328" t="str">
        <f t="shared" si="14"/>
        <v>N14A</v>
      </c>
    </row>
    <row r="329" spans="1:7">
      <c r="A329" s="381" t="s">
        <v>3773</v>
      </c>
      <c r="B329" s="455" t="s">
        <v>3778</v>
      </c>
      <c r="C329" s="455">
        <v>14</v>
      </c>
      <c r="D329" s="455" t="s">
        <v>3761</v>
      </c>
      <c r="F329" s="455" t="str">
        <f t="shared" si="13"/>
        <v>N14B</v>
      </c>
      <c r="G329" t="str">
        <f t="shared" si="14"/>
        <v>N14B</v>
      </c>
    </row>
    <row r="330" spans="1:7">
      <c r="A330" s="381" t="s">
        <v>3773</v>
      </c>
      <c r="B330" s="455" t="s">
        <v>3778</v>
      </c>
      <c r="C330" s="455">
        <v>15</v>
      </c>
      <c r="D330" s="455" t="s">
        <v>3760</v>
      </c>
      <c r="F330" s="455" t="str">
        <f t="shared" si="13"/>
        <v>N15A</v>
      </c>
      <c r="G330" t="str">
        <f t="shared" si="14"/>
        <v>N15A</v>
      </c>
    </row>
    <row r="331" spans="1:7">
      <c r="A331" s="381" t="s">
        <v>3773</v>
      </c>
      <c r="B331" s="455" t="s">
        <v>3778</v>
      </c>
      <c r="C331" s="455">
        <v>15</v>
      </c>
      <c r="D331" s="455" t="s">
        <v>3761</v>
      </c>
      <c r="F331" s="455" t="str">
        <f t="shared" si="13"/>
        <v>N15B</v>
      </c>
      <c r="G331" t="str">
        <f t="shared" si="14"/>
        <v>N15B</v>
      </c>
    </row>
    <row r="332" spans="1:7">
      <c r="A332" s="381" t="s">
        <v>3773</v>
      </c>
      <c r="B332" s="455" t="s">
        <v>3778</v>
      </c>
      <c r="C332" s="455">
        <v>16</v>
      </c>
      <c r="D332" s="455" t="s">
        <v>3760</v>
      </c>
      <c r="F332" s="455" t="str">
        <f t="shared" si="13"/>
        <v>N16A</v>
      </c>
      <c r="G332" t="str">
        <f t="shared" si="14"/>
        <v>N16A</v>
      </c>
    </row>
    <row r="333" spans="1:7">
      <c r="A333" s="381" t="s">
        <v>3773</v>
      </c>
      <c r="B333" s="455" t="s">
        <v>3778</v>
      </c>
      <c r="C333" s="455">
        <v>16</v>
      </c>
      <c r="D333" s="455" t="s">
        <v>3761</v>
      </c>
      <c r="F333" s="455" t="str">
        <f t="shared" si="13"/>
        <v>N16B</v>
      </c>
      <c r="G333" t="str">
        <f t="shared" si="14"/>
        <v>N16B</v>
      </c>
    </row>
    <row r="334" spans="1:7">
      <c r="A334" s="381" t="s">
        <v>3773</v>
      </c>
      <c r="B334" s="455" t="s">
        <v>3778</v>
      </c>
      <c r="C334" s="455">
        <v>17</v>
      </c>
      <c r="D334" s="455" t="s">
        <v>3760</v>
      </c>
      <c r="F334" s="455" t="str">
        <f t="shared" si="13"/>
        <v>N17A</v>
      </c>
      <c r="G334" t="str">
        <f t="shared" si="14"/>
        <v>N17A</v>
      </c>
    </row>
    <row r="335" spans="1:7">
      <c r="A335" s="381" t="s">
        <v>3773</v>
      </c>
      <c r="B335" s="455" t="s">
        <v>3778</v>
      </c>
      <c r="C335" s="455">
        <v>17</v>
      </c>
      <c r="D335" s="455" t="s">
        <v>3761</v>
      </c>
      <c r="F335" s="455" t="str">
        <f t="shared" si="13"/>
        <v>N17B</v>
      </c>
      <c r="G335" t="str">
        <f t="shared" si="14"/>
        <v>N17B</v>
      </c>
    </row>
    <row r="336" spans="1:7">
      <c r="A336" s="381" t="s">
        <v>3773</v>
      </c>
      <c r="B336" s="455" t="s">
        <v>3779</v>
      </c>
      <c r="C336" s="455">
        <v>1</v>
      </c>
      <c r="D336" s="455" t="s">
        <v>3760</v>
      </c>
      <c r="F336" s="455" t="str">
        <f t="shared" si="13"/>
        <v>O1A</v>
      </c>
      <c r="G336" t="str">
        <f t="shared" si="14"/>
        <v>O1A</v>
      </c>
    </row>
    <row r="337" spans="1:7">
      <c r="A337" s="381" t="s">
        <v>3773</v>
      </c>
      <c r="B337" s="455" t="s">
        <v>3779</v>
      </c>
      <c r="C337" s="455">
        <v>1</v>
      </c>
      <c r="D337" s="455" t="s">
        <v>3761</v>
      </c>
      <c r="F337" s="455" t="str">
        <f t="shared" si="13"/>
        <v>O1B</v>
      </c>
      <c r="G337" t="str">
        <f t="shared" si="14"/>
        <v>O1B</v>
      </c>
    </row>
    <row r="338" spans="1:7">
      <c r="A338" s="381" t="s">
        <v>3773</v>
      </c>
      <c r="B338" s="455" t="s">
        <v>3779</v>
      </c>
      <c r="C338" s="455">
        <v>2</v>
      </c>
      <c r="D338" s="455" t="s">
        <v>3760</v>
      </c>
      <c r="F338" s="455" t="str">
        <f t="shared" si="13"/>
        <v>O2A</v>
      </c>
      <c r="G338" t="str">
        <f t="shared" si="14"/>
        <v>O2A</v>
      </c>
    </row>
    <row r="339" spans="1:7">
      <c r="A339" s="381" t="s">
        <v>3773</v>
      </c>
      <c r="B339" s="455" t="s">
        <v>3779</v>
      </c>
      <c r="C339" s="455">
        <v>2</v>
      </c>
      <c r="D339" s="455" t="s">
        <v>3761</v>
      </c>
      <c r="F339" s="455" t="str">
        <f t="shared" si="13"/>
        <v>O2B</v>
      </c>
      <c r="G339" t="str">
        <f t="shared" si="14"/>
        <v>O2B</v>
      </c>
    </row>
    <row r="340" spans="1:7">
      <c r="A340" s="381" t="s">
        <v>3773</v>
      </c>
      <c r="B340" s="455" t="s">
        <v>3779</v>
      </c>
      <c r="C340" s="455">
        <v>3</v>
      </c>
      <c r="D340" s="455" t="s">
        <v>3760</v>
      </c>
      <c r="F340" s="455" t="str">
        <f t="shared" si="13"/>
        <v>O3A</v>
      </c>
      <c r="G340" t="str">
        <f t="shared" si="14"/>
        <v>O3A</v>
      </c>
    </row>
    <row r="341" spans="1:7">
      <c r="A341" s="381" t="s">
        <v>3773</v>
      </c>
      <c r="B341" s="455" t="s">
        <v>3779</v>
      </c>
      <c r="C341" s="455">
        <v>3</v>
      </c>
      <c r="D341" s="455" t="s">
        <v>3761</v>
      </c>
      <c r="F341" s="455" t="str">
        <f t="shared" si="13"/>
        <v>O3B</v>
      </c>
      <c r="G341" t="str">
        <f t="shared" si="14"/>
        <v>O3B</v>
      </c>
    </row>
    <row r="342" spans="1:7">
      <c r="A342" s="381" t="s">
        <v>3773</v>
      </c>
      <c r="B342" s="455" t="s">
        <v>3779</v>
      </c>
      <c r="C342" s="455">
        <v>4</v>
      </c>
      <c r="D342" s="455" t="s">
        <v>3760</v>
      </c>
      <c r="F342" s="455" t="str">
        <f t="shared" si="13"/>
        <v>O4A</v>
      </c>
      <c r="G342" t="str">
        <f t="shared" si="14"/>
        <v>O4A</v>
      </c>
    </row>
    <row r="343" spans="1:7">
      <c r="A343" s="381" t="s">
        <v>3773</v>
      </c>
      <c r="B343" s="455" t="s">
        <v>3779</v>
      </c>
      <c r="C343" s="455">
        <v>4</v>
      </c>
      <c r="D343" s="455" t="s">
        <v>3761</v>
      </c>
      <c r="F343" s="455" t="str">
        <f t="shared" si="13"/>
        <v>O4B</v>
      </c>
      <c r="G343" t="str">
        <f t="shared" si="14"/>
        <v>O4B</v>
      </c>
    </row>
    <row r="344" spans="1:7">
      <c r="A344" s="381" t="s">
        <v>3773</v>
      </c>
      <c r="B344" s="455" t="s">
        <v>3779</v>
      </c>
      <c r="C344" s="455">
        <v>5</v>
      </c>
      <c r="D344" s="455" t="s">
        <v>3760</v>
      </c>
      <c r="F344" s="455" t="str">
        <f t="shared" si="13"/>
        <v>O5A</v>
      </c>
      <c r="G344" t="str">
        <f t="shared" si="14"/>
        <v>O5A</v>
      </c>
    </row>
    <row r="345" spans="1:7">
      <c r="A345" s="381" t="s">
        <v>3773</v>
      </c>
      <c r="B345" s="455" t="s">
        <v>3779</v>
      </c>
      <c r="C345" s="455">
        <v>5</v>
      </c>
      <c r="D345" s="455" t="s">
        <v>3761</v>
      </c>
      <c r="F345" s="455" t="str">
        <f t="shared" si="13"/>
        <v>O5B</v>
      </c>
      <c r="G345" t="str">
        <f t="shared" si="14"/>
        <v>O5B</v>
      </c>
    </row>
    <row r="346" spans="1:7">
      <c r="A346" s="381" t="s">
        <v>3773</v>
      </c>
      <c r="B346" s="455" t="s">
        <v>3779</v>
      </c>
      <c r="C346" s="455">
        <v>6</v>
      </c>
      <c r="D346" s="455" t="s">
        <v>3760</v>
      </c>
      <c r="F346" s="455" t="str">
        <f t="shared" si="13"/>
        <v>O6A</v>
      </c>
      <c r="G346" t="str">
        <f t="shared" si="14"/>
        <v>O6A</v>
      </c>
    </row>
    <row r="347" spans="1:7">
      <c r="A347" s="381" t="s">
        <v>3773</v>
      </c>
      <c r="B347" s="455" t="s">
        <v>3779</v>
      </c>
      <c r="C347" s="455">
        <v>6</v>
      </c>
      <c r="D347" s="455" t="s">
        <v>3761</v>
      </c>
      <c r="F347" s="455" t="str">
        <f t="shared" si="13"/>
        <v>O6B</v>
      </c>
      <c r="G347" t="str">
        <f t="shared" si="14"/>
        <v>O6B</v>
      </c>
    </row>
    <row r="348" spans="1:7">
      <c r="A348" s="381" t="s">
        <v>3773</v>
      </c>
      <c r="B348" s="455" t="s">
        <v>3779</v>
      </c>
      <c r="C348" s="455">
        <v>7</v>
      </c>
      <c r="D348" s="455" t="s">
        <v>3760</v>
      </c>
      <c r="F348" s="455" t="str">
        <f t="shared" si="13"/>
        <v>O7A</v>
      </c>
      <c r="G348" t="str">
        <f t="shared" si="14"/>
        <v>O7A</v>
      </c>
    </row>
    <row r="349" spans="1:7">
      <c r="A349" s="381" t="s">
        <v>3773</v>
      </c>
      <c r="B349" s="455" t="s">
        <v>3779</v>
      </c>
      <c r="C349" s="455">
        <v>7</v>
      </c>
      <c r="D349" s="455" t="s">
        <v>3761</v>
      </c>
      <c r="F349" s="455" t="str">
        <f t="shared" si="13"/>
        <v>O7B</v>
      </c>
      <c r="G349" t="str">
        <f t="shared" si="14"/>
        <v>O7B</v>
      </c>
    </row>
    <row r="350" spans="1:7">
      <c r="A350" s="381" t="s">
        <v>3773</v>
      </c>
      <c r="B350" s="455" t="s">
        <v>3779</v>
      </c>
      <c r="C350" s="455">
        <v>8</v>
      </c>
      <c r="D350" s="455" t="s">
        <v>3760</v>
      </c>
      <c r="F350" s="455" t="str">
        <f t="shared" si="13"/>
        <v>O8A</v>
      </c>
      <c r="G350" t="str">
        <f t="shared" si="14"/>
        <v>O8A</v>
      </c>
    </row>
    <row r="351" spans="1:7">
      <c r="A351" s="381" t="s">
        <v>3773</v>
      </c>
      <c r="B351" s="455" t="s">
        <v>3779</v>
      </c>
      <c r="C351" s="455">
        <v>8</v>
      </c>
      <c r="D351" s="455" t="s">
        <v>3761</v>
      </c>
      <c r="F351" s="455" t="str">
        <f t="shared" si="13"/>
        <v>O8B</v>
      </c>
      <c r="G351" t="str">
        <f t="shared" si="14"/>
        <v>O8B</v>
      </c>
    </row>
    <row r="352" spans="1:7">
      <c r="A352" s="381" t="s">
        <v>3773</v>
      </c>
      <c r="B352" s="455" t="s">
        <v>3779</v>
      </c>
      <c r="C352" s="455">
        <v>9</v>
      </c>
      <c r="D352" s="455" t="s">
        <v>3760</v>
      </c>
      <c r="F352" s="455" t="str">
        <f t="shared" si="13"/>
        <v>O9A</v>
      </c>
      <c r="G352" t="str">
        <f t="shared" si="14"/>
        <v>O9A</v>
      </c>
    </row>
    <row r="353" spans="1:7">
      <c r="A353" s="381" t="s">
        <v>3773</v>
      </c>
      <c r="B353" s="455" t="s">
        <v>3779</v>
      </c>
      <c r="C353" s="455">
        <v>9</v>
      </c>
      <c r="D353" s="455" t="s">
        <v>3761</v>
      </c>
      <c r="F353" s="455" t="str">
        <f t="shared" si="13"/>
        <v>O9B</v>
      </c>
      <c r="G353" t="str">
        <f t="shared" si="14"/>
        <v>O9B</v>
      </c>
    </row>
    <row r="354" spans="1:7">
      <c r="A354" s="381" t="s">
        <v>3773</v>
      </c>
      <c r="B354" s="455" t="s">
        <v>3779</v>
      </c>
      <c r="C354" s="455">
        <v>10</v>
      </c>
      <c r="D354" s="455" t="s">
        <v>3760</v>
      </c>
      <c r="F354" s="455" t="str">
        <f t="shared" si="13"/>
        <v>O10A</v>
      </c>
      <c r="G354" t="str">
        <f t="shared" si="14"/>
        <v>O10A</v>
      </c>
    </row>
    <row r="355" spans="1:7">
      <c r="A355" s="381" t="s">
        <v>3773</v>
      </c>
      <c r="B355" s="455" t="s">
        <v>3779</v>
      </c>
      <c r="C355" s="455">
        <v>10</v>
      </c>
      <c r="D355" s="455" t="s">
        <v>3761</v>
      </c>
      <c r="F355" s="455" t="str">
        <f t="shared" si="13"/>
        <v>O10B</v>
      </c>
      <c r="G355" t="str">
        <f t="shared" si="14"/>
        <v>O10B</v>
      </c>
    </row>
    <row r="356" spans="1:7">
      <c r="A356" s="381" t="s">
        <v>3773</v>
      </c>
      <c r="B356" s="455" t="s">
        <v>3779</v>
      </c>
      <c r="C356" s="455">
        <v>11</v>
      </c>
      <c r="D356" s="455" t="s">
        <v>3760</v>
      </c>
      <c r="F356" s="455" t="str">
        <f t="shared" si="13"/>
        <v>O11A</v>
      </c>
      <c r="G356" t="str">
        <f t="shared" si="14"/>
        <v>O11A</v>
      </c>
    </row>
    <row r="357" spans="1:7">
      <c r="A357" s="381" t="s">
        <v>3773</v>
      </c>
      <c r="B357" s="455" t="s">
        <v>3779</v>
      </c>
      <c r="C357" s="455">
        <v>11</v>
      </c>
      <c r="D357" s="455" t="s">
        <v>3761</v>
      </c>
      <c r="F357" s="455" t="str">
        <f t="shared" ref="F357:F420" si="15">B357&amp;C357&amp;D357</f>
        <v>O11B</v>
      </c>
      <c r="G357" t="str">
        <f t="shared" ref="G357:G420" si="16">F357</f>
        <v>O11B</v>
      </c>
    </row>
    <row r="358" spans="1:7">
      <c r="A358" s="381" t="s">
        <v>3773</v>
      </c>
      <c r="B358" s="455" t="s">
        <v>3779</v>
      </c>
      <c r="C358" s="455">
        <v>12</v>
      </c>
      <c r="D358" s="455" t="s">
        <v>3760</v>
      </c>
      <c r="F358" s="455" t="str">
        <f t="shared" si="15"/>
        <v>O12A</v>
      </c>
      <c r="G358" t="str">
        <f t="shared" si="16"/>
        <v>O12A</v>
      </c>
    </row>
    <row r="359" spans="1:7">
      <c r="A359" s="381" t="s">
        <v>3773</v>
      </c>
      <c r="B359" s="455" t="s">
        <v>3779</v>
      </c>
      <c r="C359" s="455">
        <v>12</v>
      </c>
      <c r="D359" s="455" t="s">
        <v>3761</v>
      </c>
      <c r="F359" s="455" t="str">
        <f t="shared" si="15"/>
        <v>O12B</v>
      </c>
      <c r="G359" t="str">
        <f t="shared" si="16"/>
        <v>O12B</v>
      </c>
    </row>
    <row r="360" spans="1:7">
      <c r="A360" s="381" t="s">
        <v>3773</v>
      </c>
      <c r="B360" s="455" t="s">
        <v>3779</v>
      </c>
      <c r="C360" s="455">
        <v>13</v>
      </c>
      <c r="D360" s="455" t="s">
        <v>3760</v>
      </c>
      <c r="F360" s="455" t="str">
        <f t="shared" si="15"/>
        <v>O13A</v>
      </c>
      <c r="G360" t="str">
        <f t="shared" si="16"/>
        <v>O13A</v>
      </c>
    </row>
    <row r="361" spans="1:7">
      <c r="A361" s="381" t="s">
        <v>3773</v>
      </c>
      <c r="B361" s="455" t="s">
        <v>3779</v>
      </c>
      <c r="C361" s="455">
        <v>13</v>
      </c>
      <c r="D361" s="455" t="s">
        <v>3761</v>
      </c>
      <c r="F361" s="455" t="str">
        <f t="shared" si="15"/>
        <v>O13B</v>
      </c>
      <c r="G361" t="str">
        <f t="shared" si="16"/>
        <v>O13B</v>
      </c>
    </row>
    <row r="362" spans="1:7">
      <c r="A362" s="381" t="s">
        <v>3773</v>
      </c>
      <c r="B362" s="455" t="s">
        <v>3779</v>
      </c>
      <c r="C362" s="455">
        <v>14</v>
      </c>
      <c r="D362" s="455" t="s">
        <v>3760</v>
      </c>
      <c r="F362" s="455" t="str">
        <f t="shared" si="15"/>
        <v>O14A</v>
      </c>
      <c r="G362" t="str">
        <f t="shared" si="16"/>
        <v>O14A</v>
      </c>
    </row>
    <row r="363" spans="1:7">
      <c r="A363" s="381" t="s">
        <v>3773</v>
      </c>
      <c r="B363" s="455" t="s">
        <v>3779</v>
      </c>
      <c r="C363" s="455">
        <v>14</v>
      </c>
      <c r="D363" s="455" t="s">
        <v>3761</v>
      </c>
      <c r="F363" s="455" t="str">
        <f t="shared" si="15"/>
        <v>O14B</v>
      </c>
      <c r="G363" t="str">
        <f t="shared" si="16"/>
        <v>O14B</v>
      </c>
    </row>
    <row r="364" spans="1:7">
      <c r="A364" s="381" t="s">
        <v>3773</v>
      </c>
      <c r="B364" s="455" t="s">
        <v>3779</v>
      </c>
      <c r="C364" s="455">
        <v>15</v>
      </c>
      <c r="D364" s="455" t="s">
        <v>3760</v>
      </c>
      <c r="F364" s="455" t="str">
        <f t="shared" si="15"/>
        <v>O15A</v>
      </c>
      <c r="G364" t="str">
        <f t="shared" si="16"/>
        <v>O15A</v>
      </c>
    </row>
    <row r="365" spans="1:7">
      <c r="A365" s="381" t="s">
        <v>3773</v>
      </c>
      <c r="B365" s="455" t="s">
        <v>3779</v>
      </c>
      <c r="C365" s="455">
        <v>15</v>
      </c>
      <c r="D365" s="455" t="s">
        <v>3761</v>
      </c>
      <c r="F365" s="455" t="str">
        <f t="shared" si="15"/>
        <v>O15B</v>
      </c>
      <c r="G365" t="str">
        <f t="shared" si="16"/>
        <v>O15B</v>
      </c>
    </row>
    <row r="366" spans="1:7">
      <c r="A366" s="381" t="s">
        <v>3773</v>
      </c>
      <c r="B366" s="455" t="s">
        <v>3779</v>
      </c>
      <c r="C366" s="455">
        <v>16</v>
      </c>
      <c r="D366" s="455" t="s">
        <v>3760</v>
      </c>
      <c r="F366" s="455" t="str">
        <f t="shared" si="15"/>
        <v>O16A</v>
      </c>
      <c r="G366" t="str">
        <f t="shared" si="16"/>
        <v>O16A</v>
      </c>
    </row>
    <row r="367" spans="1:7">
      <c r="A367" s="381" t="s">
        <v>3773</v>
      </c>
      <c r="B367" s="455" t="s">
        <v>3779</v>
      </c>
      <c r="C367" s="455">
        <v>16</v>
      </c>
      <c r="D367" s="455" t="s">
        <v>3761</v>
      </c>
      <c r="F367" s="455" t="str">
        <f t="shared" si="15"/>
        <v>O16B</v>
      </c>
      <c r="G367" t="str">
        <f t="shared" si="16"/>
        <v>O16B</v>
      </c>
    </row>
    <row r="368" spans="1:7">
      <c r="A368" s="381" t="s">
        <v>3773</v>
      </c>
      <c r="B368" s="455" t="s">
        <v>3779</v>
      </c>
      <c r="C368" s="455">
        <v>17</v>
      </c>
      <c r="D368" s="455" t="s">
        <v>3760</v>
      </c>
      <c r="F368" s="455" t="str">
        <f t="shared" si="15"/>
        <v>O17A</v>
      </c>
      <c r="G368" t="str">
        <f t="shared" si="16"/>
        <v>O17A</v>
      </c>
    </row>
    <row r="369" spans="1:7">
      <c r="A369" s="381" t="s">
        <v>3773</v>
      </c>
      <c r="B369" s="455" t="s">
        <v>3779</v>
      </c>
      <c r="C369" s="455">
        <v>17</v>
      </c>
      <c r="D369" s="455" t="s">
        <v>3761</v>
      </c>
      <c r="F369" s="455" t="str">
        <f t="shared" si="15"/>
        <v>O17B</v>
      </c>
      <c r="G369" t="str">
        <f t="shared" si="16"/>
        <v>O17B</v>
      </c>
    </row>
    <row r="370" spans="1:7">
      <c r="A370" s="381" t="s">
        <v>3773</v>
      </c>
      <c r="B370" s="455" t="s">
        <v>3779</v>
      </c>
      <c r="C370" s="455">
        <v>18</v>
      </c>
      <c r="D370" s="455" t="s">
        <v>3760</v>
      </c>
      <c r="F370" s="455" t="str">
        <f t="shared" si="15"/>
        <v>O18A</v>
      </c>
      <c r="G370" t="str">
        <f t="shared" si="16"/>
        <v>O18A</v>
      </c>
    </row>
    <row r="371" spans="1:7">
      <c r="A371" s="381" t="s">
        <v>3773</v>
      </c>
      <c r="B371" s="455" t="s">
        <v>3779</v>
      </c>
      <c r="C371" s="455">
        <v>18</v>
      </c>
      <c r="D371" s="455" t="s">
        <v>3761</v>
      </c>
      <c r="F371" s="455" t="str">
        <f t="shared" si="15"/>
        <v>O18B</v>
      </c>
      <c r="G371" t="str">
        <f t="shared" si="16"/>
        <v>O18B</v>
      </c>
    </row>
    <row r="372" spans="1:7">
      <c r="A372" s="381" t="s">
        <v>3773</v>
      </c>
      <c r="B372" s="455" t="s">
        <v>3780</v>
      </c>
      <c r="C372" s="455">
        <v>1</v>
      </c>
      <c r="D372" s="455" t="s">
        <v>3760</v>
      </c>
      <c r="F372" s="455" t="str">
        <f t="shared" si="15"/>
        <v>P1A</v>
      </c>
      <c r="G372" t="str">
        <f t="shared" si="16"/>
        <v>P1A</v>
      </c>
    </row>
    <row r="373" spans="1:7">
      <c r="A373" s="381" t="s">
        <v>3773</v>
      </c>
      <c r="B373" s="455" t="s">
        <v>3780</v>
      </c>
      <c r="C373" s="455">
        <v>1</v>
      </c>
      <c r="D373" s="455" t="s">
        <v>3761</v>
      </c>
      <c r="F373" s="455" t="str">
        <f t="shared" si="15"/>
        <v>P1B</v>
      </c>
      <c r="G373" t="str">
        <f t="shared" si="16"/>
        <v>P1B</v>
      </c>
    </row>
    <row r="374" spans="1:7">
      <c r="A374" s="381" t="s">
        <v>3773</v>
      </c>
      <c r="B374" s="455" t="s">
        <v>3780</v>
      </c>
      <c r="C374" s="455">
        <v>2</v>
      </c>
      <c r="D374" s="455" t="s">
        <v>3760</v>
      </c>
      <c r="F374" s="455" t="str">
        <f t="shared" si="15"/>
        <v>P2A</v>
      </c>
      <c r="G374" t="str">
        <f t="shared" si="16"/>
        <v>P2A</v>
      </c>
    </row>
    <row r="375" spans="1:7">
      <c r="A375" s="381" t="s">
        <v>3773</v>
      </c>
      <c r="B375" s="455" t="s">
        <v>3780</v>
      </c>
      <c r="C375" s="455">
        <v>2</v>
      </c>
      <c r="D375" s="455" t="s">
        <v>3761</v>
      </c>
      <c r="F375" s="455" t="str">
        <f t="shared" si="15"/>
        <v>P2B</v>
      </c>
      <c r="G375" t="str">
        <f t="shared" si="16"/>
        <v>P2B</v>
      </c>
    </row>
    <row r="376" spans="1:7">
      <c r="A376" s="381" t="s">
        <v>3773</v>
      </c>
      <c r="B376" s="455" t="s">
        <v>3780</v>
      </c>
      <c r="C376" s="455">
        <v>3</v>
      </c>
      <c r="D376" s="455" t="s">
        <v>3760</v>
      </c>
      <c r="F376" s="455" t="str">
        <f t="shared" si="15"/>
        <v>P3A</v>
      </c>
      <c r="G376" t="str">
        <f t="shared" si="16"/>
        <v>P3A</v>
      </c>
    </row>
    <row r="377" spans="1:7">
      <c r="A377" s="381" t="s">
        <v>3773</v>
      </c>
      <c r="B377" s="455" t="s">
        <v>3780</v>
      </c>
      <c r="C377" s="455">
        <v>3</v>
      </c>
      <c r="D377" s="455" t="s">
        <v>3761</v>
      </c>
      <c r="F377" s="455" t="str">
        <f t="shared" si="15"/>
        <v>P3B</v>
      </c>
      <c r="G377" t="str">
        <f t="shared" si="16"/>
        <v>P3B</v>
      </c>
    </row>
    <row r="378" spans="1:7">
      <c r="A378" s="381" t="s">
        <v>3773</v>
      </c>
      <c r="B378" s="455" t="s">
        <v>3780</v>
      </c>
      <c r="C378" s="455">
        <v>4</v>
      </c>
      <c r="D378" s="455" t="s">
        <v>3760</v>
      </c>
      <c r="F378" s="455" t="str">
        <f t="shared" si="15"/>
        <v>P4A</v>
      </c>
      <c r="G378" t="str">
        <f t="shared" si="16"/>
        <v>P4A</v>
      </c>
    </row>
    <row r="379" spans="1:7">
      <c r="A379" s="381" t="s">
        <v>3773</v>
      </c>
      <c r="B379" s="455" t="s">
        <v>3780</v>
      </c>
      <c r="C379" s="455">
        <v>4</v>
      </c>
      <c r="D379" s="455" t="s">
        <v>3761</v>
      </c>
      <c r="F379" s="455" t="str">
        <f t="shared" si="15"/>
        <v>P4B</v>
      </c>
      <c r="G379" t="str">
        <f t="shared" si="16"/>
        <v>P4B</v>
      </c>
    </row>
    <row r="380" spans="1:7">
      <c r="A380" s="381" t="s">
        <v>3773</v>
      </c>
      <c r="B380" s="455" t="s">
        <v>3780</v>
      </c>
      <c r="C380" s="455">
        <v>5</v>
      </c>
      <c r="D380" s="455" t="s">
        <v>3760</v>
      </c>
      <c r="F380" s="455" t="str">
        <f t="shared" si="15"/>
        <v>P5A</v>
      </c>
      <c r="G380" t="str">
        <f t="shared" si="16"/>
        <v>P5A</v>
      </c>
    </row>
    <row r="381" spans="1:7">
      <c r="A381" s="381" t="s">
        <v>3773</v>
      </c>
      <c r="B381" s="455" t="s">
        <v>3780</v>
      </c>
      <c r="C381" s="455">
        <v>5</v>
      </c>
      <c r="D381" s="455" t="s">
        <v>3761</v>
      </c>
      <c r="F381" s="455" t="str">
        <f t="shared" si="15"/>
        <v>P5B</v>
      </c>
      <c r="G381" t="str">
        <f t="shared" si="16"/>
        <v>P5B</v>
      </c>
    </row>
    <row r="382" spans="1:7">
      <c r="A382" s="381" t="s">
        <v>3773</v>
      </c>
      <c r="B382" s="455" t="s">
        <v>3780</v>
      </c>
      <c r="C382" s="455">
        <v>6</v>
      </c>
      <c r="D382" s="455" t="s">
        <v>3760</v>
      </c>
      <c r="F382" s="455" t="str">
        <f t="shared" si="15"/>
        <v>P6A</v>
      </c>
      <c r="G382" t="str">
        <f t="shared" si="16"/>
        <v>P6A</v>
      </c>
    </row>
    <row r="383" spans="1:7">
      <c r="A383" s="381" t="s">
        <v>3773</v>
      </c>
      <c r="B383" s="455" t="s">
        <v>3780</v>
      </c>
      <c r="C383" s="455">
        <v>6</v>
      </c>
      <c r="D383" s="455" t="s">
        <v>3761</v>
      </c>
      <c r="F383" s="455" t="str">
        <f t="shared" si="15"/>
        <v>P6B</v>
      </c>
      <c r="G383" t="str">
        <f t="shared" si="16"/>
        <v>P6B</v>
      </c>
    </row>
    <row r="384" spans="1:7">
      <c r="A384" s="381" t="s">
        <v>3773</v>
      </c>
      <c r="B384" s="455" t="s">
        <v>3780</v>
      </c>
      <c r="C384" s="455">
        <v>7</v>
      </c>
      <c r="D384" s="455" t="s">
        <v>3760</v>
      </c>
      <c r="F384" s="455" t="str">
        <f t="shared" si="15"/>
        <v>P7A</v>
      </c>
      <c r="G384" t="str">
        <f t="shared" si="16"/>
        <v>P7A</v>
      </c>
    </row>
    <row r="385" spans="1:7">
      <c r="A385" s="381" t="s">
        <v>3773</v>
      </c>
      <c r="B385" s="455" t="s">
        <v>3780</v>
      </c>
      <c r="C385" s="455">
        <v>7</v>
      </c>
      <c r="D385" s="455" t="s">
        <v>3761</v>
      </c>
      <c r="F385" s="455" t="str">
        <f t="shared" si="15"/>
        <v>P7B</v>
      </c>
      <c r="G385" t="str">
        <f t="shared" si="16"/>
        <v>P7B</v>
      </c>
    </row>
    <row r="386" spans="1:7">
      <c r="A386" s="381" t="s">
        <v>3773</v>
      </c>
      <c r="B386" s="455" t="s">
        <v>3780</v>
      </c>
      <c r="C386" s="455">
        <v>8</v>
      </c>
      <c r="D386" s="455" t="s">
        <v>3760</v>
      </c>
      <c r="F386" s="455" t="str">
        <f t="shared" si="15"/>
        <v>P8A</v>
      </c>
      <c r="G386" t="str">
        <f t="shared" si="16"/>
        <v>P8A</v>
      </c>
    </row>
    <row r="387" spans="1:7">
      <c r="A387" s="381" t="s">
        <v>3773</v>
      </c>
      <c r="B387" s="455" t="s">
        <v>3780</v>
      </c>
      <c r="C387" s="455">
        <v>8</v>
      </c>
      <c r="D387" s="455" t="s">
        <v>3761</v>
      </c>
      <c r="F387" s="455" t="str">
        <f t="shared" si="15"/>
        <v>P8B</v>
      </c>
      <c r="G387" t="str">
        <f t="shared" si="16"/>
        <v>P8B</v>
      </c>
    </row>
    <row r="388" spans="1:7">
      <c r="A388" s="381" t="s">
        <v>3773</v>
      </c>
      <c r="B388" s="455" t="s">
        <v>3780</v>
      </c>
      <c r="C388" s="455">
        <v>9</v>
      </c>
      <c r="D388" s="455" t="s">
        <v>3760</v>
      </c>
      <c r="F388" s="455" t="str">
        <f t="shared" si="15"/>
        <v>P9A</v>
      </c>
      <c r="G388" t="str">
        <f t="shared" si="16"/>
        <v>P9A</v>
      </c>
    </row>
    <row r="389" spans="1:7">
      <c r="A389" s="381" t="s">
        <v>3773</v>
      </c>
      <c r="B389" s="455" t="s">
        <v>3780</v>
      </c>
      <c r="C389" s="455">
        <v>9</v>
      </c>
      <c r="D389" s="455" t="s">
        <v>3761</v>
      </c>
      <c r="F389" s="455" t="str">
        <f t="shared" si="15"/>
        <v>P9B</v>
      </c>
      <c r="G389" t="str">
        <f t="shared" si="16"/>
        <v>P9B</v>
      </c>
    </row>
    <row r="390" spans="1:7">
      <c r="A390" s="381" t="s">
        <v>3773</v>
      </c>
      <c r="B390" s="455" t="s">
        <v>3780</v>
      </c>
      <c r="C390" s="455">
        <v>10</v>
      </c>
      <c r="D390" s="455" t="s">
        <v>3760</v>
      </c>
      <c r="F390" s="455" t="str">
        <f t="shared" si="15"/>
        <v>P10A</v>
      </c>
      <c r="G390" t="str">
        <f t="shared" si="16"/>
        <v>P10A</v>
      </c>
    </row>
    <row r="391" spans="1:7">
      <c r="A391" s="381" t="s">
        <v>3773</v>
      </c>
      <c r="B391" s="455" t="s">
        <v>3780</v>
      </c>
      <c r="C391" s="455">
        <v>10</v>
      </c>
      <c r="D391" s="455" t="s">
        <v>3761</v>
      </c>
      <c r="F391" s="455" t="str">
        <f t="shared" si="15"/>
        <v>P10B</v>
      </c>
      <c r="G391" t="str">
        <f t="shared" si="16"/>
        <v>P10B</v>
      </c>
    </row>
    <row r="392" spans="1:7">
      <c r="A392" s="381" t="s">
        <v>3773</v>
      </c>
      <c r="B392" s="455" t="s">
        <v>3780</v>
      </c>
      <c r="C392" s="455">
        <v>11</v>
      </c>
      <c r="D392" s="455" t="s">
        <v>3760</v>
      </c>
      <c r="F392" s="455" t="str">
        <f t="shared" si="15"/>
        <v>P11A</v>
      </c>
      <c r="G392" t="str">
        <f t="shared" si="16"/>
        <v>P11A</v>
      </c>
    </row>
    <row r="393" spans="1:7">
      <c r="A393" s="381" t="s">
        <v>3773</v>
      </c>
      <c r="B393" s="455" t="s">
        <v>3780</v>
      </c>
      <c r="C393" s="455">
        <v>11</v>
      </c>
      <c r="D393" s="455" t="s">
        <v>3761</v>
      </c>
      <c r="F393" s="455" t="str">
        <f t="shared" si="15"/>
        <v>P11B</v>
      </c>
      <c r="G393" t="str">
        <f t="shared" si="16"/>
        <v>P11B</v>
      </c>
    </row>
    <row r="394" spans="1:7">
      <c r="A394" s="381" t="s">
        <v>3773</v>
      </c>
      <c r="B394" s="455" t="s">
        <v>3780</v>
      </c>
      <c r="C394" s="455">
        <v>12</v>
      </c>
      <c r="D394" s="455" t="s">
        <v>3760</v>
      </c>
      <c r="F394" s="455" t="str">
        <f t="shared" si="15"/>
        <v>P12A</v>
      </c>
      <c r="G394" t="str">
        <f t="shared" si="16"/>
        <v>P12A</v>
      </c>
    </row>
    <row r="395" spans="1:7">
      <c r="A395" s="381" t="s">
        <v>3773</v>
      </c>
      <c r="B395" s="455" t="s">
        <v>3780</v>
      </c>
      <c r="C395" s="455">
        <v>12</v>
      </c>
      <c r="D395" s="455" t="s">
        <v>3761</v>
      </c>
      <c r="F395" s="455" t="str">
        <f t="shared" si="15"/>
        <v>P12B</v>
      </c>
      <c r="G395" t="str">
        <f t="shared" si="16"/>
        <v>P12B</v>
      </c>
    </row>
    <row r="396" spans="1:7">
      <c r="A396" s="381" t="s">
        <v>3773</v>
      </c>
      <c r="B396" s="455" t="s">
        <v>3780</v>
      </c>
      <c r="C396" s="455">
        <v>13</v>
      </c>
      <c r="D396" s="455" t="s">
        <v>3760</v>
      </c>
      <c r="F396" s="455" t="str">
        <f t="shared" si="15"/>
        <v>P13A</v>
      </c>
      <c r="G396" t="str">
        <f t="shared" si="16"/>
        <v>P13A</v>
      </c>
    </row>
    <row r="397" spans="1:7">
      <c r="A397" s="381" t="s">
        <v>3773</v>
      </c>
      <c r="B397" s="455" t="s">
        <v>3780</v>
      </c>
      <c r="C397" s="455">
        <v>13</v>
      </c>
      <c r="D397" s="455" t="s">
        <v>3761</v>
      </c>
      <c r="F397" s="455" t="str">
        <f t="shared" si="15"/>
        <v>P13B</v>
      </c>
      <c r="G397" t="str">
        <f t="shared" si="16"/>
        <v>P13B</v>
      </c>
    </row>
    <row r="398" spans="1:7">
      <c r="A398" s="381" t="s">
        <v>3773</v>
      </c>
      <c r="B398" s="455" t="s">
        <v>3780</v>
      </c>
      <c r="C398" s="455">
        <v>14</v>
      </c>
      <c r="D398" s="455" t="s">
        <v>3760</v>
      </c>
      <c r="F398" s="455" t="str">
        <f t="shared" si="15"/>
        <v>P14A</v>
      </c>
      <c r="G398" t="str">
        <f t="shared" si="16"/>
        <v>P14A</v>
      </c>
    </row>
    <row r="399" spans="1:7">
      <c r="A399" s="381" t="s">
        <v>3773</v>
      </c>
      <c r="B399" s="455" t="s">
        <v>3780</v>
      </c>
      <c r="C399" s="455">
        <v>14</v>
      </c>
      <c r="D399" s="455" t="s">
        <v>3761</v>
      </c>
      <c r="F399" s="455" t="str">
        <f t="shared" si="15"/>
        <v>P14B</v>
      </c>
      <c r="G399" t="str">
        <f t="shared" si="16"/>
        <v>P14B</v>
      </c>
    </row>
    <row r="400" spans="1:7">
      <c r="A400" s="381" t="s">
        <v>3773</v>
      </c>
      <c r="B400" s="455" t="s">
        <v>3780</v>
      </c>
      <c r="C400" s="455">
        <v>15</v>
      </c>
      <c r="D400" s="455" t="s">
        <v>3760</v>
      </c>
      <c r="F400" s="455" t="str">
        <f t="shared" si="15"/>
        <v>P15A</v>
      </c>
      <c r="G400" t="str">
        <f t="shared" si="16"/>
        <v>P15A</v>
      </c>
    </row>
    <row r="401" spans="1:7">
      <c r="A401" s="381" t="s">
        <v>3773</v>
      </c>
      <c r="B401" s="455" t="s">
        <v>3780</v>
      </c>
      <c r="C401" s="455">
        <v>15</v>
      </c>
      <c r="D401" s="455" t="s">
        <v>3761</v>
      </c>
      <c r="F401" s="455" t="str">
        <f t="shared" si="15"/>
        <v>P15B</v>
      </c>
      <c r="G401" t="str">
        <f t="shared" si="16"/>
        <v>P15B</v>
      </c>
    </row>
    <row r="402" spans="1:7">
      <c r="A402" s="381" t="s">
        <v>3773</v>
      </c>
      <c r="B402" s="455" t="s">
        <v>3780</v>
      </c>
      <c r="C402" s="455">
        <v>16</v>
      </c>
      <c r="D402" s="455" t="s">
        <v>3760</v>
      </c>
      <c r="F402" s="455" t="str">
        <f t="shared" si="15"/>
        <v>P16A</v>
      </c>
      <c r="G402" t="str">
        <f t="shared" si="16"/>
        <v>P16A</v>
      </c>
    </row>
    <row r="403" spans="1:7">
      <c r="A403" s="381" t="s">
        <v>3773</v>
      </c>
      <c r="B403" s="455" t="s">
        <v>3780</v>
      </c>
      <c r="C403" s="455">
        <v>16</v>
      </c>
      <c r="D403" s="455" t="s">
        <v>3761</v>
      </c>
      <c r="F403" s="455" t="str">
        <f t="shared" si="15"/>
        <v>P16B</v>
      </c>
      <c r="G403" t="str">
        <f t="shared" si="16"/>
        <v>P16B</v>
      </c>
    </row>
    <row r="404" spans="1:7">
      <c r="A404" s="381" t="s">
        <v>3773</v>
      </c>
      <c r="B404" s="455" t="s">
        <v>3780</v>
      </c>
      <c r="C404" s="455">
        <v>17</v>
      </c>
      <c r="D404" s="455" t="s">
        <v>3760</v>
      </c>
      <c r="F404" s="455" t="str">
        <f t="shared" si="15"/>
        <v>P17A</v>
      </c>
      <c r="G404" t="str">
        <f t="shared" si="16"/>
        <v>P17A</v>
      </c>
    </row>
    <row r="405" spans="1:7">
      <c r="A405" s="381" t="s">
        <v>3773</v>
      </c>
      <c r="B405" s="455" t="s">
        <v>3780</v>
      </c>
      <c r="C405" s="455">
        <v>17</v>
      </c>
      <c r="D405" s="455" t="s">
        <v>3761</v>
      </c>
      <c r="F405" s="455" t="str">
        <f t="shared" si="15"/>
        <v>P17B</v>
      </c>
      <c r="G405" t="str">
        <f t="shared" si="16"/>
        <v>P17B</v>
      </c>
    </row>
    <row r="406" spans="1:7">
      <c r="A406" s="381" t="s">
        <v>3773</v>
      </c>
      <c r="B406" s="455" t="s">
        <v>3780</v>
      </c>
      <c r="C406" s="455">
        <v>18</v>
      </c>
      <c r="D406" s="455" t="s">
        <v>3760</v>
      </c>
      <c r="F406" s="455" t="str">
        <f t="shared" si="15"/>
        <v>P18A</v>
      </c>
      <c r="G406" t="str">
        <f t="shared" si="16"/>
        <v>P18A</v>
      </c>
    </row>
    <row r="407" spans="1:7">
      <c r="A407" s="381" t="s">
        <v>3773</v>
      </c>
      <c r="B407" s="455" t="s">
        <v>3780</v>
      </c>
      <c r="C407" s="455">
        <v>18</v>
      </c>
      <c r="D407" s="455" t="s">
        <v>3761</v>
      </c>
      <c r="F407" s="455" t="str">
        <f t="shared" si="15"/>
        <v>P18B</v>
      </c>
      <c r="G407" t="str">
        <f t="shared" si="16"/>
        <v>P18B</v>
      </c>
    </row>
    <row r="408" spans="1:7">
      <c r="A408" s="381" t="s">
        <v>3773</v>
      </c>
      <c r="B408" s="455" t="s">
        <v>3781</v>
      </c>
      <c r="C408" s="455">
        <v>1</v>
      </c>
      <c r="D408" s="455" t="s">
        <v>3760</v>
      </c>
      <c r="F408" s="455" t="str">
        <f t="shared" si="15"/>
        <v>Q1A</v>
      </c>
      <c r="G408" t="str">
        <f t="shared" si="16"/>
        <v>Q1A</v>
      </c>
    </row>
    <row r="409" spans="1:7">
      <c r="A409" s="381" t="s">
        <v>3773</v>
      </c>
      <c r="B409" s="455" t="s">
        <v>3781</v>
      </c>
      <c r="C409" s="455">
        <v>1</v>
      </c>
      <c r="D409" s="455" t="s">
        <v>3761</v>
      </c>
      <c r="F409" s="455" t="str">
        <f t="shared" si="15"/>
        <v>Q1B</v>
      </c>
      <c r="G409" t="str">
        <f t="shared" si="16"/>
        <v>Q1B</v>
      </c>
    </row>
    <row r="410" spans="1:7">
      <c r="A410" s="381" t="s">
        <v>3773</v>
      </c>
      <c r="B410" s="455" t="s">
        <v>3781</v>
      </c>
      <c r="C410" s="455">
        <v>2</v>
      </c>
      <c r="D410" s="455" t="s">
        <v>3760</v>
      </c>
      <c r="F410" s="455" t="str">
        <f t="shared" si="15"/>
        <v>Q2A</v>
      </c>
      <c r="G410" t="str">
        <f t="shared" si="16"/>
        <v>Q2A</v>
      </c>
    </row>
    <row r="411" spans="1:7">
      <c r="A411" s="381" t="s">
        <v>3773</v>
      </c>
      <c r="B411" s="455" t="s">
        <v>3781</v>
      </c>
      <c r="C411" s="455">
        <v>2</v>
      </c>
      <c r="D411" s="455" t="s">
        <v>3761</v>
      </c>
      <c r="F411" s="455" t="str">
        <f t="shared" si="15"/>
        <v>Q2B</v>
      </c>
      <c r="G411" t="str">
        <f t="shared" si="16"/>
        <v>Q2B</v>
      </c>
    </row>
    <row r="412" spans="1:7">
      <c r="A412" s="381" t="s">
        <v>3773</v>
      </c>
      <c r="B412" s="455" t="s">
        <v>3781</v>
      </c>
      <c r="C412" s="455">
        <v>3</v>
      </c>
      <c r="D412" s="455" t="s">
        <v>3760</v>
      </c>
      <c r="F412" s="455" t="str">
        <f t="shared" si="15"/>
        <v>Q3A</v>
      </c>
      <c r="G412" t="str">
        <f t="shared" si="16"/>
        <v>Q3A</v>
      </c>
    </row>
    <row r="413" spans="1:7">
      <c r="A413" s="381" t="s">
        <v>3773</v>
      </c>
      <c r="B413" s="455" t="s">
        <v>3781</v>
      </c>
      <c r="C413" s="455">
        <v>3</v>
      </c>
      <c r="D413" s="455" t="s">
        <v>3761</v>
      </c>
      <c r="F413" s="455" t="str">
        <f t="shared" si="15"/>
        <v>Q3B</v>
      </c>
      <c r="G413" t="str">
        <f t="shared" si="16"/>
        <v>Q3B</v>
      </c>
    </row>
    <row r="414" spans="1:7">
      <c r="A414" s="381" t="s">
        <v>3773</v>
      </c>
      <c r="B414" s="455" t="s">
        <v>3781</v>
      </c>
      <c r="C414" s="455">
        <v>4</v>
      </c>
      <c r="D414" s="455" t="s">
        <v>3760</v>
      </c>
      <c r="F414" s="455" t="str">
        <f t="shared" si="15"/>
        <v>Q4A</v>
      </c>
      <c r="G414" t="str">
        <f t="shared" si="16"/>
        <v>Q4A</v>
      </c>
    </row>
    <row r="415" spans="1:7">
      <c r="A415" s="381" t="s">
        <v>3773</v>
      </c>
      <c r="B415" s="455" t="s">
        <v>3781</v>
      </c>
      <c r="C415" s="455">
        <v>4</v>
      </c>
      <c r="D415" s="455" t="s">
        <v>3761</v>
      </c>
      <c r="F415" s="455" t="str">
        <f t="shared" si="15"/>
        <v>Q4B</v>
      </c>
      <c r="G415" t="str">
        <f t="shared" si="16"/>
        <v>Q4B</v>
      </c>
    </row>
    <row r="416" spans="1:7">
      <c r="A416" s="381" t="s">
        <v>3773</v>
      </c>
      <c r="B416" s="455" t="s">
        <v>3781</v>
      </c>
      <c r="C416" s="455">
        <v>5</v>
      </c>
      <c r="D416" s="455" t="s">
        <v>3760</v>
      </c>
      <c r="F416" s="455" t="str">
        <f t="shared" si="15"/>
        <v>Q5A</v>
      </c>
      <c r="G416" t="str">
        <f t="shared" si="16"/>
        <v>Q5A</v>
      </c>
    </row>
    <row r="417" spans="1:7">
      <c r="A417" s="381" t="s">
        <v>3773</v>
      </c>
      <c r="B417" s="455" t="s">
        <v>3781</v>
      </c>
      <c r="C417" s="455">
        <v>5</v>
      </c>
      <c r="D417" s="455" t="s">
        <v>3761</v>
      </c>
      <c r="F417" s="455" t="str">
        <f t="shared" si="15"/>
        <v>Q5B</v>
      </c>
      <c r="G417" t="str">
        <f t="shared" si="16"/>
        <v>Q5B</v>
      </c>
    </row>
    <row r="418" spans="1:7">
      <c r="A418" s="381" t="s">
        <v>3773</v>
      </c>
      <c r="B418" s="455" t="s">
        <v>3781</v>
      </c>
      <c r="C418" s="455">
        <v>6</v>
      </c>
      <c r="D418" s="455" t="s">
        <v>3760</v>
      </c>
      <c r="F418" s="455" t="str">
        <f t="shared" si="15"/>
        <v>Q6A</v>
      </c>
      <c r="G418" t="str">
        <f t="shared" si="16"/>
        <v>Q6A</v>
      </c>
    </row>
    <row r="419" spans="1:7">
      <c r="A419" s="381" t="s">
        <v>3773</v>
      </c>
      <c r="B419" s="455" t="s">
        <v>3781</v>
      </c>
      <c r="C419" s="455">
        <v>6</v>
      </c>
      <c r="D419" s="455" t="s">
        <v>3761</v>
      </c>
      <c r="F419" s="455" t="str">
        <f t="shared" si="15"/>
        <v>Q6B</v>
      </c>
      <c r="G419" t="str">
        <f t="shared" si="16"/>
        <v>Q6B</v>
      </c>
    </row>
    <row r="420" spans="1:7">
      <c r="A420" s="381" t="s">
        <v>3773</v>
      </c>
      <c r="B420" s="455" t="s">
        <v>3781</v>
      </c>
      <c r="C420" s="455">
        <v>7</v>
      </c>
      <c r="D420" s="455" t="s">
        <v>3760</v>
      </c>
      <c r="F420" s="455" t="str">
        <f t="shared" si="15"/>
        <v>Q7A</v>
      </c>
      <c r="G420" t="str">
        <f t="shared" si="16"/>
        <v>Q7A</v>
      </c>
    </row>
    <row r="421" spans="1:7">
      <c r="A421" s="381" t="s">
        <v>3773</v>
      </c>
      <c r="B421" s="455" t="s">
        <v>3781</v>
      </c>
      <c r="C421" s="455">
        <v>7</v>
      </c>
      <c r="D421" s="455" t="s">
        <v>3761</v>
      </c>
      <c r="F421" s="455" t="str">
        <f t="shared" ref="F421:F484" si="17">B421&amp;C421&amp;D421</f>
        <v>Q7B</v>
      </c>
      <c r="G421" t="str">
        <f t="shared" ref="G421:G484" si="18">F421</f>
        <v>Q7B</v>
      </c>
    </row>
    <row r="422" spans="1:7">
      <c r="A422" s="381" t="s">
        <v>3773</v>
      </c>
      <c r="B422" s="455" t="s">
        <v>3781</v>
      </c>
      <c r="C422" s="455">
        <v>8</v>
      </c>
      <c r="D422" s="455" t="s">
        <v>3760</v>
      </c>
      <c r="F422" s="455" t="str">
        <f t="shared" si="17"/>
        <v>Q8A</v>
      </c>
      <c r="G422" t="str">
        <f t="shared" si="18"/>
        <v>Q8A</v>
      </c>
    </row>
    <row r="423" spans="1:7">
      <c r="A423" s="381" t="s">
        <v>3773</v>
      </c>
      <c r="B423" s="455" t="s">
        <v>3781</v>
      </c>
      <c r="C423" s="455">
        <v>8</v>
      </c>
      <c r="D423" s="455" t="s">
        <v>3761</v>
      </c>
      <c r="F423" s="455" t="str">
        <f t="shared" si="17"/>
        <v>Q8B</v>
      </c>
      <c r="G423" t="str">
        <f t="shared" si="18"/>
        <v>Q8B</v>
      </c>
    </row>
    <row r="424" spans="1:7">
      <c r="A424" s="381" t="s">
        <v>3773</v>
      </c>
      <c r="B424" s="455" t="s">
        <v>3781</v>
      </c>
      <c r="C424" s="455">
        <v>9</v>
      </c>
      <c r="D424" s="455" t="s">
        <v>3760</v>
      </c>
      <c r="F424" s="455" t="str">
        <f t="shared" si="17"/>
        <v>Q9A</v>
      </c>
      <c r="G424" t="str">
        <f t="shared" si="18"/>
        <v>Q9A</v>
      </c>
    </row>
    <row r="425" spans="1:7">
      <c r="A425" s="381" t="s">
        <v>3773</v>
      </c>
      <c r="B425" s="455" t="s">
        <v>3781</v>
      </c>
      <c r="C425" s="455">
        <v>9</v>
      </c>
      <c r="D425" s="455" t="s">
        <v>3761</v>
      </c>
      <c r="F425" s="455" t="str">
        <f t="shared" si="17"/>
        <v>Q9B</v>
      </c>
      <c r="G425" t="str">
        <f t="shared" si="18"/>
        <v>Q9B</v>
      </c>
    </row>
    <row r="426" spans="1:7">
      <c r="A426" s="381" t="s">
        <v>3773</v>
      </c>
      <c r="B426" s="455" t="s">
        <v>3781</v>
      </c>
      <c r="C426" s="455">
        <v>10</v>
      </c>
      <c r="D426" s="455" t="s">
        <v>3760</v>
      </c>
      <c r="F426" s="455" t="str">
        <f t="shared" si="17"/>
        <v>Q10A</v>
      </c>
      <c r="G426" t="str">
        <f t="shared" si="18"/>
        <v>Q10A</v>
      </c>
    </row>
    <row r="427" spans="1:7">
      <c r="A427" s="381" t="s">
        <v>3773</v>
      </c>
      <c r="B427" s="455" t="s">
        <v>3781</v>
      </c>
      <c r="C427" s="455">
        <v>10</v>
      </c>
      <c r="D427" s="455" t="s">
        <v>3761</v>
      </c>
      <c r="F427" s="455" t="str">
        <f t="shared" si="17"/>
        <v>Q10B</v>
      </c>
      <c r="G427" t="str">
        <f t="shared" si="18"/>
        <v>Q10B</v>
      </c>
    </row>
    <row r="428" spans="1:7">
      <c r="A428" s="381" t="s">
        <v>3773</v>
      </c>
      <c r="B428" s="455" t="s">
        <v>3781</v>
      </c>
      <c r="C428" s="455">
        <v>11</v>
      </c>
      <c r="D428" s="455" t="s">
        <v>3760</v>
      </c>
      <c r="F428" s="455" t="str">
        <f t="shared" si="17"/>
        <v>Q11A</v>
      </c>
      <c r="G428" t="str">
        <f t="shared" si="18"/>
        <v>Q11A</v>
      </c>
    </row>
    <row r="429" spans="1:7">
      <c r="A429" s="381" t="s">
        <v>3773</v>
      </c>
      <c r="B429" s="455" t="s">
        <v>3781</v>
      </c>
      <c r="C429" s="455">
        <v>11</v>
      </c>
      <c r="D429" s="455" t="s">
        <v>3761</v>
      </c>
      <c r="F429" s="455" t="str">
        <f t="shared" si="17"/>
        <v>Q11B</v>
      </c>
      <c r="G429" t="str">
        <f t="shared" si="18"/>
        <v>Q11B</v>
      </c>
    </row>
    <row r="430" spans="1:7">
      <c r="A430" s="381" t="s">
        <v>3773</v>
      </c>
      <c r="B430" s="455" t="s">
        <v>3781</v>
      </c>
      <c r="C430" s="455">
        <v>12</v>
      </c>
      <c r="D430" s="455" t="s">
        <v>3760</v>
      </c>
      <c r="F430" s="455" t="str">
        <f t="shared" si="17"/>
        <v>Q12A</v>
      </c>
      <c r="G430" t="str">
        <f t="shared" si="18"/>
        <v>Q12A</v>
      </c>
    </row>
    <row r="431" spans="1:7">
      <c r="A431" s="381" t="s">
        <v>3773</v>
      </c>
      <c r="B431" s="455" t="s">
        <v>3781</v>
      </c>
      <c r="C431" s="455">
        <v>12</v>
      </c>
      <c r="D431" s="455" t="s">
        <v>3761</v>
      </c>
      <c r="F431" s="455" t="str">
        <f t="shared" si="17"/>
        <v>Q12B</v>
      </c>
      <c r="G431" t="str">
        <f t="shared" si="18"/>
        <v>Q12B</v>
      </c>
    </row>
    <row r="432" spans="1:7">
      <c r="A432" s="381" t="s">
        <v>3773</v>
      </c>
      <c r="B432" s="455" t="s">
        <v>3781</v>
      </c>
      <c r="C432" s="455">
        <v>13</v>
      </c>
      <c r="D432" s="455" t="s">
        <v>3760</v>
      </c>
      <c r="F432" s="455" t="str">
        <f t="shared" si="17"/>
        <v>Q13A</v>
      </c>
      <c r="G432" t="str">
        <f t="shared" si="18"/>
        <v>Q13A</v>
      </c>
    </row>
    <row r="433" spans="1:7">
      <c r="A433" s="381" t="s">
        <v>3773</v>
      </c>
      <c r="B433" s="455" t="s">
        <v>3781</v>
      </c>
      <c r="C433" s="455">
        <v>13</v>
      </c>
      <c r="D433" s="455" t="s">
        <v>3761</v>
      </c>
      <c r="F433" s="455" t="str">
        <f t="shared" si="17"/>
        <v>Q13B</v>
      </c>
      <c r="G433" t="str">
        <f t="shared" si="18"/>
        <v>Q13B</v>
      </c>
    </row>
    <row r="434" spans="1:7">
      <c r="A434" s="381" t="s">
        <v>3773</v>
      </c>
      <c r="B434" s="455" t="s">
        <v>3781</v>
      </c>
      <c r="C434" s="455">
        <v>14</v>
      </c>
      <c r="D434" s="455" t="s">
        <v>3760</v>
      </c>
      <c r="F434" s="455" t="str">
        <f t="shared" si="17"/>
        <v>Q14A</v>
      </c>
      <c r="G434" t="str">
        <f t="shared" si="18"/>
        <v>Q14A</v>
      </c>
    </row>
    <row r="435" spans="1:7">
      <c r="A435" s="381" t="s">
        <v>3773</v>
      </c>
      <c r="B435" s="455" t="s">
        <v>3781</v>
      </c>
      <c r="C435" s="455">
        <v>14</v>
      </c>
      <c r="D435" s="455" t="s">
        <v>3761</v>
      </c>
      <c r="F435" s="455" t="str">
        <f t="shared" si="17"/>
        <v>Q14B</v>
      </c>
      <c r="G435" t="str">
        <f t="shared" si="18"/>
        <v>Q14B</v>
      </c>
    </row>
    <row r="436" spans="1:7">
      <c r="A436" s="381" t="s">
        <v>3773</v>
      </c>
      <c r="B436" s="455" t="s">
        <v>3781</v>
      </c>
      <c r="C436" s="455">
        <v>15</v>
      </c>
      <c r="D436" s="455" t="s">
        <v>3760</v>
      </c>
      <c r="F436" s="455" t="str">
        <f t="shared" si="17"/>
        <v>Q15A</v>
      </c>
      <c r="G436" t="str">
        <f t="shared" si="18"/>
        <v>Q15A</v>
      </c>
    </row>
    <row r="437" spans="1:7">
      <c r="A437" s="381" t="s">
        <v>3773</v>
      </c>
      <c r="B437" s="455" t="s">
        <v>3781</v>
      </c>
      <c r="C437" s="455">
        <v>15</v>
      </c>
      <c r="D437" s="455" t="s">
        <v>3761</v>
      </c>
      <c r="F437" s="455" t="str">
        <f t="shared" si="17"/>
        <v>Q15B</v>
      </c>
      <c r="G437" t="str">
        <f t="shared" si="18"/>
        <v>Q15B</v>
      </c>
    </row>
    <row r="438" spans="1:7">
      <c r="A438" s="381" t="s">
        <v>3773</v>
      </c>
      <c r="B438" s="455" t="s">
        <v>3781</v>
      </c>
      <c r="C438" s="455">
        <v>16</v>
      </c>
      <c r="D438" s="455" t="s">
        <v>3760</v>
      </c>
      <c r="F438" s="455" t="str">
        <f t="shared" si="17"/>
        <v>Q16A</v>
      </c>
      <c r="G438" t="str">
        <f t="shared" si="18"/>
        <v>Q16A</v>
      </c>
    </row>
    <row r="439" spans="1:7">
      <c r="A439" s="381" t="s">
        <v>3773</v>
      </c>
      <c r="B439" s="455" t="s">
        <v>3781</v>
      </c>
      <c r="C439" s="455">
        <v>16</v>
      </c>
      <c r="D439" s="455" t="s">
        <v>3761</v>
      </c>
      <c r="F439" s="455" t="str">
        <f t="shared" si="17"/>
        <v>Q16B</v>
      </c>
      <c r="G439" t="str">
        <f t="shared" si="18"/>
        <v>Q16B</v>
      </c>
    </row>
    <row r="440" spans="1:7">
      <c r="A440" s="381" t="s">
        <v>3773</v>
      </c>
      <c r="B440" s="455" t="s">
        <v>3781</v>
      </c>
      <c r="C440" s="455">
        <v>17</v>
      </c>
      <c r="D440" s="455" t="s">
        <v>3760</v>
      </c>
      <c r="F440" s="455" t="str">
        <f t="shared" si="17"/>
        <v>Q17A</v>
      </c>
      <c r="G440" t="str">
        <f t="shared" si="18"/>
        <v>Q17A</v>
      </c>
    </row>
    <row r="441" spans="1:7">
      <c r="A441" s="381" t="s">
        <v>3773</v>
      </c>
      <c r="B441" s="455" t="s">
        <v>3781</v>
      </c>
      <c r="C441" s="455">
        <v>17</v>
      </c>
      <c r="D441" s="455" t="s">
        <v>3761</v>
      </c>
      <c r="F441" s="455" t="str">
        <f t="shared" si="17"/>
        <v>Q17B</v>
      </c>
      <c r="G441" t="str">
        <f t="shared" si="18"/>
        <v>Q17B</v>
      </c>
    </row>
    <row r="442" spans="1:7">
      <c r="A442" s="381" t="s">
        <v>3773</v>
      </c>
      <c r="B442" s="455" t="s">
        <v>3781</v>
      </c>
      <c r="C442" s="455">
        <v>18</v>
      </c>
      <c r="D442" s="455" t="s">
        <v>3760</v>
      </c>
      <c r="F442" s="455" t="str">
        <f t="shared" si="17"/>
        <v>Q18A</v>
      </c>
      <c r="G442" t="str">
        <f t="shared" si="18"/>
        <v>Q18A</v>
      </c>
    </row>
    <row r="443" spans="1:7">
      <c r="A443" s="381" t="s">
        <v>3773</v>
      </c>
      <c r="B443" s="455" t="s">
        <v>3781</v>
      </c>
      <c r="C443" s="455">
        <v>18</v>
      </c>
      <c r="D443" s="455" t="s">
        <v>3761</v>
      </c>
      <c r="F443" s="455" t="str">
        <f t="shared" si="17"/>
        <v>Q18B</v>
      </c>
      <c r="G443" t="str">
        <f t="shared" si="18"/>
        <v>Q18B</v>
      </c>
    </row>
    <row r="444" spans="1:7">
      <c r="A444" s="381" t="s">
        <v>3773</v>
      </c>
      <c r="B444" s="455" t="s">
        <v>3782</v>
      </c>
      <c r="C444" s="455">
        <v>1</v>
      </c>
      <c r="D444" s="455" t="s">
        <v>3760</v>
      </c>
      <c r="F444" s="455" t="str">
        <f t="shared" si="17"/>
        <v>R1A</v>
      </c>
      <c r="G444" t="str">
        <f t="shared" si="18"/>
        <v>R1A</v>
      </c>
    </row>
    <row r="445" spans="1:7">
      <c r="A445" s="381" t="s">
        <v>3773</v>
      </c>
      <c r="B445" s="455" t="s">
        <v>3782</v>
      </c>
      <c r="C445" s="455">
        <v>1</v>
      </c>
      <c r="D445" s="455" t="s">
        <v>3761</v>
      </c>
      <c r="F445" s="455" t="str">
        <f t="shared" si="17"/>
        <v>R1B</v>
      </c>
      <c r="G445" t="str">
        <f t="shared" si="18"/>
        <v>R1B</v>
      </c>
    </row>
    <row r="446" spans="1:7">
      <c r="A446" s="381" t="s">
        <v>3773</v>
      </c>
      <c r="B446" s="455" t="s">
        <v>3782</v>
      </c>
      <c r="C446" s="455">
        <v>2</v>
      </c>
      <c r="D446" s="455" t="s">
        <v>3760</v>
      </c>
      <c r="F446" s="455" t="str">
        <f t="shared" si="17"/>
        <v>R2A</v>
      </c>
      <c r="G446" t="str">
        <f t="shared" si="18"/>
        <v>R2A</v>
      </c>
    </row>
    <row r="447" spans="1:7">
      <c r="A447" s="381" t="s">
        <v>3773</v>
      </c>
      <c r="B447" s="455" t="s">
        <v>3782</v>
      </c>
      <c r="C447" s="455">
        <v>2</v>
      </c>
      <c r="D447" s="455" t="s">
        <v>3761</v>
      </c>
      <c r="F447" s="455" t="str">
        <f t="shared" si="17"/>
        <v>R2B</v>
      </c>
      <c r="G447" t="str">
        <f t="shared" si="18"/>
        <v>R2B</v>
      </c>
    </row>
    <row r="448" spans="1:7">
      <c r="A448" s="381" t="s">
        <v>3773</v>
      </c>
      <c r="B448" s="455" t="s">
        <v>3782</v>
      </c>
      <c r="C448" s="455">
        <v>3</v>
      </c>
      <c r="D448" s="455" t="s">
        <v>3760</v>
      </c>
      <c r="F448" s="455" t="str">
        <f t="shared" si="17"/>
        <v>R3A</v>
      </c>
      <c r="G448" t="str">
        <f t="shared" si="18"/>
        <v>R3A</v>
      </c>
    </row>
    <row r="449" spans="1:7">
      <c r="A449" s="381" t="s">
        <v>3773</v>
      </c>
      <c r="B449" s="455" t="s">
        <v>3782</v>
      </c>
      <c r="C449" s="455">
        <v>3</v>
      </c>
      <c r="D449" s="455" t="s">
        <v>3761</v>
      </c>
      <c r="F449" s="455" t="str">
        <f t="shared" si="17"/>
        <v>R3B</v>
      </c>
      <c r="G449" t="str">
        <f t="shared" si="18"/>
        <v>R3B</v>
      </c>
    </row>
    <row r="450" spans="1:7">
      <c r="A450" s="381" t="s">
        <v>3773</v>
      </c>
      <c r="B450" s="455" t="s">
        <v>3782</v>
      </c>
      <c r="C450" s="455">
        <v>4</v>
      </c>
      <c r="D450" s="455" t="s">
        <v>3760</v>
      </c>
      <c r="F450" s="455" t="str">
        <f t="shared" si="17"/>
        <v>R4A</v>
      </c>
      <c r="G450" t="str">
        <f t="shared" si="18"/>
        <v>R4A</v>
      </c>
    </row>
    <row r="451" spans="1:7">
      <c r="A451" s="381" t="s">
        <v>3773</v>
      </c>
      <c r="B451" s="455" t="s">
        <v>3782</v>
      </c>
      <c r="C451" s="455">
        <v>4</v>
      </c>
      <c r="D451" s="455" t="s">
        <v>3761</v>
      </c>
      <c r="F451" s="455" t="str">
        <f t="shared" si="17"/>
        <v>R4B</v>
      </c>
      <c r="G451" t="str">
        <f t="shared" si="18"/>
        <v>R4B</v>
      </c>
    </row>
    <row r="452" spans="1:7">
      <c r="A452" s="381" t="s">
        <v>3773</v>
      </c>
      <c r="B452" s="455" t="s">
        <v>3782</v>
      </c>
      <c r="C452" s="455">
        <v>5</v>
      </c>
      <c r="D452" s="455" t="s">
        <v>3760</v>
      </c>
      <c r="F452" s="455" t="str">
        <f t="shared" si="17"/>
        <v>R5A</v>
      </c>
      <c r="G452" t="str">
        <f t="shared" si="18"/>
        <v>R5A</v>
      </c>
    </row>
    <row r="453" spans="1:7">
      <c r="A453" s="381" t="s">
        <v>3773</v>
      </c>
      <c r="B453" s="455" t="s">
        <v>3782</v>
      </c>
      <c r="C453" s="455">
        <v>5</v>
      </c>
      <c r="D453" s="455" t="s">
        <v>3761</v>
      </c>
      <c r="F453" s="455" t="str">
        <f t="shared" si="17"/>
        <v>R5B</v>
      </c>
      <c r="G453" t="str">
        <f t="shared" si="18"/>
        <v>R5B</v>
      </c>
    </row>
    <row r="454" spans="1:7">
      <c r="A454" s="381" t="s">
        <v>3773</v>
      </c>
      <c r="B454" s="455" t="s">
        <v>3782</v>
      </c>
      <c r="C454" s="455">
        <v>6</v>
      </c>
      <c r="D454" s="455" t="s">
        <v>3760</v>
      </c>
      <c r="F454" s="455" t="str">
        <f t="shared" si="17"/>
        <v>R6A</v>
      </c>
      <c r="G454" t="str">
        <f t="shared" si="18"/>
        <v>R6A</v>
      </c>
    </row>
    <row r="455" spans="1:7">
      <c r="A455" s="381" t="s">
        <v>3773</v>
      </c>
      <c r="B455" s="455" t="s">
        <v>3782</v>
      </c>
      <c r="C455" s="455">
        <v>6</v>
      </c>
      <c r="D455" s="455" t="s">
        <v>3761</v>
      </c>
      <c r="F455" s="455" t="str">
        <f t="shared" si="17"/>
        <v>R6B</v>
      </c>
      <c r="G455" t="str">
        <f t="shared" si="18"/>
        <v>R6B</v>
      </c>
    </row>
    <row r="456" spans="1:7">
      <c r="A456" s="381" t="s">
        <v>3773</v>
      </c>
      <c r="B456" s="455" t="s">
        <v>3782</v>
      </c>
      <c r="C456" s="455">
        <v>7</v>
      </c>
      <c r="D456" s="455" t="s">
        <v>3760</v>
      </c>
      <c r="F456" s="455" t="str">
        <f t="shared" si="17"/>
        <v>R7A</v>
      </c>
      <c r="G456" t="str">
        <f t="shared" si="18"/>
        <v>R7A</v>
      </c>
    </row>
    <row r="457" spans="1:7">
      <c r="A457" s="381" t="s">
        <v>3773</v>
      </c>
      <c r="B457" s="455" t="s">
        <v>3782</v>
      </c>
      <c r="C457" s="455">
        <v>7</v>
      </c>
      <c r="D457" s="455" t="s">
        <v>3761</v>
      </c>
      <c r="F457" s="455" t="str">
        <f t="shared" si="17"/>
        <v>R7B</v>
      </c>
      <c r="G457" t="str">
        <f t="shared" si="18"/>
        <v>R7B</v>
      </c>
    </row>
    <row r="458" spans="1:7">
      <c r="A458" s="381" t="s">
        <v>3773</v>
      </c>
      <c r="B458" s="455" t="s">
        <v>3782</v>
      </c>
      <c r="C458" s="455">
        <v>8</v>
      </c>
      <c r="D458" s="455" t="s">
        <v>3760</v>
      </c>
      <c r="F458" s="455" t="str">
        <f t="shared" si="17"/>
        <v>R8A</v>
      </c>
      <c r="G458" t="str">
        <f t="shared" si="18"/>
        <v>R8A</v>
      </c>
    </row>
    <row r="459" spans="1:7">
      <c r="A459" s="381" t="s">
        <v>3773</v>
      </c>
      <c r="B459" s="455" t="s">
        <v>3782</v>
      </c>
      <c r="C459" s="455">
        <v>8</v>
      </c>
      <c r="D459" s="455" t="s">
        <v>3761</v>
      </c>
      <c r="F459" s="455" t="str">
        <f t="shared" si="17"/>
        <v>R8B</v>
      </c>
      <c r="G459" t="str">
        <f t="shared" si="18"/>
        <v>R8B</v>
      </c>
    </row>
    <row r="460" spans="1:7">
      <c r="A460" s="381" t="s">
        <v>3773</v>
      </c>
      <c r="B460" s="455" t="s">
        <v>3782</v>
      </c>
      <c r="C460" s="455">
        <v>9</v>
      </c>
      <c r="D460" s="455" t="s">
        <v>3760</v>
      </c>
      <c r="F460" s="455" t="str">
        <f t="shared" si="17"/>
        <v>R9A</v>
      </c>
      <c r="G460" t="str">
        <f t="shared" si="18"/>
        <v>R9A</v>
      </c>
    </row>
    <row r="461" spans="1:7">
      <c r="A461" s="381" t="s">
        <v>3773</v>
      </c>
      <c r="B461" s="455" t="s">
        <v>3782</v>
      </c>
      <c r="C461" s="455">
        <v>9</v>
      </c>
      <c r="D461" s="455" t="s">
        <v>3761</v>
      </c>
      <c r="F461" s="455" t="str">
        <f t="shared" si="17"/>
        <v>R9B</v>
      </c>
      <c r="G461" t="str">
        <f t="shared" si="18"/>
        <v>R9B</v>
      </c>
    </row>
    <row r="462" spans="1:7">
      <c r="A462" s="381" t="s">
        <v>3773</v>
      </c>
      <c r="B462" s="455" t="s">
        <v>3782</v>
      </c>
      <c r="C462" s="455">
        <v>10</v>
      </c>
      <c r="D462" s="455" t="s">
        <v>3760</v>
      </c>
      <c r="F462" s="455" t="str">
        <f t="shared" si="17"/>
        <v>R10A</v>
      </c>
      <c r="G462" t="str">
        <f t="shared" si="18"/>
        <v>R10A</v>
      </c>
    </row>
    <row r="463" spans="1:7">
      <c r="A463" s="381" t="s">
        <v>3773</v>
      </c>
      <c r="B463" s="455" t="s">
        <v>3782</v>
      </c>
      <c r="C463" s="455">
        <v>10</v>
      </c>
      <c r="D463" s="455" t="s">
        <v>3761</v>
      </c>
      <c r="F463" s="455" t="str">
        <f t="shared" si="17"/>
        <v>R10B</v>
      </c>
      <c r="G463" t="str">
        <f t="shared" si="18"/>
        <v>R10B</v>
      </c>
    </row>
    <row r="464" spans="1:7">
      <c r="A464" s="381" t="s">
        <v>3773</v>
      </c>
      <c r="B464" s="455" t="s">
        <v>3782</v>
      </c>
      <c r="C464" s="455">
        <v>11</v>
      </c>
      <c r="D464" s="455" t="s">
        <v>3760</v>
      </c>
      <c r="F464" s="455" t="str">
        <f t="shared" si="17"/>
        <v>R11A</v>
      </c>
      <c r="G464" t="str">
        <f t="shared" si="18"/>
        <v>R11A</v>
      </c>
    </row>
    <row r="465" spans="1:7">
      <c r="A465" s="381" t="s">
        <v>3773</v>
      </c>
      <c r="B465" s="455" t="s">
        <v>3782</v>
      </c>
      <c r="C465" s="455">
        <v>11</v>
      </c>
      <c r="D465" s="455" t="s">
        <v>3761</v>
      </c>
      <c r="F465" s="455" t="str">
        <f t="shared" si="17"/>
        <v>R11B</v>
      </c>
      <c r="G465" t="str">
        <f t="shared" si="18"/>
        <v>R11B</v>
      </c>
    </row>
    <row r="466" spans="1:7">
      <c r="A466" s="381" t="s">
        <v>3773</v>
      </c>
      <c r="B466" s="455" t="s">
        <v>3782</v>
      </c>
      <c r="C466" s="455">
        <v>12</v>
      </c>
      <c r="D466" s="455" t="s">
        <v>3760</v>
      </c>
      <c r="F466" s="455" t="str">
        <f t="shared" si="17"/>
        <v>R12A</v>
      </c>
      <c r="G466" t="str">
        <f t="shared" si="18"/>
        <v>R12A</v>
      </c>
    </row>
    <row r="467" spans="1:7">
      <c r="A467" s="381" t="s">
        <v>3773</v>
      </c>
      <c r="B467" s="455" t="s">
        <v>3782</v>
      </c>
      <c r="C467" s="455">
        <v>12</v>
      </c>
      <c r="D467" s="455" t="s">
        <v>3761</v>
      </c>
      <c r="F467" s="455" t="str">
        <f t="shared" si="17"/>
        <v>R12B</v>
      </c>
      <c r="G467" t="str">
        <f t="shared" si="18"/>
        <v>R12B</v>
      </c>
    </row>
    <row r="468" spans="1:7">
      <c r="A468" s="381" t="s">
        <v>3773</v>
      </c>
      <c r="B468" s="455" t="s">
        <v>3782</v>
      </c>
      <c r="C468" s="455">
        <v>13</v>
      </c>
      <c r="D468" s="455" t="s">
        <v>3760</v>
      </c>
      <c r="F468" s="455" t="str">
        <f t="shared" si="17"/>
        <v>R13A</v>
      </c>
      <c r="G468" t="str">
        <f t="shared" si="18"/>
        <v>R13A</v>
      </c>
    </row>
    <row r="469" spans="1:7">
      <c r="A469" s="381" t="s">
        <v>3773</v>
      </c>
      <c r="B469" s="455" t="s">
        <v>3782</v>
      </c>
      <c r="C469" s="455">
        <v>13</v>
      </c>
      <c r="D469" s="455" t="s">
        <v>3761</v>
      </c>
      <c r="F469" s="455" t="str">
        <f t="shared" si="17"/>
        <v>R13B</v>
      </c>
      <c r="G469" t="str">
        <f t="shared" si="18"/>
        <v>R13B</v>
      </c>
    </row>
    <row r="470" spans="1:7">
      <c r="A470" s="381" t="s">
        <v>3773</v>
      </c>
      <c r="B470" s="455" t="s">
        <v>3782</v>
      </c>
      <c r="C470" s="455">
        <v>14</v>
      </c>
      <c r="D470" s="455" t="s">
        <v>3760</v>
      </c>
      <c r="F470" s="455" t="str">
        <f t="shared" si="17"/>
        <v>R14A</v>
      </c>
      <c r="G470" t="str">
        <f t="shared" si="18"/>
        <v>R14A</v>
      </c>
    </row>
    <row r="471" spans="1:7">
      <c r="A471" s="381" t="s">
        <v>3773</v>
      </c>
      <c r="B471" s="455" t="s">
        <v>3782</v>
      </c>
      <c r="C471" s="455">
        <v>14</v>
      </c>
      <c r="D471" s="455" t="s">
        <v>3761</v>
      </c>
      <c r="F471" s="455" t="str">
        <f t="shared" si="17"/>
        <v>R14B</v>
      </c>
      <c r="G471" t="str">
        <f t="shared" si="18"/>
        <v>R14B</v>
      </c>
    </row>
    <row r="472" spans="1:7">
      <c r="A472" s="381" t="s">
        <v>3773</v>
      </c>
      <c r="B472" s="455" t="s">
        <v>3782</v>
      </c>
      <c r="C472" s="455">
        <v>15</v>
      </c>
      <c r="D472" s="455" t="s">
        <v>3760</v>
      </c>
      <c r="F472" s="455" t="str">
        <f t="shared" si="17"/>
        <v>R15A</v>
      </c>
      <c r="G472" t="str">
        <f t="shared" si="18"/>
        <v>R15A</v>
      </c>
    </row>
    <row r="473" spans="1:7">
      <c r="A473" s="381" t="s">
        <v>3773</v>
      </c>
      <c r="B473" s="455" t="s">
        <v>3782</v>
      </c>
      <c r="C473" s="455">
        <v>15</v>
      </c>
      <c r="D473" s="455" t="s">
        <v>3761</v>
      </c>
      <c r="F473" s="455" t="str">
        <f t="shared" si="17"/>
        <v>R15B</v>
      </c>
      <c r="G473" t="str">
        <f t="shared" si="18"/>
        <v>R15B</v>
      </c>
    </row>
    <row r="474" spans="1:7">
      <c r="A474" s="381" t="s">
        <v>3773</v>
      </c>
      <c r="B474" s="455" t="s">
        <v>3782</v>
      </c>
      <c r="C474" s="455">
        <v>16</v>
      </c>
      <c r="D474" s="455" t="s">
        <v>3760</v>
      </c>
      <c r="F474" s="455" t="str">
        <f t="shared" si="17"/>
        <v>R16A</v>
      </c>
      <c r="G474" t="str">
        <f t="shared" si="18"/>
        <v>R16A</v>
      </c>
    </row>
    <row r="475" spans="1:7">
      <c r="A475" s="381" t="s">
        <v>3773</v>
      </c>
      <c r="B475" s="455" t="s">
        <v>3782</v>
      </c>
      <c r="C475" s="455">
        <v>16</v>
      </c>
      <c r="D475" s="455" t="s">
        <v>3761</v>
      </c>
      <c r="F475" s="455" t="str">
        <f t="shared" si="17"/>
        <v>R16B</v>
      </c>
      <c r="G475" t="str">
        <f t="shared" si="18"/>
        <v>R16B</v>
      </c>
    </row>
    <row r="476" spans="1:7">
      <c r="A476" s="381" t="s">
        <v>3773</v>
      </c>
      <c r="B476" s="455" t="s">
        <v>3782</v>
      </c>
      <c r="C476" s="455">
        <v>17</v>
      </c>
      <c r="D476" s="455" t="s">
        <v>3760</v>
      </c>
      <c r="F476" s="455" t="str">
        <f t="shared" si="17"/>
        <v>R17A</v>
      </c>
      <c r="G476" t="str">
        <f t="shared" si="18"/>
        <v>R17A</v>
      </c>
    </row>
    <row r="477" spans="1:7">
      <c r="A477" s="381" t="s">
        <v>3773</v>
      </c>
      <c r="B477" s="455" t="s">
        <v>3782</v>
      </c>
      <c r="C477" s="455">
        <v>17</v>
      </c>
      <c r="D477" s="455" t="s">
        <v>3761</v>
      </c>
      <c r="F477" s="455" t="str">
        <f t="shared" si="17"/>
        <v>R17B</v>
      </c>
      <c r="G477" t="str">
        <f t="shared" si="18"/>
        <v>R17B</v>
      </c>
    </row>
    <row r="478" spans="1:7">
      <c r="A478" s="381" t="s">
        <v>3773</v>
      </c>
      <c r="B478" s="455" t="s">
        <v>27</v>
      </c>
      <c r="C478" s="455">
        <v>1</v>
      </c>
      <c r="D478" s="455" t="s">
        <v>3760</v>
      </c>
      <c r="F478" s="455" t="str">
        <f t="shared" si="17"/>
        <v>S1A</v>
      </c>
      <c r="G478" t="str">
        <f t="shared" si="18"/>
        <v>S1A</v>
      </c>
    </row>
    <row r="479" spans="1:7">
      <c r="A479" s="381" t="s">
        <v>3773</v>
      </c>
      <c r="B479" s="455" t="s">
        <v>27</v>
      </c>
      <c r="C479" s="455">
        <v>1</v>
      </c>
      <c r="D479" s="455" t="s">
        <v>3761</v>
      </c>
      <c r="F479" s="455" t="str">
        <f t="shared" si="17"/>
        <v>S1B</v>
      </c>
      <c r="G479" t="str">
        <f t="shared" si="18"/>
        <v>S1B</v>
      </c>
    </row>
    <row r="480" spans="1:7">
      <c r="A480" s="381" t="s">
        <v>3773</v>
      </c>
      <c r="B480" s="455" t="s">
        <v>27</v>
      </c>
      <c r="C480" s="455">
        <v>2</v>
      </c>
      <c r="D480" s="455" t="s">
        <v>3760</v>
      </c>
      <c r="F480" s="455" t="str">
        <f t="shared" si="17"/>
        <v>S2A</v>
      </c>
      <c r="G480" t="str">
        <f t="shared" si="18"/>
        <v>S2A</v>
      </c>
    </row>
    <row r="481" spans="1:7">
      <c r="A481" s="381" t="s">
        <v>3773</v>
      </c>
      <c r="B481" s="455" t="s">
        <v>27</v>
      </c>
      <c r="C481" s="455">
        <v>2</v>
      </c>
      <c r="D481" s="455" t="s">
        <v>3761</v>
      </c>
      <c r="F481" s="455" t="str">
        <f t="shared" si="17"/>
        <v>S2B</v>
      </c>
      <c r="G481" t="str">
        <f t="shared" si="18"/>
        <v>S2B</v>
      </c>
    </row>
    <row r="482" spans="1:7">
      <c r="A482" s="381" t="s">
        <v>3773</v>
      </c>
      <c r="B482" s="455" t="s">
        <v>27</v>
      </c>
      <c r="C482" s="455">
        <v>3</v>
      </c>
      <c r="D482" s="455" t="s">
        <v>3760</v>
      </c>
      <c r="F482" s="455" t="str">
        <f t="shared" si="17"/>
        <v>S3A</v>
      </c>
      <c r="G482" t="str">
        <f t="shared" si="18"/>
        <v>S3A</v>
      </c>
    </row>
    <row r="483" spans="1:7">
      <c r="A483" s="381" t="s">
        <v>3773</v>
      </c>
      <c r="B483" s="455" t="s">
        <v>27</v>
      </c>
      <c r="C483" s="455">
        <v>3</v>
      </c>
      <c r="D483" s="455" t="s">
        <v>3761</v>
      </c>
      <c r="F483" s="455" t="str">
        <f t="shared" si="17"/>
        <v>S3B</v>
      </c>
      <c r="G483" t="str">
        <f t="shared" si="18"/>
        <v>S3B</v>
      </c>
    </row>
    <row r="484" spans="1:7">
      <c r="A484" s="381" t="s">
        <v>3773</v>
      </c>
      <c r="B484" s="455" t="s">
        <v>27</v>
      </c>
      <c r="C484" s="455">
        <v>4</v>
      </c>
      <c r="D484" s="455" t="s">
        <v>3760</v>
      </c>
      <c r="F484" s="455" t="str">
        <f t="shared" si="17"/>
        <v>S4A</v>
      </c>
      <c r="G484" t="str">
        <f t="shared" si="18"/>
        <v>S4A</v>
      </c>
    </row>
    <row r="485" spans="1:7">
      <c r="A485" s="381" t="s">
        <v>3773</v>
      </c>
      <c r="B485" s="455" t="s">
        <v>27</v>
      </c>
      <c r="C485" s="455">
        <v>4</v>
      </c>
      <c r="D485" s="455" t="s">
        <v>3761</v>
      </c>
      <c r="F485" s="455" t="str">
        <f t="shared" ref="F485:F548" si="19">B485&amp;C485&amp;D485</f>
        <v>S4B</v>
      </c>
      <c r="G485" t="str">
        <f t="shared" ref="G485:G548" si="20">F485</f>
        <v>S4B</v>
      </c>
    </row>
    <row r="486" spans="1:7">
      <c r="A486" s="381" t="s">
        <v>3773</v>
      </c>
      <c r="B486" s="455" t="s">
        <v>27</v>
      </c>
      <c r="C486" s="455">
        <v>5</v>
      </c>
      <c r="D486" s="455" t="s">
        <v>3760</v>
      </c>
      <c r="F486" s="455" t="str">
        <f t="shared" si="19"/>
        <v>S5A</v>
      </c>
      <c r="G486" t="str">
        <f t="shared" si="20"/>
        <v>S5A</v>
      </c>
    </row>
    <row r="487" spans="1:7">
      <c r="A487" s="381" t="s">
        <v>3773</v>
      </c>
      <c r="B487" s="455" t="s">
        <v>27</v>
      </c>
      <c r="C487" s="455">
        <v>5</v>
      </c>
      <c r="D487" s="455" t="s">
        <v>3761</v>
      </c>
      <c r="F487" s="455" t="str">
        <f t="shared" si="19"/>
        <v>S5B</v>
      </c>
      <c r="G487" t="str">
        <f t="shared" si="20"/>
        <v>S5B</v>
      </c>
    </row>
    <row r="488" spans="1:7">
      <c r="A488" s="381" t="s">
        <v>3773</v>
      </c>
      <c r="B488" s="455" t="s">
        <v>27</v>
      </c>
      <c r="C488" s="455">
        <v>6</v>
      </c>
      <c r="D488" s="455" t="s">
        <v>3760</v>
      </c>
      <c r="F488" s="455" t="str">
        <f t="shared" si="19"/>
        <v>S6A</v>
      </c>
      <c r="G488" t="str">
        <f t="shared" si="20"/>
        <v>S6A</v>
      </c>
    </row>
    <row r="489" spans="1:7">
      <c r="A489" s="381" t="s">
        <v>3773</v>
      </c>
      <c r="B489" s="455" t="s">
        <v>27</v>
      </c>
      <c r="C489" s="455">
        <v>6</v>
      </c>
      <c r="D489" s="455" t="s">
        <v>3761</v>
      </c>
      <c r="F489" s="455" t="str">
        <f t="shared" si="19"/>
        <v>S6B</v>
      </c>
      <c r="G489" t="str">
        <f t="shared" si="20"/>
        <v>S6B</v>
      </c>
    </row>
    <row r="490" spans="1:7">
      <c r="A490" s="381" t="s">
        <v>3773</v>
      </c>
      <c r="B490" s="455" t="s">
        <v>27</v>
      </c>
      <c r="C490" s="455">
        <v>7</v>
      </c>
      <c r="D490" s="455" t="s">
        <v>3760</v>
      </c>
      <c r="F490" s="455" t="str">
        <f t="shared" si="19"/>
        <v>S7A</v>
      </c>
      <c r="G490" t="str">
        <f t="shared" si="20"/>
        <v>S7A</v>
      </c>
    </row>
    <row r="491" spans="1:7">
      <c r="A491" s="381" t="s">
        <v>3773</v>
      </c>
      <c r="B491" s="455" t="s">
        <v>27</v>
      </c>
      <c r="C491" s="455">
        <v>7</v>
      </c>
      <c r="D491" s="455" t="s">
        <v>3761</v>
      </c>
      <c r="F491" s="455" t="str">
        <f t="shared" si="19"/>
        <v>S7B</v>
      </c>
      <c r="G491" t="str">
        <f t="shared" si="20"/>
        <v>S7B</v>
      </c>
    </row>
    <row r="492" spans="1:7">
      <c r="A492" s="381" t="s">
        <v>3773</v>
      </c>
      <c r="B492" s="455" t="s">
        <v>27</v>
      </c>
      <c r="C492" s="455">
        <v>8</v>
      </c>
      <c r="D492" s="455" t="s">
        <v>3760</v>
      </c>
      <c r="F492" s="455" t="str">
        <f t="shared" si="19"/>
        <v>S8A</v>
      </c>
      <c r="G492" t="str">
        <f t="shared" si="20"/>
        <v>S8A</v>
      </c>
    </row>
    <row r="493" spans="1:7">
      <c r="A493" s="381" t="s">
        <v>3773</v>
      </c>
      <c r="B493" s="455" t="s">
        <v>27</v>
      </c>
      <c r="C493" s="455">
        <v>8</v>
      </c>
      <c r="D493" s="455" t="s">
        <v>3761</v>
      </c>
      <c r="F493" s="455" t="str">
        <f t="shared" si="19"/>
        <v>S8B</v>
      </c>
      <c r="G493" t="str">
        <f t="shared" si="20"/>
        <v>S8B</v>
      </c>
    </row>
    <row r="494" spans="1:7">
      <c r="A494" s="381" t="s">
        <v>3773</v>
      </c>
      <c r="B494" s="455" t="s">
        <v>27</v>
      </c>
      <c r="C494" s="455">
        <v>9</v>
      </c>
      <c r="D494" s="455" t="s">
        <v>3760</v>
      </c>
      <c r="F494" s="455" t="str">
        <f t="shared" si="19"/>
        <v>S9A</v>
      </c>
      <c r="G494" t="str">
        <f t="shared" si="20"/>
        <v>S9A</v>
      </c>
    </row>
    <row r="495" spans="1:7">
      <c r="A495" s="381" t="s">
        <v>3773</v>
      </c>
      <c r="B495" s="455" t="s">
        <v>27</v>
      </c>
      <c r="C495" s="455">
        <v>9</v>
      </c>
      <c r="D495" s="455" t="s">
        <v>3761</v>
      </c>
      <c r="F495" s="455" t="str">
        <f t="shared" si="19"/>
        <v>S9B</v>
      </c>
      <c r="G495" t="str">
        <f t="shared" si="20"/>
        <v>S9B</v>
      </c>
    </row>
    <row r="496" spans="1:7">
      <c r="A496" s="381" t="s">
        <v>3773</v>
      </c>
      <c r="B496" s="455" t="s">
        <v>27</v>
      </c>
      <c r="C496" s="455">
        <v>10</v>
      </c>
      <c r="D496" s="455" t="s">
        <v>3760</v>
      </c>
      <c r="F496" s="455" t="str">
        <f t="shared" si="19"/>
        <v>S10A</v>
      </c>
      <c r="G496" t="str">
        <f t="shared" si="20"/>
        <v>S10A</v>
      </c>
    </row>
    <row r="497" spans="1:7">
      <c r="A497" s="381" t="s">
        <v>3773</v>
      </c>
      <c r="B497" s="455" t="s">
        <v>27</v>
      </c>
      <c r="C497" s="455">
        <v>10</v>
      </c>
      <c r="D497" s="455" t="s">
        <v>3761</v>
      </c>
      <c r="F497" s="455" t="str">
        <f t="shared" si="19"/>
        <v>S10B</v>
      </c>
      <c r="G497" t="str">
        <f t="shared" si="20"/>
        <v>S10B</v>
      </c>
    </row>
    <row r="498" spans="1:7">
      <c r="A498" s="381" t="s">
        <v>3773</v>
      </c>
      <c r="B498" s="455" t="s">
        <v>27</v>
      </c>
      <c r="C498" s="455">
        <v>11</v>
      </c>
      <c r="D498" s="455" t="s">
        <v>3760</v>
      </c>
      <c r="F498" s="455" t="str">
        <f t="shared" si="19"/>
        <v>S11A</v>
      </c>
      <c r="G498" t="str">
        <f t="shared" si="20"/>
        <v>S11A</v>
      </c>
    </row>
    <row r="499" spans="1:7">
      <c r="A499" s="381" t="s">
        <v>3773</v>
      </c>
      <c r="B499" s="455" t="s">
        <v>27</v>
      </c>
      <c r="C499" s="455">
        <v>11</v>
      </c>
      <c r="D499" s="455" t="s">
        <v>3761</v>
      </c>
      <c r="F499" s="455" t="str">
        <f t="shared" si="19"/>
        <v>S11B</v>
      </c>
      <c r="G499" t="str">
        <f t="shared" si="20"/>
        <v>S11B</v>
      </c>
    </row>
    <row r="500" spans="1:7">
      <c r="A500" s="381" t="s">
        <v>3773</v>
      </c>
      <c r="B500" s="455" t="s">
        <v>27</v>
      </c>
      <c r="C500" s="455">
        <v>12</v>
      </c>
      <c r="D500" s="455" t="s">
        <v>3760</v>
      </c>
      <c r="F500" s="455" t="str">
        <f t="shared" si="19"/>
        <v>S12A</v>
      </c>
      <c r="G500" t="str">
        <f t="shared" si="20"/>
        <v>S12A</v>
      </c>
    </row>
    <row r="501" spans="1:7">
      <c r="A501" s="381" t="s">
        <v>3773</v>
      </c>
      <c r="B501" s="455" t="s">
        <v>27</v>
      </c>
      <c r="C501" s="455">
        <v>12</v>
      </c>
      <c r="D501" s="455" t="s">
        <v>3761</v>
      </c>
      <c r="F501" s="455" t="str">
        <f t="shared" si="19"/>
        <v>S12B</v>
      </c>
      <c r="G501" t="str">
        <f t="shared" si="20"/>
        <v>S12B</v>
      </c>
    </row>
    <row r="502" spans="1:7">
      <c r="A502" s="381" t="s">
        <v>3773</v>
      </c>
      <c r="B502" s="455" t="s">
        <v>27</v>
      </c>
      <c r="C502" s="455">
        <v>13</v>
      </c>
      <c r="D502" s="455" t="s">
        <v>3760</v>
      </c>
      <c r="F502" s="455" t="str">
        <f t="shared" si="19"/>
        <v>S13A</v>
      </c>
      <c r="G502" t="str">
        <f t="shared" si="20"/>
        <v>S13A</v>
      </c>
    </row>
    <row r="503" spans="1:7">
      <c r="A503" s="381" t="s">
        <v>3773</v>
      </c>
      <c r="B503" s="455" t="s">
        <v>27</v>
      </c>
      <c r="C503" s="455">
        <v>13</v>
      </c>
      <c r="D503" s="455" t="s">
        <v>3761</v>
      </c>
      <c r="F503" s="455" t="str">
        <f t="shared" si="19"/>
        <v>S13B</v>
      </c>
      <c r="G503" t="str">
        <f t="shared" si="20"/>
        <v>S13B</v>
      </c>
    </row>
    <row r="504" spans="1:7">
      <c r="A504" s="381" t="s">
        <v>3773</v>
      </c>
      <c r="B504" s="455" t="s">
        <v>27</v>
      </c>
      <c r="C504" s="455">
        <v>14</v>
      </c>
      <c r="D504" s="455" t="s">
        <v>3760</v>
      </c>
      <c r="F504" s="455" t="str">
        <f t="shared" si="19"/>
        <v>S14A</v>
      </c>
      <c r="G504" t="str">
        <f t="shared" si="20"/>
        <v>S14A</v>
      </c>
    </row>
    <row r="505" spans="1:7">
      <c r="A505" s="381" t="s">
        <v>3773</v>
      </c>
      <c r="B505" s="455" t="s">
        <v>27</v>
      </c>
      <c r="C505" s="455">
        <v>14</v>
      </c>
      <c r="D505" s="455" t="s">
        <v>3761</v>
      </c>
      <c r="F505" s="455" t="str">
        <f t="shared" si="19"/>
        <v>S14B</v>
      </c>
      <c r="G505" t="str">
        <f t="shared" si="20"/>
        <v>S14B</v>
      </c>
    </row>
    <row r="506" spans="1:7">
      <c r="A506" s="381" t="s">
        <v>3773</v>
      </c>
      <c r="B506" s="455" t="s">
        <v>27</v>
      </c>
      <c r="C506" s="455">
        <v>15</v>
      </c>
      <c r="D506" s="455" t="s">
        <v>3760</v>
      </c>
      <c r="F506" s="455" t="str">
        <f t="shared" si="19"/>
        <v>S15A</v>
      </c>
      <c r="G506" t="str">
        <f t="shared" si="20"/>
        <v>S15A</v>
      </c>
    </row>
    <row r="507" spans="1:7">
      <c r="A507" s="381" t="s">
        <v>3773</v>
      </c>
      <c r="B507" s="455" t="s">
        <v>27</v>
      </c>
      <c r="C507" s="455">
        <v>15</v>
      </c>
      <c r="D507" s="455" t="s">
        <v>3761</v>
      </c>
      <c r="F507" s="455" t="str">
        <f t="shared" si="19"/>
        <v>S15B</v>
      </c>
      <c r="G507" t="str">
        <f t="shared" si="20"/>
        <v>S15B</v>
      </c>
    </row>
    <row r="508" spans="1:7">
      <c r="A508" s="381" t="s">
        <v>3773</v>
      </c>
      <c r="B508" s="455" t="s">
        <v>27</v>
      </c>
      <c r="C508" s="455">
        <v>16</v>
      </c>
      <c r="D508" s="455" t="s">
        <v>3760</v>
      </c>
      <c r="F508" s="455" t="str">
        <f t="shared" si="19"/>
        <v>S16A</v>
      </c>
      <c r="G508" t="str">
        <f t="shared" si="20"/>
        <v>S16A</v>
      </c>
    </row>
    <row r="509" spans="1:7">
      <c r="A509" s="381" t="s">
        <v>3773</v>
      </c>
      <c r="B509" s="455" t="s">
        <v>27</v>
      </c>
      <c r="C509" s="455">
        <v>16</v>
      </c>
      <c r="D509" s="455" t="s">
        <v>3761</v>
      </c>
      <c r="F509" s="455" t="str">
        <f t="shared" si="19"/>
        <v>S16B</v>
      </c>
      <c r="G509" t="str">
        <f t="shared" si="20"/>
        <v>S16B</v>
      </c>
    </row>
    <row r="510" spans="1:7">
      <c r="A510" s="381" t="s">
        <v>3773</v>
      </c>
      <c r="B510" s="455" t="s">
        <v>27</v>
      </c>
      <c r="C510" s="455">
        <v>17</v>
      </c>
      <c r="D510" s="455" t="s">
        <v>3760</v>
      </c>
      <c r="F510" s="455" t="str">
        <f t="shared" si="19"/>
        <v>S17A</v>
      </c>
      <c r="G510" t="str">
        <f t="shared" si="20"/>
        <v>S17A</v>
      </c>
    </row>
    <row r="511" spans="1:7">
      <c r="A511" s="381" t="s">
        <v>3773</v>
      </c>
      <c r="B511" s="455" t="s">
        <v>27</v>
      </c>
      <c r="C511" s="455">
        <v>17</v>
      </c>
      <c r="D511" s="455" t="s">
        <v>3761</v>
      </c>
      <c r="F511" s="455" t="str">
        <f t="shared" si="19"/>
        <v>S17B</v>
      </c>
      <c r="G511" t="str">
        <f t="shared" si="20"/>
        <v>S17B</v>
      </c>
    </row>
    <row r="512" spans="1:7">
      <c r="A512" s="381" t="s">
        <v>3773</v>
      </c>
      <c r="B512" s="455" t="s">
        <v>27</v>
      </c>
      <c r="C512" s="455">
        <v>18</v>
      </c>
      <c r="D512" s="455" t="s">
        <v>3760</v>
      </c>
      <c r="F512" s="455" t="str">
        <f t="shared" si="19"/>
        <v>S18A</v>
      </c>
      <c r="G512" t="str">
        <f t="shared" si="20"/>
        <v>S18A</v>
      </c>
    </row>
    <row r="513" spans="1:7">
      <c r="A513" s="381" t="s">
        <v>3773</v>
      </c>
      <c r="B513" s="455" t="s">
        <v>27</v>
      </c>
      <c r="C513" s="455">
        <v>18</v>
      </c>
      <c r="D513" s="455" t="s">
        <v>3761</v>
      </c>
      <c r="F513" s="455" t="str">
        <f t="shared" si="19"/>
        <v>S18B</v>
      </c>
      <c r="G513" t="str">
        <f t="shared" si="20"/>
        <v>S18B</v>
      </c>
    </row>
    <row r="514" spans="1:7">
      <c r="A514" s="381" t="s">
        <v>3773</v>
      </c>
      <c r="B514" s="455" t="s">
        <v>3783</v>
      </c>
      <c r="C514" s="455">
        <v>1</v>
      </c>
      <c r="D514" s="455" t="s">
        <v>3760</v>
      </c>
      <c r="F514" s="455" t="str">
        <f t="shared" si="19"/>
        <v>T1A</v>
      </c>
      <c r="G514" t="str">
        <f t="shared" si="20"/>
        <v>T1A</v>
      </c>
    </row>
    <row r="515" spans="1:7">
      <c r="A515" s="381" t="s">
        <v>3773</v>
      </c>
      <c r="B515" s="455" t="s">
        <v>3783</v>
      </c>
      <c r="C515" s="455">
        <v>1</v>
      </c>
      <c r="D515" s="455" t="s">
        <v>3761</v>
      </c>
      <c r="F515" s="455" t="str">
        <f t="shared" si="19"/>
        <v>T1B</v>
      </c>
      <c r="G515" t="str">
        <f t="shared" si="20"/>
        <v>T1B</v>
      </c>
    </row>
    <row r="516" spans="1:7">
      <c r="A516" s="381" t="s">
        <v>3773</v>
      </c>
      <c r="B516" s="455" t="s">
        <v>3783</v>
      </c>
      <c r="C516" s="455">
        <v>2</v>
      </c>
      <c r="D516" s="455" t="s">
        <v>3760</v>
      </c>
      <c r="F516" s="455" t="str">
        <f t="shared" si="19"/>
        <v>T2A</v>
      </c>
      <c r="G516" t="str">
        <f t="shared" si="20"/>
        <v>T2A</v>
      </c>
    </row>
    <row r="517" spans="1:7">
      <c r="A517" s="381" t="s">
        <v>3773</v>
      </c>
      <c r="B517" s="455" t="s">
        <v>3783</v>
      </c>
      <c r="C517" s="455">
        <v>2</v>
      </c>
      <c r="D517" s="455" t="s">
        <v>3761</v>
      </c>
      <c r="F517" s="455" t="str">
        <f t="shared" si="19"/>
        <v>T2B</v>
      </c>
      <c r="G517" t="str">
        <f t="shared" si="20"/>
        <v>T2B</v>
      </c>
    </row>
    <row r="518" spans="1:7">
      <c r="A518" s="381" t="s">
        <v>3773</v>
      </c>
      <c r="B518" s="455" t="s">
        <v>3783</v>
      </c>
      <c r="C518" s="455">
        <v>3</v>
      </c>
      <c r="D518" s="455" t="s">
        <v>3760</v>
      </c>
      <c r="F518" s="455" t="str">
        <f t="shared" si="19"/>
        <v>T3A</v>
      </c>
      <c r="G518" t="str">
        <f t="shared" si="20"/>
        <v>T3A</v>
      </c>
    </row>
    <row r="519" spans="1:7">
      <c r="A519" s="381" t="s">
        <v>3773</v>
      </c>
      <c r="B519" s="455" t="s">
        <v>3783</v>
      </c>
      <c r="C519" s="455">
        <v>3</v>
      </c>
      <c r="D519" s="455" t="s">
        <v>3761</v>
      </c>
      <c r="F519" s="455" t="str">
        <f t="shared" si="19"/>
        <v>T3B</v>
      </c>
      <c r="G519" t="str">
        <f t="shared" si="20"/>
        <v>T3B</v>
      </c>
    </row>
    <row r="520" spans="1:7">
      <c r="A520" s="381" t="s">
        <v>3773</v>
      </c>
      <c r="B520" s="455" t="s">
        <v>3783</v>
      </c>
      <c r="C520" s="455">
        <v>4</v>
      </c>
      <c r="D520" s="455" t="s">
        <v>3760</v>
      </c>
      <c r="F520" s="455" t="str">
        <f t="shared" si="19"/>
        <v>T4A</v>
      </c>
      <c r="G520" t="str">
        <f t="shared" si="20"/>
        <v>T4A</v>
      </c>
    </row>
    <row r="521" spans="1:7">
      <c r="A521" s="381" t="s">
        <v>3773</v>
      </c>
      <c r="B521" s="455" t="s">
        <v>3783</v>
      </c>
      <c r="C521" s="455">
        <v>4</v>
      </c>
      <c r="D521" s="455" t="s">
        <v>3761</v>
      </c>
      <c r="F521" s="455" t="str">
        <f t="shared" si="19"/>
        <v>T4B</v>
      </c>
      <c r="G521" t="str">
        <f t="shared" si="20"/>
        <v>T4B</v>
      </c>
    </row>
    <row r="522" spans="1:7">
      <c r="A522" s="381" t="s">
        <v>3773</v>
      </c>
      <c r="B522" s="455" t="s">
        <v>3783</v>
      </c>
      <c r="C522" s="455">
        <v>5</v>
      </c>
      <c r="D522" s="455" t="s">
        <v>3760</v>
      </c>
      <c r="F522" s="455" t="str">
        <f t="shared" si="19"/>
        <v>T5A</v>
      </c>
      <c r="G522" t="str">
        <f t="shared" si="20"/>
        <v>T5A</v>
      </c>
    </row>
    <row r="523" spans="1:7">
      <c r="A523" s="381" t="s">
        <v>3773</v>
      </c>
      <c r="B523" s="455" t="s">
        <v>3783</v>
      </c>
      <c r="C523" s="455">
        <v>5</v>
      </c>
      <c r="D523" s="455" t="s">
        <v>3761</v>
      </c>
      <c r="F523" s="455" t="str">
        <f t="shared" si="19"/>
        <v>T5B</v>
      </c>
      <c r="G523" t="str">
        <f t="shared" si="20"/>
        <v>T5B</v>
      </c>
    </row>
    <row r="524" spans="1:7">
      <c r="A524" s="381" t="s">
        <v>3773</v>
      </c>
      <c r="B524" s="455" t="s">
        <v>3783</v>
      </c>
      <c r="C524" s="455">
        <v>6</v>
      </c>
      <c r="D524" s="455" t="s">
        <v>3760</v>
      </c>
      <c r="F524" s="455" t="str">
        <f t="shared" si="19"/>
        <v>T6A</v>
      </c>
      <c r="G524" t="str">
        <f t="shared" si="20"/>
        <v>T6A</v>
      </c>
    </row>
    <row r="525" spans="1:7">
      <c r="A525" s="381" t="s">
        <v>3773</v>
      </c>
      <c r="B525" s="455" t="s">
        <v>3783</v>
      </c>
      <c r="C525" s="455">
        <v>6</v>
      </c>
      <c r="D525" s="455" t="s">
        <v>3761</v>
      </c>
      <c r="F525" s="455" t="str">
        <f t="shared" si="19"/>
        <v>T6B</v>
      </c>
      <c r="G525" t="str">
        <f t="shared" si="20"/>
        <v>T6B</v>
      </c>
    </row>
    <row r="526" spans="1:7">
      <c r="A526" s="381" t="s">
        <v>3773</v>
      </c>
      <c r="B526" s="455" t="s">
        <v>3783</v>
      </c>
      <c r="C526" s="455">
        <v>7</v>
      </c>
      <c r="D526" s="455" t="s">
        <v>3760</v>
      </c>
      <c r="F526" s="455" t="str">
        <f t="shared" si="19"/>
        <v>T7A</v>
      </c>
      <c r="G526" t="str">
        <f t="shared" si="20"/>
        <v>T7A</v>
      </c>
    </row>
    <row r="527" spans="1:7">
      <c r="A527" s="381" t="s">
        <v>3773</v>
      </c>
      <c r="B527" s="455" t="s">
        <v>3783</v>
      </c>
      <c r="C527" s="455">
        <v>7</v>
      </c>
      <c r="D527" s="455" t="s">
        <v>3761</v>
      </c>
      <c r="F527" s="455" t="str">
        <f t="shared" si="19"/>
        <v>T7B</v>
      </c>
      <c r="G527" t="str">
        <f t="shared" si="20"/>
        <v>T7B</v>
      </c>
    </row>
    <row r="528" spans="1:7">
      <c r="A528" s="381" t="s">
        <v>3773</v>
      </c>
      <c r="B528" s="455" t="s">
        <v>3783</v>
      </c>
      <c r="C528" s="455">
        <v>8</v>
      </c>
      <c r="D528" s="455" t="s">
        <v>3760</v>
      </c>
      <c r="F528" s="455" t="str">
        <f t="shared" si="19"/>
        <v>T8A</v>
      </c>
      <c r="G528" t="str">
        <f t="shared" si="20"/>
        <v>T8A</v>
      </c>
    </row>
    <row r="529" spans="1:7">
      <c r="A529" s="381" t="s">
        <v>3773</v>
      </c>
      <c r="B529" s="455" t="s">
        <v>3783</v>
      </c>
      <c r="C529" s="455">
        <v>8</v>
      </c>
      <c r="D529" s="455" t="s">
        <v>3761</v>
      </c>
      <c r="F529" s="455" t="str">
        <f t="shared" si="19"/>
        <v>T8B</v>
      </c>
      <c r="G529" t="str">
        <f t="shared" si="20"/>
        <v>T8B</v>
      </c>
    </row>
    <row r="530" spans="1:7">
      <c r="A530" s="381" t="s">
        <v>3773</v>
      </c>
      <c r="B530" s="455" t="s">
        <v>3783</v>
      </c>
      <c r="C530" s="455">
        <v>9</v>
      </c>
      <c r="D530" s="455" t="s">
        <v>3760</v>
      </c>
      <c r="F530" s="455" t="str">
        <f t="shared" si="19"/>
        <v>T9A</v>
      </c>
      <c r="G530" t="str">
        <f t="shared" si="20"/>
        <v>T9A</v>
      </c>
    </row>
    <row r="531" spans="1:7">
      <c r="A531" s="381" t="s">
        <v>3773</v>
      </c>
      <c r="B531" s="455" t="s">
        <v>3783</v>
      </c>
      <c r="C531" s="455">
        <v>9</v>
      </c>
      <c r="D531" s="455" t="s">
        <v>3761</v>
      </c>
      <c r="F531" s="455" t="str">
        <f t="shared" si="19"/>
        <v>T9B</v>
      </c>
      <c r="G531" t="str">
        <f t="shared" si="20"/>
        <v>T9B</v>
      </c>
    </row>
    <row r="532" spans="1:7">
      <c r="A532" s="381" t="s">
        <v>3773</v>
      </c>
      <c r="B532" s="455" t="s">
        <v>3783</v>
      </c>
      <c r="C532" s="455">
        <v>10</v>
      </c>
      <c r="D532" s="455" t="s">
        <v>3760</v>
      </c>
      <c r="F532" s="455" t="str">
        <f t="shared" si="19"/>
        <v>T10A</v>
      </c>
      <c r="G532" t="str">
        <f t="shared" si="20"/>
        <v>T10A</v>
      </c>
    </row>
    <row r="533" spans="1:7">
      <c r="A533" s="381" t="s">
        <v>3773</v>
      </c>
      <c r="B533" s="455" t="s">
        <v>3783</v>
      </c>
      <c r="C533" s="455">
        <v>10</v>
      </c>
      <c r="D533" s="455" t="s">
        <v>3761</v>
      </c>
      <c r="F533" s="455" t="str">
        <f t="shared" si="19"/>
        <v>T10B</v>
      </c>
      <c r="G533" t="str">
        <f t="shared" si="20"/>
        <v>T10B</v>
      </c>
    </row>
    <row r="534" spans="1:7">
      <c r="A534" s="381" t="s">
        <v>3773</v>
      </c>
      <c r="B534" s="455" t="s">
        <v>3783</v>
      </c>
      <c r="C534" s="455">
        <v>11</v>
      </c>
      <c r="D534" s="455" t="s">
        <v>3760</v>
      </c>
      <c r="F534" s="455" t="str">
        <f t="shared" si="19"/>
        <v>T11A</v>
      </c>
      <c r="G534" t="str">
        <f t="shared" si="20"/>
        <v>T11A</v>
      </c>
    </row>
    <row r="535" spans="1:7">
      <c r="A535" s="381" t="s">
        <v>3773</v>
      </c>
      <c r="B535" s="455" t="s">
        <v>3783</v>
      </c>
      <c r="C535" s="455">
        <v>11</v>
      </c>
      <c r="D535" s="455" t="s">
        <v>3761</v>
      </c>
      <c r="F535" s="455" t="str">
        <f t="shared" si="19"/>
        <v>T11B</v>
      </c>
      <c r="G535" t="str">
        <f t="shared" si="20"/>
        <v>T11B</v>
      </c>
    </row>
    <row r="536" spans="1:7">
      <c r="A536" s="381" t="s">
        <v>3773</v>
      </c>
      <c r="B536" s="455" t="s">
        <v>3783</v>
      </c>
      <c r="C536" s="455">
        <v>12</v>
      </c>
      <c r="D536" s="455" t="s">
        <v>3760</v>
      </c>
      <c r="F536" s="455" t="str">
        <f t="shared" si="19"/>
        <v>T12A</v>
      </c>
      <c r="G536" t="str">
        <f t="shared" si="20"/>
        <v>T12A</v>
      </c>
    </row>
    <row r="537" spans="1:7">
      <c r="A537" s="381" t="s">
        <v>3773</v>
      </c>
      <c r="B537" s="455" t="s">
        <v>3783</v>
      </c>
      <c r="C537" s="455">
        <v>12</v>
      </c>
      <c r="D537" s="455" t="s">
        <v>3761</v>
      </c>
      <c r="F537" s="455" t="str">
        <f t="shared" si="19"/>
        <v>T12B</v>
      </c>
      <c r="G537" t="str">
        <f t="shared" si="20"/>
        <v>T12B</v>
      </c>
    </row>
    <row r="538" spans="1:7">
      <c r="A538" s="381" t="s">
        <v>3773</v>
      </c>
      <c r="B538" s="455" t="s">
        <v>3783</v>
      </c>
      <c r="C538" s="455">
        <v>13</v>
      </c>
      <c r="D538" s="455" t="s">
        <v>3760</v>
      </c>
      <c r="F538" s="455" t="str">
        <f t="shared" si="19"/>
        <v>T13A</v>
      </c>
      <c r="G538" t="str">
        <f t="shared" si="20"/>
        <v>T13A</v>
      </c>
    </row>
    <row r="539" spans="1:7">
      <c r="A539" s="381" t="s">
        <v>3773</v>
      </c>
      <c r="B539" s="455" t="s">
        <v>3783</v>
      </c>
      <c r="C539" s="455">
        <v>13</v>
      </c>
      <c r="D539" s="455" t="s">
        <v>3761</v>
      </c>
      <c r="F539" s="455" t="str">
        <f t="shared" si="19"/>
        <v>T13B</v>
      </c>
      <c r="G539" t="str">
        <f t="shared" si="20"/>
        <v>T13B</v>
      </c>
    </row>
    <row r="540" spans="1:7">
      <c r="A540" s="381" t="s">
        <v>3773</v>
      </c>
      <c r="B540" s="455" t="s">
        <v>3783</v>
      </c>
      <c r="C540" s="455">
        <v>14</v>
      </c>
      <c r="D540" s="455" t="s">
        <v>3760</v>
      </c>
      <c r="F540" s="455" t="str">
        <f t="shared" si="19"/>
        <v>T14A</v>
      </c>
      <c r="G540" t="str">
        <f t="shared" si="20"/>
        <v>T14A</v>
      </c>
    </row>
    <row r="541" spans="1:7">
      <c r="A541" s="381" t="s">
        <v>3773</v>
      </c>
      <c r="B541" s="455" t="s">
        <v>3783</v>
      </c>
      <c r="C541" s="455">
        <v>14</v>
      </c>
      <c r="D541" s="455" t="s">
        <v>3761</v>
      </c>
      <c r="F541" s="455" t="str">
        <f t="shared" si="19"/>
        <v>T14B</v>
      </c>
      <c r="G541" t="str">
        <f t="shared" si="20"/>
        <v>T14B</v>
      </c>
    </row>
    <row r="542" spans="1:7">
      <c r="A542" s="381" t="s">
        <v>3773</v>
      </c>
      <c r="B542" s="455" t="s">
        <v>3783</v>
      </c>
      <c r="C542" s="455">
        <v>15</v>
      </c>
      <c r="D542" s="455" t="s">
        <v>3760</v>
      </c>
      <c r="F542" s="455" t="str">
        <f t="shared" si="19"/>
        <v>T15A</v>
      </c>
      <c r="G542" t="str">
        <f t="shared" si="20"/>
        <v>T15A</v>
      </c>
    </row>
    <row r="543" spans="1:7">
      <c r="A543" s="381" t="s">
        <v>3773</v>
      </c>
      <c r="B543" s="455" t="s">
        <v>3783</v>
      </c>
      <c r="C543" s="455">
        <v>15</v>
      </c>
      <c r="D543" s="455" t="s">
        <v>3761</v>
      </c>
      <c r="F543" s="455" t="str">
        <f t="shared" si="19"/>
        <v>T15B</v>
      </c>
      <c r="G543" t="str">
        <f t="shared" si="20"/>
        <v>T15B</v>
      </c>
    </row>
    <row r="544" spans="1:7">
      <c r="A544" s="381" t="s">
        <v>3773</v>
      </c>
      <c r="B544" s="455" t="s">
        <v>3783</v>
      </c>
      <c r="C544" s="455">
        <v>16</v>
      </c>
      <c r="D544" s="455" t="s">
        <v>3760</v>
      </c>
      <c r="F544" s="455" t="str">
        <f t="shared" si="19"/>
        <v>T16A</v>
      </c>
      <c r="G544" t="str">
        <f t="shared" si="20"/>
        <v>T16A</v>
      </c>
    </row>
    <row r="545" spans="1:7">
      <c r="A545" s="381" t="s">
        <v>3773</v>
      </c>
      <c r="B545" s="455" t="s">
        <v>3783</v>
      </c>
      <c r="C545" s="455">
        <v>16</v>
      </c>
      <c r="D545" s="455" t="s">
        <v>3761</v>
      </c>
      <c r="F545" s="455" t="str">
        <f t="shared" si="19"/>
        <v>T16B</v>
      </c>
      <c r="G545" t="str">
        <f t="shared" si="20"/>
        <v>T16B</v>
      </c>
    </row>
    <row r="546" spans="1:7">
      <c r="A546" s="381" t="s">
        <v>3773</v>
      </c>
      <c r="B546" s="455" t="s">
        <v>3783</v>
      </c>
      <c r="C546" s="455">
        <v>17</v>
      </c>
      <c r="D546" s="455" t="s">
        <v>3760</v>
      </c>
      <c r="F546" s="455" t="str">
        <f t="shared" si="19"/>
        <v>T17A</v>
      </c>
      <c r="G546" t="str">
        <f t="shared" si="20"/>
        <v>T17A</v>
      </c>
    </row>
    <row r="547" spans="1:7">
      <c r="A547" s="381" t="s">
        <v>3773</v>
      </c>
      <c r="B547" s="455" t="s">
        <v>3783</v>
      </c>
      <c r="C547" s="455">
        <v>17</v>
      </c>
      <c r="D547" s="455" t="s">
        <v>3761</v>
      </c>
      <c r="F547" s="455" t="str">
        <f t="shared" si="19"/>
        <v>T17B</v>
      </c>
      <c r="G547" t="str">
        <f t="shared" si="20"/>
        <v>T17B</v>
      </c>
    </row>
    <row r="548" spans="1:7">
      <c r="A548" s="381" t="s">
        <v>3773</v>
      </c>
      <c r="B548" s="455" t="s">
        <v>3784</v>
      </c>
      <c r="C548" s="455">
        <v>1</v>
      </c>
      <c r="D548" s="455" t="s">
        <v>3760</v>
      </c>
      <c r="F548" s="455" t="str">
        <f t="shared" si="19"/>
        <v>U1A</v>
      </c>
      <c r="G548" t="str">
        <f t="shared" si="20"/>
        <v>U1A</v>
      </c>
    </row>
    <row r="549" spans="1:7">
      <c r="A549" s="381" t="s">
        <v>3773</v>
      </c>
      <c r="B549" s="455" t="s">
        <v>3784</v>
      </c>
      <c r="C549" s="455">
        <v>1</v>
      </c>
      <c r="D549" s="455" t="s">
        <v>3761</v>
      </c>
      <c r="F549" s="455" t="str">
        <f t="shared" ref="F549:F612" si="21">B549&amp;C549&amp;D549</f>
        <v>U1B</v>
      </c>
      <c r="G549" t="str">
        <f t="shared" ref="G549:G612" si="22">F549</f>
        <v>U1B</v>
      </c>
    </row>
    <row r="550" spans="1:7">
      <c r="A550" s="381" t="s">
        <v>3773</v>
      </c>
      <c r="B550" s="455" t="s">
        <v>3784</v>
      </c>
      <c r="C550" s="455">
        <v>2</v>
      </c>
      <c r="D550" s="455" t="s">
        <v>3760</v>
      </c>
      <c r="F550" s="455" t="str">
        <f t="shared" si="21"/>
        <v>U2A</v>
      </c>
      <c r="G550" t="str">
        <f t="shared" si="22"/>
        <v>U2A</v>
      </c>
    </row>
    <row r="551" spans="1:7">
      <c r="A551" s="381" t="s">
        <v>3773</v>
      </c>
      <c r="B551" s="455" t="s">
        <v>3784</v>
      </c>
      <c r="C551" s="455">
        <v>2</v>
      </c>
      <c r="D551" s="455" t="s">
        <v>3761</v>
      </c>
      <c r="F551" s="455" t="str">
        <f t="shared" si="21"/>
        <v>U2B</v>
      </c>
      <c r="G551" t="str">
        <f t="shared" si="22"/>
        <v>U2B</v>
      </c>
    </row>
    <row r="552" spans="1:7">
      <c r="A552" s="381" t="s">
        <v>3773</v>
      </c>
      <c r="B552" s="455" t="s">
        <v>3784</v>
      </c>
      <c r="C552" s="455">
        <v>3</v>
      </c>
      <c r="D552" s="455" t="s">
        <v>3760</v>
      </c>
      <c r="F552" s="455" t="str">
        <f t="shared" si="21"/>
        <v>U3A</v>
      </c>
      <c r="G552" t="str">
        <f t="shared" si="22"/>
        <v>U3A</v>
      </c>
    </row>
    <row r="553" spans="1:7">
      <c r="A553" s="381" t="s">
        <v>3773</v>
      </c>
      <c r="B553" s="455" t="s">
        <v>3784</v>
      </c>
      <c r="C553" s="455">
        <v>3</v>
      </c>
      <c r="D553" s="455" t="s">
        <v>3761</v>
      </c>
      <c r="F553" s="455" t="str">
        <f t="shared" si="21"/>
        <v>U3B</v>
      </c>
      <c r="G553" t="str">
        <f t="shared" si="22"/>
        <v>U3B</v>
      </c>
    </row>
    <row r="554" spans="1:7">
      <c r="A554" s="381" t="s">
        <v>3773</v>
      </c>
      <c r="B554" s="455" t="s">
        <v>3784</v>
      </c>
      <c r="C554" s="455">
        <v>4</v>
      </c>
      <c r="D554" s="455" t="s">
        <v>3760</v>
      </c>
      <c r="F554" s="455" t="str">
        <f t="shared" si="21"/>
        <v>U4A</v>
      </c>
      <c r="G554" t="str">
        <f t="shared" si="22"/>
        <v>U4A</v>
      </c>
    </row>
    <row r="555" spans="1:7">
      <c r="A555" s="381" t="s">
        <v>3773</v>
      </c>
      <c r="B555" s="455" t="s">
        <v>3784</v>
      </c>
      <c r="C555" s="455">
        <v>4</v>
      </c>
      <c r="D555" s="455" t="s">
        <v>3761</v>
      </c>
      <c r="F555" s="455" t="str">
        <f t="shared" si="21"/>
        <v>U4B</v>
      </c>
      <c r="G555" t="str">
        <f t="shared" si="22"/>
        <v>U4B</v>
      </c>
    </row>
    <row r="556" spans="1:7">
      <c r="A556" s="381" t="s">
        <v>3773</v>
      </c>
      <c r="B556" s="455" t="s">
        <v>3784</v>
      </c>
      <c r="C556" s="455">
        <v>5</v>
      </c>
      <c r="D556" s="455" t="s">
        <v>3760</v>
      </c>
      <c r="F556" s="455" t="str">
        <f t="shared" si="21"/>
        <v>U5A</v>
      </c>
      <c r="G556" t="str">
        <f t="shared" si="22"/>
        <v>U5A</v>
      </c>
    </row>
    <row r="557" spans="1:7">
      <c r="A557" s="381" t="s">
        <v>3773</v>
      </c>
      <c r="B557" s="455" t="s">
        <v>3784</v>
      </c>
      <c r="C557" s="455">
        <v>5</v>
      </c>
      <c r="D557" s="455" t="s">
        <v>3761</v>
      </c>
      <c r="F557" s="455" t="str">
        <f t="shared" si="21"/>
        <v>U5B</v>
      </c>
      <c r="G557" t="str">
        <f t="shared" si="22"/>
        <v>U5B</v>
      </c>
    </row>
    <row r="558" spans="1:7">
      <c r="A558" s="381" t="s">
        <v>3773</v>
      </c>
      <c r="B558" s="455" t="s">
        <v>3784</v>
      </c>
      <c r="C558" s="455">
        <v>6</v>
      </c>
      <c r="D558" s="455" t="s">
        <v>3760</v>
      </c>
      <c r="F558" s="455" t="str">
        <f t="shared" si="21"/>
        <v>U6A</v>
      </c>
      <c r="G558" t="str">
        <f t="shared" si="22"/>
        <v>U6A</v>
      </c>
    </row>
    <row r="559" spans="1:7">
      <c r="A559" s="381" t="s">
        <v>3773</v>
      </c>
      <c r="B559" s="455" t="s">
        <v>3784</v>
      </c>
      <c r="C559" s="455">
        <v>6</v>
      </c>
      <c r="D559" s="455" t="s">
        <v>3761</v>
      </c>
      <c r="F559" s="455" t="str">
        <f t="shared" si="21"/>
        <v>U6B</v>
      </c>
      <c r="G559" t="str">
        <f t="shared" si="22"/>
        <v>U6B</v>
      </c>
    </row>
    <row r="560" spans="1:7">
      <c r="A560" s="381" t="s">
        <v>3773</v>
      </c>
      <c r="B560" s="455" t="s">
        <v>3784</v>
      </c>
      <c r="C560" s="455">
        <v>7</v>
      </c>
      <c r="D560" s="455" t="s">
        <v>3760</v>
      </c>
      <c r="F560" s="455" t="str">
        <f t="shared" si="21"/>
        <v>U7A</v>
      </c>
      <c r="G560" t="str">
        <f t="shared" si="22"/>
        <v>U7A</v>
      </c>
    </row>
    <row r="561" spans="1:7">
      <c r="A561" s="381" t="s">
        <v>3773</v>
      </c>
      <c r="B561" s="455" t="s">
        <v>3784</v>
      </c>
      <c r="C561" s="455">
        <v>7</v>
      </c>
      <c r="D561" s="455" t="s">
        <v>3761</v>
      </c>
      <c r="F561" s="455" t="str">
        <f t="shared" si="21"/>
        <v>U7B</v>
      </c>
      <c r="G561" t="str">
        <f t="shared" si="22"/>
        <v>U7B</v>
      </c>
    </row>
    <row r="562" spans="1:7">
      <c r="A562" s="381" t="s">
        <v>3773</v>
      </c>
      <c r="B562" s="455" t="s">
        <v>3784</v>
      </c>
      <c r="C562" s="455">
        <v>8</v>
      </c>
      <c r="D562" s="455" t="s">
        <v>3760</v>
      </c>
      <c r="F562" s="455" t="str">
        <f t="shared" si="21"/>
        <v>U8A</v>
      </c>
      <c r="G562" t="str">
        <f t="shared" si="22"/>
        <v>U8A</v>
      </c>
    </row>
    <row r="563" spans="1:7">
      <c r="A563" s="381" t="s">
        <v>3773</v>
      </c>
      <c r="B563" s="455" t="s">
        <v>3784</v>
      </c>
      <c r="C563" s="455">
        <v>8</v>
      </c>
      <c r="D563" s="455" t="s">
        <v>3761</v>
      </c>
      <c r="F563" s="455" t="str">
        <f t="shared" si="21"/>
        <v>U8B</v>
      </c>
      <c r="G563" t="str">
        <f t="shared" si="22"/>
        <v>U8B</v>
      </c>
    </row>
    <row r="564" spans="1:7">
      <c r="A564" s="381" t="s">
        <v>3773</v>
      </c>
      <c r="B564" s="455" t="s">
        <v>3784</v>
      </c>
      <c r="C564" s="455">
        <v>9</v>
      </c>
      <c r="D564" s="455" t="s">
        <v>3760</v>
      </c>
      <c r="F564" s="455" t="str">
        <f t="shared" si="21"/>
        <v>U9A</v>
      </c>
      <c r="G564" t="str">
        <f t="shared" si="22"/>
        <v>U9A</v>
      </c>
    </row>
    <row r="565" spans="1:7">
      <c r="A565" s="381" t="s">
        <v>3773</v>
      </c>
      <c r="B565" s="455" t="s">
        <v>3784</v>
      </c>
      <c r="C565" s="455">
        <v>9</v>
      </c>
      <c r="D565" s="455" t="s">
        <v>3761</v>
      </c>
      <c r="F565" s="455" t="str">
        <f t="shared" si="21"/>
        <v>U9B</v>
      </c>
      <c r="G565" t="str">
        <f t="shared" si="22"/>
        <v>U9B</v>
      </c>
    </row>
    <row r="566" spans="1:7">
      <c r="A566" s="381" t="s">
        <v>3773</v>
      </c>
      <c r="B566" s="455" t="s">
        <v>3784</v>
      </c>
      <c r="C566" s="455">
        <v>10</v>
      </c>
      <c r="D566" s="455" t="s">
        <v>3760</v>
      </c>
      <c r="F566" s="455" t="str">
        <f t="shared" si="21"/>
        <v>U10A</v>
      </c>
      <c r="G566" t="str">
        <f t="shared" si="22"/>
        <v>U10A</v>
      </c>
    </row>
    <row r="567" spans="1:7">
      <c r="A567" s="381" t="s">
        <v>3773</v>
      </c>
      <c r="B567" s="455" t="s">
        <v>3784</v>
      </c>
      <c r="C567" s="455">
        <v>10</v>
      </c>
      <c r="D567" s="455" t="s">
        <v>3761</v>
      </c>
      <c r="F567" s="455" t="str">
        <f t="shared" si="21"/>
        <v>U10B</v>
      </c>
      <c r="G567" t="str">
        <f t="shared" si="22"/>
        <v>U10B</v>
      </c>
    </row>
    <row r="568" spans="1:7">
      <c r="A568" s="381" t="s">
        <v>3773</v>
      </c>
      <c r="B568" s="455" t="s">
        <v>3784</v>
      </c>
      <c r="C568" s="455">
        <v>11</v>
      </c>
      <c r="D568" s="455" t="s">
        <v>3760</v>
      </c>
      <c r="F568" s="455" t="str">
        <f t="shared" si="21"/>
        <v>U11A</v>
      </c>
      <c r="G568" t="str">
        <f t="shared" si="22"/>
        <v>U11A</v>
      </c>
    </row>
    <row r="569" spans="1:7">
      <c r="A569" s="381" t="s">
        <v>3773</v>
      </c>
      <c r="B569" s="455" t="s">
        <v>3784</v>
      </c>
      <c r="C569" s="455">
        <v>11</v>
      </c>
      <c r="D569" s="455" t="s">
        <v>3761</v>
      </c>
      <c r="F569" s="455" t="str">
        <f t="shared" si="21"/>
        <v>U11B</v>
      </c>
      <c r="G569" t="str">
        <f t="shared" si="22"/>
        <v>U11B</v>
      </c>
    </row>
    <row r="570" spans="1:7">
      <c r="A570" s="381" t="s">
        <v>3773</v>
      </c>
      <c r="B570" s="455" t="s">
        <v>3784</v>
      </c>
      <c r="C570" s="455">
        <v>12</v>
      </c>
      <c r="D570" s="455" t="s">
        <v>3760</v>
      </c>
      <c r="F570" s="455" t="str">
        <f t="shared" si="21"/>
        <v>U12A</v>
      </c>
      <c r="G570" t="str">
        <f t="shared" si="22"/>
        <v>U12A</v>
      </c>
    </row>
    <row r="571" spans="1:7">
      <c r="A571" s="381" t="s">
        <v>3773</v>
      </c>
      <c r="B571" s="455" t="s">
        <v>3784</v>
      </c>
      <c r="C571" s="455">
        <v>12</v>
      </c>
      <c r="D571" s="455" t="s">
        <v>3761</v>
      </c>
      <c r="F571" s="455" t="str">
        <f t="shared" si="21"/>
        <v>U12B</v>
      </c>
      <c r="G571" t="str">
        <f t="shared" si="22"/>
        <v>U12B</v>
      </c>
    </row>
    <row r="572" spans="1:7">
      <c r="A572" s="381" t="s">
        <v>3773</v>
      </c>
      <c r="B572" s="455" t="s">
        <v>3784</v>
      </c>
      <c r="C572" s="455">
        <v>13</v>
      </c>
      <c r="D572" s="455" t="s">
        <v>3760</v>
      </c>
      <c r="F572" s="455" t="str">
        <f t="shared" si="21"/>
        <v>U13A</v>
      </c>
      <c r="G572" t="str">
        <f t="shared" si="22"/>
        <v>U13A</v>
      </c>
    </row>
    <row r="573" spans="1:7">
      <c r="A573" s="381" t="s">
        <v>3773</v>
      </c>
      <c r="B573" s="455" t="s">
        <v>3784</v>
      </c>
      <c r="C573" s="455">
        <v>13</v>
      </c>
      <c r="D573" s="455" t="s">
        <v>3761</v>
      </c>
      <c r="F573" s="455" t="str">
        <f t="shared" si="21"/>
        <v>U13B</v>
      </c>
      <c r="G573" t="str">
        <f t="shared" si="22"/>
        <v>U13B</v>
      </c>
    </row>
    <row r="574" spans="1:7">
      <c r="A574" s="381" t="s">
        <v>3773</v>
      </c>
      <c r="B574" s="455" t="s">
        <v>3784</v>
      </c>
      <c r="C574" s="455">
        <v>14</v>
      </c>
      <c r="D574" s="455" t="s">
        <v>3760</v>
      </c>
      <c r="F574" s="455" t="str">
        <f t="shared" si="21"/>
        <v>U14A</v>
      </c>
      <c r="G574" t="str">
        <f t="shared" si="22"/>
        <v>U14A</v>
      </c>
    </row>
    <row r="575" spans="1:7">
      <c r="A575" s="381" t="s">
        <v>3773</v>
      </c>
      <c r="B575" s="455" t="s">
        <v>3784</v>
      </c>
      <c r="C575" s="455">
        <v>14</v>
      </c>
      <c r="D575" s="455" t="s">
        <v>3761</v>
      </c>
      <c r="F575" s="455" t="str">
        <f t="shared" si="21"/>
        <v>U14B</v>
      </c>
      <c r="G575" t="str">
        <f t="shared" si="22"/>
        <v>U14B</v>
      </c>
    </row>
    <row r="576" spans="1:7">
      <c r="A576" s="381" t="s">
        <v>3773</v>
      </c>
      <c r="B576" s="455" t="s">
        <v>3784</v>
      </c>
      <c r="C576" s="455">
        <v>15</v>
      </c>
      <c r="D576" s="455" t="s">
        <v>3760</v>
      </c>
      <c r="F576" s="455" t="str">
        <f t="shared" si="21"/>
        <v>U15A</v>
      </c>
      <c r="G576" t="str">
        <f t="shared" si="22"/>
        <v>U15A</v>
      </c>
    </row>
    <row r="577" spans="1:7">
      <c r="A577" s="381" t="s">
        <v>3773</v>
      </c>
      <c r="B577" s="455" t="s">
        <v>3784</v>
      </c>
      <c r="C577" s="455">
        <v>15</v>
      </c>
      <c r="D577" s="455" t="s">
        <v>3761</v>
      </c>
      <c r="F577" s="455" t="str">
        <f t="shared" si="21"/>
        <v>U15B</v>
      </c>
      <c r="G577" t="str">
        <f t="shared" si="22"/>
        <v>U15B</v>
      </c>
    </row>
    <row r="578" spans="1:7">
      <c r="A578" s="381" t="s">
        <v>3773</v>
      </c>
      <c r="B578" s="455" t="s">
        <v>3784</v>
      </c>
      <c r="C578" s="455">
        <v>16</v>
      </c>
      <c r="D578" s="455" t="s">
        <v>3760</v>
      </c>
      <c r="F578" s="455" t="str">
        <f t="shared" si="21"/>
        <v>U16A</v>
      </c>
      <c r="G578" t="str">
        <f t="shared" si="22"/>
        <v>U16A</v>
      </c>
    </row>
    <row r="579" spans="1:7">
      <c r="A579" s="381" t="s">
        <v>3773</v>
      </c>
      <c r="B579" s="455" t="s">
        <v>3784</v>
      </c>
      <c r="C579" s="455">
        <v>16</v>
      </c>
      <c r="D579" s="455" t="s">
        <v>3761</v>
      </c>
      <c r="F579" s="455" t="str">
        <f t="shared" si="21"/>
        <v>U16B</v>
      </c>
      <c r="G579" t="str">
        <f t="shared" si="22"/>
        <v>U16B</v>
      </c>
    </row>
    <row r="580" spans="1:7">
      <c r="A580" s="381" t="s">
        <v>3773</v>
      </c>
      <c r="B580" s="455" t="s">
        <v>3784</v>
      </c>
      <c r="C580" s="455">
        <v>17</v>
      </c>
      <c r="D580" s="455" t="s">
        <v>3760</v>
      </c>
      <c r="F580" s="455" t="str">
        <f t="shared" si="21"/>
        <v>U17A</v>
      </c>
      <c r="G580" t="str">
        <f t="shared" si="22"/>
        <v>U17A</v>
      </c>
    </row>
    <row r="581" spans="1:7">
      <c r="A581" s="381" t="s">
        <v>3773</v>
      </c>
      <c r="B581" s="455" t="s">
        <v>3784</v>
      </c>
      <c r="C581" s="455">
        <v>17</v>
      </c>
      <c r="D581" s="455" t="s">
        <v>3761</v>
      </c>
      <c r="F581" s="455" t="str">
        <f t="shared" si="21"/>
        <v>U17B</v>
      </c>
      <c r="G581" t="str">
        <f t="shared" si="22"/>
        <v>U17B</v>
      </c>
    </row>
    <row r="582" spans="1:7">
      <c r="A582" s="381" t="s">
        <v>3773</v>
      </c>
      <c r="B582" s="455" t="s">
        <v>3785</v>
      </c>
      <c r="C582" s="455">
        <v>1</v>
      </c>
      <c r="D582" s="455" t="s">
        <v>3760</v>
      </c>
      <c r="F582" s="455" t="str">
        <f t="shared" si="21"/>
        <v>V1A</v>
      </c>
      <c r="G582" t="str">
        <f t="shared" si="22"/>
        <v>V1A</v>
      </c>
    </row>
    <row r="583" spans="1:7">
      <c r="A583" s="381" t="s">
        <v>3773</v>
      </c>
      <c r="B583" s="455" t="s">
        <v>3785</v>
      </c>
      <c r="C583" s="455">
        <v>1</v>
      </c>
      <c r="D583" s="455" t="s">
        <v>3761</v>
      </c>
      <c r="F583" s="455" t="str">
        <f t="shared" si="21"/>
        <v>V1B</v>
      </c>
      <c r="G583" t="str">
        <f t="shared" si="22"/>
        <v>V1B</v>
      </c>
    </row>
    <row r="584" spans="1:7">
      <c r="A584" s="381" t="s">
        <v>3773</v>
      </c>
      <c r="B584" s="455" t="s">
        <v>3785</v>
      </c>
      <c r="C584" s="455">
        <v>2</v>
      </c>
      <c r="D584" s="455" t="s">
        <v>3760</v>
      </c>
      <c r="F584" s="455" t="str">
        <f t="shared" si="21"/>
        <v>V2A</v>
      </c>
      <c r="G584" t="str">
        <f t="shared" si="22"/>
        <v>V2A</v>
      </c>
    </row>
    <row r="585" spans="1:7">
      <c r="A585" s="381" t="s">
        <v>3773</v>
      </c>
      <c r="B585" s="455" t="s">
        <v>3785</v>
      </c>
      <c r="C585" s="455">
        <v>2</v>
      </c>
      <c r="D585" s="455" t="s">
        <v>3761</v>
      </c>
      <c r="F585" s="455" t="str">
        <f t="shared" si="21"/>
        <v>V2B</v>
      </c>
      <c r="G585" t="str">
        <f t="shared" si="22"/>
        <v>V2B</v>
      </c>
    </row>
    <row r="586" spans="1:7">
      <c r="A586" s="381" t="s">
        <v>3773</v>
      </c>
      <c r="B586" s="455" t="s">
        <v>3785</v>
      </c>
      <c r="C586" s="455">
        <v>3</v>
      </c>
      <c r="D586" s="455" t="s">
        <v>3760</v>
      </c>
      <c r="F586" s="455" t="str">
        <f t="shared" si="21"/>
        <v>V3A</v>
      </c>
      <c r="G586" t="str">
        <f t="shared" si="22"/>
        <v>V3A</v>
      </c>
    </row>
    <row r="587" spans="1:7">
      <c r="A587" s="381" t="s">
        <v>3773</v>
      </c>
      <c r="B587" s="455" t="s">
        <v>3785</v>
      </c>
      <c r="C587" s="455">
        <v>3</v>
      </c>
      <c r="D587" s="455" t="s">
        <v>3761</v>
      </c>
      <c r="F587" s="455" t="str">
        <f t="shared" si="21"/>
        <v>V3B</v>
      </c>
      <c r="G587" t="str">
        <f t="shared" si="22"/>
        <v>V3B</v>
      </c>
    </row>
    <row r="588" spans="1:7">
      <c r="A588" s="381" t="s">
        <v>3773</v>
      </c>
      <c r="B588" s="455" t="s">
        <v>3785</v>
      </c>
      <c r="C588" s="455">
        <v>4</v>
      </c>
      <c r="D588" s="455" t="s">
        <v>3760</v>
      </c>
      <c r="F588" s="455" t="str">
        <f t="shared" si="21"/>
        <v>V4A</v>
      </c>
      <c r="G588" t="str">
        <f t="shared" si="22"/>
        <v>V4A</v>
      </c>
    </row>
    <row r="589" spans="1:7">
      <c r="A589" s="381" t="s">
        <v>3773</v>
      </c>
      <c r="B589" s="455" t="s">
        <v>3785</v>
      </c>
      <c r="C589" s="455">
        <v>4</v>
      </c>
      <c r="D589" s="455" t="s">
        <v>3761</v>
      </c>
      <c r="F589" s="455" t="str">
        <f t="shared" si="21"/>
        <v>V4B</v>
      </c>
      <c r="G589" t="str">
        <f t="shared" si="22"/>
        <v>V4B</v>
      </c>
    </row>
    <row r="590" spans="1:7">
      <c r="A590" s="381" t="s">
        <v>3773</v>
      </c>
      <c r="B590" s="455" t="s">
        <v>3785</v>
      </c>
      <c r="C590" s="455">
        <v>5</v>
      </c>
      <c r="D590" s="455" t="s">
        <v>3760</v>
      </c>
      <c r="F590" s="455" t="str">
        <f t="shared" si="21"/>
        <v>V5A</v>
      </c>
      <c r="G590" t="str">
        <f t="shared" si="22"/>
        <v>V5A</v>
      </c>
    </row>
    <row r="591" spans="1:7">
      <c r="A591" s="381" t="s">
        <v>3773</v>
      </c>
      <c r="B591" s="455" t="s">
        <v>3785</v>
      </c>
      <c r="C591" s="455">
        <v>5</v>
      </c>
      <c r="D591" s="455" t="s">
        <v>3761</v>
      </c>
      <c r="F591" s="455" t="str">
        <f t="shared" si="21"/>
        <v>V5B</v>
      </c>
      <c r="G591" t="str">
        <f t="shared" si="22"/>
        <v>V5B</v>
      </c>
    </row>
    <row r="592" spans="1:7">
      <c r="A592" s="381" t="s">
        <v>3773</v>
      </c>
      <c r="B592" s="455" t="s">
        <v>3785</v>
      </c>
      <c r="C592" s="455">
        <v>6</v>
      </c>
      <c r="D592" s="455" t="s">
        <v>3760</v>
      </c>
      <c r="F592" s="455" t="str">
        <f t="shared" si="21"/>
        <v>V6A</v>
      </c>
      <c r="G592" t="str">
        <f t="shared" si="22"/>
        <v>V6A</v>
      </c>
    </row>
    <row r="593" spans="1:7">
      <c r="A593" s="381" t="s">
        <v>3773</v>
      </c>
      <c r="B593" s="455" t="s">
        <v>3785</v>
      </c>
      <c r="C593" s="455">
        <v>6</v>
      </c>
      <c r="D593" s="455" t="s">
        <v>3761</v>
      </c>
      <c r="F593" s="455" t="str">
        <f t="shared" si="21"/>
        <v>V6B</v>
      </c>
      <c r="G593" t="str">
        <f t="shared" si="22"/>
        <v>V6B</v>
      </c>
    </row>
    <row r="594" spans="1:7">
      <c r="A594" s="381" t="s">
        <v>3773</v>
      </c>
      <c r="B594" s="455" t="s">
        <v>3785</v>
      </c>
      <c r="C594" s="455">
        <v>7</v>
      </c>
      <c r="D594" s="455" t="s">
        <v>3760</v>
      </c>
      <c r="F594" s="455" t="str">
        <f t="shared" si="21"/>
        <v>V7A</v>
      </c>
      <c r="G594" t="str">
        <f t="shared" si="22"/>
        <v>V7A</v>
      </c>
    </row>
    <row r="595" spans="1:7">
      <c r="A595" s="381" t="s">
        <v>3773</v>
      </c>
      <c r="B595" s="455" t="s">
        <v>3785</v>
      </c>
      <c r="C595" s="455">
        <v>7</v>
      </c>
      <c r="D595" s="455" t="s">
        <v>3761</v>
      </c>
      <c r="F595" s="455" t="str">
        <f t="shared" si="21"/>
        <v>V7B</v>
      </c>
      <c r="G595" t="str">
        <f t="shared" si="22"/>
        <v>V7B</v>
      </c>
    </row>
    <row r="596" spans="1:7">
      <c r="A596" s="381" t="s">
        <v>3773</v>
      </c>
      <c r="B596" s="455" t="s">
        <v>3785</v>
      </c>
      <c r="C596" s="455">
        <v>8</v>
      </c>
      <c r="D596" s="455" t="s">
        <v>3760</v>
      </c>
      <c r="F596" s="455" t="str">
        <f t="shared" si="21"/>
        <v>V8A</v>
      </c>
      <c r="G596" t="str">
        <f t="shared" si="22"/>
        <v>V8A</v>
      </c>
    </row>
    <row r="597" spans="1:7">
      <c r="A597" s="381" t="s">
        <v>3773</v>
      </c>
      <c r="B597" s="455" t="s">
        <v>3785</v>
      </c>
      <c r="C597" s="455">
        <v>8</v>
      </c>
      <c r="D597" s="455" t="s">
        <v>3761</v>
      </c>
      <c r="F597" s="455" t="str">
        <f t="shared" si="21"/>
        <v>V8B</v>
      </c>
      <c r="G597" t="str">
        <f t="shared" si="22"/>
        <v>V8B</v>
      </c>
    </row>
    <row r="598" spans="1:7">
      <c r="A598" s="381" t="s">
        <v>3773</v>
      </c>
      <c r="B598" s="455" t="s">
        <v>3785</v>
      </c>
      <c r="C598" s="455">
        <v>9</v>
      </c>
      <c r="D598" s="455" t="s">
        <v>3760</v>
      </c>
      <c r="F598" s="455" t="str">
        <f t="shared" si="21"/>
        <v>V9A</v>
      </c>
      <c r="G598" t="str">
        <f t="shared" si="22"/>
        <v>V9A</v>
      </c>
    </row>
    <row r="599" spans="1:7">
      <c r="A599" s="381" t="s">
        <v>3773</v>
      </c>
      <c r="B599" s="455" t="s">
        <v>3785</v>
      </c>
      <c r="C599" s="455">
        <v>9</v>
      </c>
      <c r="D599" s="455" t="s">
        <v>3761</v>
      </c>
      <c r="F599" s="455" t="str">
        <f t="shared" si="21"/>
        <v>V9B</v>
      </c>
      <c r="G599" t="str">
        <f t="shared" si="22"/>
        <v>V9B</v>
      </c>
    </row>
    <row r="600" spans="1:7">
      <c r="A600" s="381" t="s">
        <v>3773</v>
      </c>
      <c r="B600" s="455" t="s">
        <v>3785</v>
      </c>
      <c r="C600" s="455">
        <v>10</v>
      </c>
      <c r="D600" s="455" t="s">
        <v>3760</v>
      </c>
      <c r="F600" s="455" t="str">
        <f t="shared" si="21"/>
        <v>V10A</v>
      </c>
      <c r="G600" t="str">
        <f t="shared" si="22"/>
        <v>V10A</v>
      </c>
    </row>
    <row r="601" spans="1:7">
      <c r="A601" s="381" t="s">
        <v>3773</v>
      </c>
      <c r="B601" s="455" t="s">
        <v>3785</v>
      </c>
      <c r="C601" s="455">
        <v>10</v>
      </c>
      <c r="D601" s="455" t="s">
        <v>3761</v>
      </c>
      <c r="F601" s="455" t="str">
        <f t="shared" si="21"/>
        <v>V10B</v>
      </c>
      <c r="G601" t="str">
        <f t="shared" si="22"/>
        <v>V10B</v>
      </c>
    </row>
    <row r="602" spans="1:7">
      <c r="A602" s="381" t="s">
        <v>3773</v>
      </c>
      <c r="B602" s="455" t="s">
        <v>3785</v>
      </c>
      <c r="C602" s="455">
        <v>11</v>
      </c>
      <c r="D602" s="455" t="s">
        <v>3760</v>
      </c>
      <c r="F602" s="455" t="str">
        <f t="shared" si="21"/>
        <v>V11A</v>
      </c>
      <c r="G602" t="str">
        <f t="shared" si="22"/>
        <v>V11A</v>
      </c>
    </row>
    <row r="603" spans="1:7">
      <c r="A603" s="381" t="s">
        <v>3773</v>
      </c>
      <c r="B603" s="455" t="s">
        <v>3785</v>
      </c>
      <c r="C603" s="455">
        <v>11</v>
      </c>
      <c r="D603" s="455" t="s">
        <v>3761</v>
      </c>
      <c r="F603" s="455" t="str">
        <f t="shared" si="21"/>
        <v>V11B</v>
      </c>
      <c r="G603" t="str">
        <f t="shared" si="22"/>
        <v>V11B</v>
      </c>
    </row>
    <row r="604" spans="1:7">
      <c r="A604" s="381" t="s">
        <v>3773</v>
      </c>
      <c r="B604" s="455" t="s">
        <v>3785</v>
      </c>
      <c r="C604" s="455">
        <v>12</v>
      </c>
      <c r="D604" s="455" t="s">
        <v>3760</v>
      </c>
      <c r="F604" s="455" t="str">
        <f t="shared" si="21"/>
        <v>V12A</v>
      </c>
      <c r="G604" t="str">
        <f t="shared" si="22"/>
        <v>V12A</v>
      </c>
    </row>
    <row r="605" spans="1:7">
      <c r="A605" s="381" t="s">
        <v>3773</v>
      </c>
      <c r="B605" s="455" t="s">
        <v>3785</v>
      </c>
      <c r="C605" s="455">
        <v>12</v>
      </c>
      <c r="D605" s="455" t="s">
        <v>3761</v>
      </c>
      <c r="F605" s="455" t="str">
        <f t="shared" si="21"/>
        <v>V12B</v>
      </c>
      <c r="G605" t="str">
        <f t="shared" si="22"/>
        <v>V12B</v>
      </c>
    </row>
    <row r="606" spans="1:7">
      <c r="A606" s="381" t="s">
        <v>3773</v>
      </c>
      <c r="B606" s="455" t="s">
        <v>3785</v>
      </c>
      <c r="C606" s="455">
        <v>13</v>
      </c>
      <c r="D606" s="455" t="s">
        <v>3760</v>
      </c>
      <c r="F606" s="455" t="str">
        <f t="shared" si="21"/>
        <v>V13A</v>
      </c>
      <c r="G606" t="str">
        <f t="shared" si="22"/>
        <v>V13A</v>
      </c>
    </row>
    <row r="607" spans="1:7">
      <c r="A607" s="381" t="s">
        <v>3773</v>
      </c>
      <c r="B607" s="455" t="s">
        <v>3785</v>
      </c>
      <c r="C607" s="455">
        <v>13</v>
      </c>
      <c r="D607" s="455" t="s">
        <v>3761</v>
      </c>
      <c r="F607" s="455" t="str">
        <f t="shared" si="21"/>
        <v>V13B</v>
      </c>
      <c r="G607" t="str">
        <f t="shared" si="22"/>
        <v>V13B</v>
      </c>
    </row>
    <row r="608" spans="1:7">
      <c r="A608" s="381" t="s">
        <v>3773</v>
      </c>
      <c r="B608" s="455" t="s">
        <v>3785</v>
      </c>
      <c r="C608" s="455">
        <v>14</v>
      </c>
      <c r="D608" s="455" t="s">
        <v>3760</v>
      </c>
      <c r="F608" s="455" t="str">
        <f t="shared" si="21"/>
        <v>V14A</v>
      </c>
      <c r="G608" t="str">
        <f t="shared" si="22"/>
        <v>V14A</v>
      </c>
    </row>
    <row r="609" spans="1:7">
      <c r="A609" s="381" t="s">
        <v>3773</v>
      </c>
      <c r="B609" s="455" t="s">
        <v>3785</v>
      </c>
      <c r="C609" s="455">
        <v>14</v>
      </c>
      <c r="D609" s="455" t="s">
        <v>3761</v>
      </c>
      <c r="F609" s="455" t="str">
        <f t="shared" si="21"/>
        <v>V14B</v>
      </c>
      <c r="G609" t="str">
        <f t="shared" si="22"/>
        <v>V14B</v>
      </c>
    </row>
    <row r="610" spans="1:7">
      <c r="A610" s="381" t="s">
        <v>3773</v>
      </c>
      <c r="B610" s="455" t="s">
        <v>3785</v>
      </c>
      <c r="C610" s="455">
        <v>15</v>
      </c>
      <c r="D610" s="455" t="s">
        <v>3760</v>
      </c>
      <c r="F610" s="455" t="str">
        <f t="shared" si="21"/>
        <v>V15A</v>
      </c>
      <c r="G610" t="str">
        <f t="shared" si="22"/>
        <v>V15A</v>
      </c>
    </row>
    <row r="611" spans="1:7">
      <c r="A611" s="381" t="s">
        <v>3773</v>
      </c>
      <c r="B611" s="455" t="s">
        <v>3785</v>
      </c>
      <c r="C611" s="455">
        <v>15</v>
      </c>
      <c r="D611" s="455" t="s">
        <v>3761</v>
      </c>
      <c r="F611" s="455" t="str">
        <f t="shared" si="21"/>
        <v>V15B</v>
      </c>
      <c r="G611" t="str">
        <f t="shared" si="22"/>
        <v>V15B</v>
      </c>
    </row>
    <row r="612" spans="1:7">
      <c r="A612" s="381" t="s">
        <v>3773</v>
      </c>
      <c r="B612" s="455" t="s">
        <v>3785</v>
      </c>
      <c r="C612" s="455">
        <v>16</v>
      </c>
      <c r="D612" s="455" t="s">
        <v>3760</v>
      </c>
      <c r="F612" s="455" t="str">
        <f t="shared" si="21"/>
        <v>V16A</v>
      </c>
      <c r="G612" t="str">
        <f t="shared" si="22"/>
        <v>V16A</v>
      </c>
    </row>
    <row r="613" spans="1:7">
      <c r="A613" s="381" t="s">
        <v>3773</v>
      </c>
      <c r="B613" s="455" t="s">
        <v>3785</v>
      </c>
      <c r="C613" s="455">
        <v>16</v>
      </c>
      <c r="D613" s="455" t="s">
        <v>3761</v>
      </c>
      <c r="F613" s="455" t="str">
        <f t="shared" ref="F613:F661" si="23">B613&amp;C613&amp;D613</f>
        <v>V16B</v>
      </c>
      <c r="G613" t="str">
        <f t="shared" ref="G613:G661" si="24">F613</f>
        <v>V16B</v>
      </c>
    </row>
    <row r="614" spans="1:7">
      <c r="A614" s="381" t="s">
        <v>3773</v>
      </c>
      <c r="B614" s="455" t="s">
        <v>3785</v>
      </c>
      <c r="C614" s="455">
        <v>17</v>
      </c>
      <c r="D614" s="455" t="s">
        <v>3760</v>
      </c>
      <c r="F614" s="455" t="str">
        <f t="shared" si="23"/>
        <v>V17A</v>
      </c>
      <c r="G614" t="str">
        <f t="shared" si="24"/>
        <v>V17A</v>
      </c>
    </row>
    <row r="615" spans="1:7">
      <c r="A615" s="381" t="s">
        <v>3773</v>
      </c>
      <c r="B615" s="455" t="s">
        <v>3785</v>
      </c>
      <c r="C615" s="455">
        <v>17</v>
      </c>
      <c r="D615" s="455" t="s">
        <v>3761</v>
      </c>
      <c r="F615" s="455" t="str">
        <f t="shared" si="23"/>
        <v>V17B</v>
      </c>
      <c r="G615" t="str">
        <f t="shared" si="24"/>
        <v>V17B</v>
      </c>
    </row>
    <row r="616" spans="1:7">
      <c r="A616" s="381" t="s">
        <v>3773</v>
      </c>
      <c r="B616" s="455" t="s">
        <v>3785</v>
      </c>
      <c r="C616" s="455">
        <v>18</v>
      </c>
      <c r="D616" s="455" t="s">
        <v>3760</v>
      </c>
      <c r="F616" s="455" t="str">
        <f t="shared" si="23"/>
        <v>V18A</v>
      </c>
      <c r="G616" t="str">
        <f t="shared" si="24"/>
        <v>V18A</v>
      </c>
    </row>
    <row r="617" spans="1:7">
      <c r="A617" s="381" t="s">
        <v>3773</v>
      </c>
      <c r="B617" s="455" t="s">
        <v>3785</v>
      </c>
      <c r="C617" s="455">
        <v>18</v>
      </c>
      <c r="D617" s="455" t="s">
        <v>3761</v>
      </c>
      <c r="F617" s="455" t="str">
        <f t="shared" si="23"/>
        <v>V18B</v>
      </c>
      <c r="G617" t="str">
        <f t="shared" si="24"/>
        <v>V18B</v>
      </c>
    </row>
    <row r="618" spans="1:7">
      <c r="A618" s="381" t="s">
        <v>3773</v>
      </c>
      <c r="B618" s="455" t="s">
        <v>3785</v>
      </c>
      <c r="C618" s="455">
        <v>19</v>
      </c>
      <c r="D618" s="455" t="s">
        <v>3760</v>
      </c>
      <c r="F618" s="455" t="str">
        <f t="shared" si="23"/>
        <v>V19A</v>
      </c>
      <c r="G618" t="str">
        <f t="shared" si="24"/>
        <v>V19A</v>
      </c>
    </row>
    <row r="619" spans="1:7">
      <c r="A619" s="381" t="s">
        <v>3773</v>
      </c>
      <c r="B619" s="455" t="s">
        <v>3785</v>
      </c>
      <c r="C619" s="455">
        <v>19</v>
      </c>
      <c r="D619" s="455" t="s">
        <v>3761</v>
      </c>
      <c r="F619" s="455" t="str">
        <f t="shared" si="23"/>
        <v>V19B</v>
      </c>
      <c r="G619" t="str">
        <f t="shared" si="24"/>
        <v>V19B</v>
      </c>
    </row>
    <row r="620" spans="1:7">
      <c r="A620" s="381" t="s">
        <v>3773</v>
      </c>
      <c r="B620" s="455" t="s">
        <v>3785</v>
      </c>
      <c r="C620" s="455">
        <v>20</v>
      </c>
      <c r="D620" s="455" t="s">
        <v>3760</v>
      </c>
      <c r="F620" s="455" t="str">
        <f t="shared" si="23"/>
        <v>V20A</v>
      </c>
      <c r="G620" t="str">
        <f t="shared" si="24"/>
        <v>V20A</v>
      </c>
    </row>
    <row r="621" spans="1:7">
      <c r="A621" s="381" t="s">
        <v>3773</v>
      </c>
      <c r="B621" s="455" t="s">
        <v>3785</v>
      </c>
      <c r="C621" s="455">
        <v>20</v>
      </c>
      <c r="D621" s="455" t="s">
        <v>3761</v>
      </c>
      <c r="F621" s="455" t="str">
        <f t="shared" si="23"/>
        <v>V20B</v>
      </c>
      <c r="G621" t="str">
        <f t="shared" si="24"/>
        <v>V20B</v>
      </c>
    </row>
    <row r="622" spans="1:7">
      <c r="A622" s="381" t="s">
        <v>3773</v>
      </c>
      <c r="B622" s="455" t="s">
        <v>3786</v>
      </c>
      <c r="C622" s="455">
        <v>1</v>
      </c>
      <c r="D622" s="455" t="s">
        <v>3760</v>
      </c>
      <c r="F622" s="455" t="str">
        <f t="shared" si="23"/>
        <v>W1A</v>
      </c>
      <c r="G622" t="str">
        <f t="shared" si="24"/>
        <v>W1A</v>
      </c>
    </row>
    <row r="623" spans="1:7">
      <c r="A623" s="381" t="s">
        <v>3773</v>
      </c>
      <c r="B623" s="455" t="s">
        <v>3786</v>
      </c>
      <c r="C623" s="455">
        <v>1</v>
      </c>
      <c r="D623" s="455" t="s">
        <v>3761</v>
      </c>
      <c r="F623" s="455" t="str">
        <f t="shared" si="23"/>
        <v>W1B</v>
      </c>
      <c r="G623" t="str">
        <f t="shared" si="24"/>
        <v>W1B</v>
      </c>
    </row>
    <row r="624" spans="1:7">
      <c r="A624" s="381" t="s">
        <v>3773</v>
      </c>
      <c r="B624" s="455" t="s">
        <v>3786</v>
      </c>
      <c r="C624" s="455">
        <v>2</v>
      </c>
      <c r="D624" s="455" t="s">
        <v>3760</v>
      </c>
      <c r="F624" s="455" t="str">
        <f t="shared" si="23"/>
        <v>W2A</v>
      </c>
      <c r="G624" t="str">
        <f t="shared" si="24"/>
        <v>W2A</v>
      </c>
    </row>
    <row r="625" spans="1:7">
      <c r="A625" s="381" t="s">
        <v>3773</v>
      </c>
      <c r="B625" s="455" t="s">
        <v>3786</v>
      </c>
      <c r="C625" s="455">
        <v>2</v>
      </c>
      <c r="D625" s="455" t="s">
        <v>3761</v>
      </c>
      <c r="F625" s="455" t="str">
        <f t="shared" si="23"/>
        <v>W2B</v>
      </c>
      <c r="G625" t="str">
        <f t="shared" si="24"/>
        <v>W2B</v>
      </c>
    </row>
    <row r="626" spans="1:7">
      <c r="A626" s="381" t="s">
        <v>3773</v>
      </c>
      <c r="B626" s="455" t="s">
        <v>3786</v>
      </c>
      <c r="C626" s="455">
        <v>3</v>
      </c>
      <c r="D626" s="455" t="s">
        <v>3760</v>
      </c>
      <c r="F626" s="455" t="str">
        <f t="shared" si="23"/>
        <v>W3A</v>
      </c>
      <c r="G626" t="str">
        <f t="shared" si="24"/>
        <v>W3A</v>
      </c>
    </row>
    <row r="627" spans="1:7">
      <c r="A627" s="381" t="s">
        <v>3773</v>
      </c>
      <c r="B627" s="455" t="s">
        <v>3786</v>
      </c>
      <c r="C627" s="455">
        <v>3</v>
      </c>
      <c r="D627" s="455" t="s">
        <v>3761</v>
      </c>
      <c r="F627" s="455" t="str">
        <f t="shared" si="23"/>
        <v>W3B</v>
      </c>
      <c r="G627" t="str">
        <f t="shared" si="24"/>
        <v>W3B</v>
      </c>
    </row>
    <row r="628" spans="1:7">
      <c r="A628" s="381" t="s">
        <v>3773</v>
      </c>
      <c r="B628" s="455" t="s">
        <v>3786</v>
      </c>
      <c r="C628" s="455">
        <v>4</v>
      </c>
      <c r="D628" s="455" t="s">
        <v>3760</v>
      </c>
      <c r="F628" s="455" t="str">
        <f t="shared" si="23"/>
        <v>W4A</v>
      </c>
      <c r="G628" t="str">
        <f t="shared" si="24"/>
        <v>W4A</v>
      </c>
    </row>
    <row r="629" spans="1:7">
      <c r="A629" s="381" t="s">
        <v>3773</v>
      </c>
      <c r="B629" s="455" t="s">
        <v>3786</v>
      </c>
      <c r="C629" s="455">
        <v>4</v>
      </c>
      <c r="D629" s="455" t="s">
        <v>3761</v>
      </c>
      <c r="F629" s="455" t="str">
        <f t="shared" si="23"/>
        <v>W4B</v>
      </c>
      <c r="G629" t="str">
        <f t="shared" si="24"/>
        <v>W4B</v>
      </c>
    </row>
    <row r="630" spans="1:7">
      <c r="A630" s="381" t="s">
        <v>3773</v>
      </c>
      <c r="B630" s="455" t="s">
        <v>3786</v>
      </c>
      <c r="C630" s="455">
        <v>5</v>
      </c>
      <c r="D630" s="455" t="s">
        <v>3760</v>
      </c>
      <c r="F630" s="455" t="str">
        <f t="shared" si="23"/>
        <v>W5A</v>
      </c>
      <c r="G630" t="str">
        <f t="shared" si="24"/>
        <v>W5A</v>
      </c>
    </row>
    <row r="631" spans="1:7">
      <c r="A631" s="381" t="s">
        <v>3773</v>
      </c>
      <c r="B631" s="455" t="s">
        <v>3786</v>
      </c>
      <c r="C631" s="455">
        <v>5</v>
      </c>
      <c r="D631" s="455" t="s">
        <v>3761</v>
      </c>
      <c r="F631" s="455" t="str">
        <f t="shared" si="23"/>
        <v>W5B</v>
      </c>
      <c r="G631" t="str">
        <f t="shared" si="24"/>
        <v>W5B</v>
      </c>
    </row>
    <row r="632" spans="1:7">
      <c r="A632" s="381" t="s">
        <v>3773</v>
      </c>
      <c r="B632" s="455" t="s">
        <v>3786</v>
      </c>
      <c r="C632" s="455">
        <v>6</v>
      </c>
      <c r="D632" s="455" t="s">
        <v>3760</v>
      </c>
      <c r="F632" s="455" t="str">
        <f t="shared" si="23"/>
        <v>W6A</v>
      </c>
      <c r="G632" t="str">
        <f t="shared" si="24"/>
        <v>W6A</v>
      </c>
    </row>
    <row r="633" spans="1:7">
      <c r="A633" s="381" t="s">
        <v>3773</v>
      </c>
      <c r="B633" s="455" t="s">
        <v>3786</v>
      </c>
      <c r="C633" s="455">
        <v>6</v>
      </c>
      <c r="D633" s="455" t="s">
        <v>3761</v>
      </c>
      <c r="F633" s="455" t="str">
        <f t="shared" si="23"/>
        <v>W6B</v>
      </c>
      <c r="G633" t="str">
        <f t="shared" si="24"/>
        <v>W6B</v>
      </c>
    </row>
    <row r="634" spans="1:7">
      <c r="A634" s="381" t="s">
        <v>3773</v>
      </c>
      <c r="B634" s="455" t="s">
        <v>3786</v>
      </c>
      <c r="C634" s="455">
        <v>7</v>
      </c>
      <c r="D634" s="455" t="s">
        <v>3760</v>
      </c>
      <c r="F634" s="455" t="str">
        <f t="shared" si="23"/>
        <v>W7A</v>
      </c>
      <c r="G634" t="str">
        <f t="shared" si="24"/>
        <v>W7A</v>
      </c>
    </row>
    <row r="635" spans="1:7">
      <c r="A635" s="381" t="s">
        <v>3773</v>
      </c>
      <c r="B635" s="455" t="s">
        <v>3786</v>
      </c>
      <c r="C635" s="455">
        <v>7</v>
      </c>
      <c r="D635" s="455" t="s">
        <v>3761</v>
      </c>
      <c r="F635" s="455" t="str">
        <f t="shared" si="23"/>
        <v>W7B</v>
      </c>
      <c r="G635" t="str">
        <f t="shared" si="24"/>
        <v>W7B</v>
      </c>
    </row>
    <row r="636" spans="1:7">
      <c r="A636" s="381" t="s">
        <v>3773</v>
      </c>
      <c r="B636" s="455" t="s">
        <v>3786</v>
      </c>
      <c r="C636" s="455">
        <v>8</v>
      </c>
      <c r="D636" s="455" t="s">
        <v>3760</v>
      </c>
      <c r="F636" s="455" t="str">
        <f t="shared" si="23"/>
        <v>W8A</v>
      </c>
      <c r="G636" t="str">
        <f t="shared" si="24"/>
        <v>W8A</v>
      </c>
    </row>
    <row r="637" spans="1:7">
      <c r="A637" s="381" t="s">
        <v>3773</v>
      </c>
      <c r="B637" s="455" t="s">
        <v>3786</v>
      </c>
      <c r="C637" s="455">
        <v>8</v>
      </c>
      <c r="D637" s="455" t="s">
        <v>3761</v>
      </c>
      <c r="F637" s="455" t="str">
        <f t="shared" si="23"/>
        <v>W8B</v>
      </c>
      <c r="G637" t="str">
        <f t="shared" si="24"/>
        <v>W8B</v>
      </c>
    </row>
    <row r="638" spans="1:7">
      <c r="A638" s="381" t="s">
        <v>3773</v>
      </c>
      <c r="B638" s="455" t="s">
        <v>3786</v>
      </c>
      <c r="C638" s="455">
        <v>9</v>
      </c>
      <c r="D638" s="455" t="s">
        <v>3760</v>
      </c>
      <c r="F638" s="455" t="str">
        <f t="shared" si="23"/>
        <v>W9A</v>
      </c>
      <c r="G638" t="str">
        <f t="shared" si="24"/>
        <v>W9A</v>
      </c>
    </row>
    <row r="639" spans="1:7">
      <c r="A639" s="381" t="s">
        <v>3773</v>
      </c>
      <c r="B639" s="455" t="s">
        <v>3786</v>
      </c>
      <c r="C639" s="455">
        <v>9</v>
      </c>
      <c r="D639" s="455" t="s">
        <v>3761</v>
      </c>
      <c r="F639" s="455" t="str">
        <f t="shared" si="23"/>
        <v>W9B</v>
      </c>
      <c r="G639" t="str">
        <f t="shared" si="24"/>
        <v>W9B</v>
      </c>
    </row>
    <row r="640" spans="1:7">
      <c r="A640" s="381" t="s">
        <v>3773</v>
      </c>
      <c r="B640" s="455" t="s">
        <v>3786</v>
      </c>
      <c r="C640" s="455">
        <v>10</v>
      </c>
      <c r="D640" s="455" t="s">
        <v>3760</v>
      </c>
      <c r="F640" s="455" t="str">
        <f t="shared" si="23"/>
        <v>W10A</v>
      </c>
      <c r="G640" t="str">
        <f t="shared" si="24"/>
        <v>W10A</v>
      </c>
    </row>
    <row r="641" spans="1:7">
      <c r="A641" s="381" t="s">
        <v>3773</v>
      </c>
      <c r="B641" s="455" t="s">
        <v>3786</v>
      </c>
      <c r="C641" s="455">
        <v>10</v>
      </c>
      <c r="D641" s="455" t="s">
        <v>3761</v>
      </c>
      <c r="F641" s="455" t="str">
        <f t="shared" si="23"/>
        <v>W10B</v>
      </c>
      <c r="G641" t="str">
        <f t="shared" si="24"/>
        <v>W10B</v>
      </c>
    </row>
    <row r="642" spans="1:7">
      <c r="A642" s="381" t="s">
        <v>3773</v>
      </c>
      <c r="B642" s="455" t="s">
        <v>3786</v>
      </c>
      <c r="C642" s="455">
        <v>11</v>
      </c>
      <c r="D642" s="455" t="s">
        <v>3760</v>
      </c>
      <c r="F642" s="455" t="str">
        <f t="shared" si="23"/>
        <v>W11A</v>
      </c>
      <c r="G642" t="str">
        <f t="shared" si="24"/>
        <v>W11A</v>
      </c>
    </row>
    <row r="643" spans="1:7">
      <c r="A643" s="381" t="s">
        <v>3773</v>
      </c>
      <c r="B643" s="455" t="s">
        <v>3786</v>
      </c>
      <c r="C643" s="455">
        <v>11</v>
      </c>
      <c r="D643" s="455" t="s">
        <v>3761</v>
      </c>
      <c r="F643" s="455" t="str">
        <f t="shared" si="23"/>
        <v>W11B</v>
      </c>
      <c r="G643" t="str">
        <f t="shared" si="24"/>
        <v>W11B</v>
      </c>
    </row>
    <row r="644" spans="1:7">
      <c r="A644" s="381" t="s">
        <v>3773</v>
      </c>
      <c r="B644" s="455" t="s">
        <v>3786</v>
      </c>
      <c r="C644" s="455">
        <v>12</v>
      </c>
      <c r="D644" s="455" t="s">
        <v>3760</v>
      </c>
      <c r="F644" s="455" t="str">
        <f t="shared" si="23"/>
        <v>W12A</v>
      </c>
      <c r="G644" t="str">
        <f t="shared" si="24"/>
        <v>W12A</v>
      </c>
    </row>
    <row r="645" spans="1:7">
      <c r="A645" s="381" t="s">
        <v>3773</v>
      </c>
      <c r="B645" s="455" t="s">
        <v>3786</v>
      </c>
      <c r="C645" s="455">
        <v>12</v>
      </c>
      <c r="D645" s="455" t="s">
        <v>3761</v>
      </c>
      <c r="F645" s="455" t="str">
        <f t="shared" si="23"/>
        <v>W12B</v>
      </c>
      <c r="G645" t="str">
        <f t="shared" si="24"/>
        <v>W12B</v>
      </c>
    </row>
    <row r="646" spans="1:7">
      <c r="A646" s="381" t="s">
        <v>3773</v>
      </c>
      <c r="B646" s="455" t="s">
        <v>3786</v>
      </c>
      <c r="C646" s="455">
        <v>13</v>
      </c>
      <c r="D646" s="455" t="s">
        <v>3760</v>
      </c>
      <c r="F646" s="455" t="str">
        <f t="shared" si="23"/>
        <v>W13A</v>
      </c>
      <c r="G646" t="str">
        <f t="shared" si="24"/>
        <v>W13A</v>
      </c>
    </row>
    <row r="647" spans="1:7">
      <c r="A647" s="381" t="s">
        <v>3773</v>
      </c>
      <c r="B647" s="455" t="s">
        <v>3786</v>
      </c>
      <c r="C647" s="455">
        <v>13</v>
      </c>
      <c r="D647" s="455" t="s">
        <v>3761</v>
      </c>
      <c r="F647" s="455" t="str">
        <f t="shared" si="23"/>
        <v>W13B</v>
      </c>
      <c r="G647" t="str">
        <f t="shared" si="24"/>
        <v>W13B</v>
      </c>
    </row>
    <row r="648" spans="1:7">
      <c r="A648" s="381" t="s">
        <v>3773</v>
      </c>
      <c r="B648" s="455" t="s">
        <v>3786</v>
      </c>
      <c r="C648" s="455">
        <v>14</v>
      </c>
      <c r="D648" s="455" t="s">
        <v>3760</v>
      </c>
      <c r="F648" s="455" t="str">
        <f t="shared" si="23"/>
        <v>W14A</v>
      </c>
      <c r="G648" t="str">
        <f t="shared" si="24"/>
        <v>W14A</v>
      </c>
    </row>
    <row r="649" spans="1:7">
      <c r="A649" s="381" t="s">
        <v>3773</v>
      </c>
      <c r="B649" s="455" t="s">
        <v>3786</v>
      </c>
      <c r="C649" s="455">
        <v>14</v>
      </c>
      <c r="D649" s="455" t="s">
        <v>3761</v>
      </c>
      <c r="F649" s="455" t="str">
        <f t="shared" si="23"/>
        <v>W14B</v>
      </c>
      <c r="G649" t="str">
        <f t="shared" si="24"/>
        <v>W14B</v>
      </c>
    </row>
    <row r="650" spans="1:7">
      <c r="A650" s="381" t="s">
        <v>3773</v>
      </c>
      <c r="B650" s="455" t="s">
        <v>3786</v>
      </c>
      <c r="C650" s="455">
        <v>15</v>
      </c>
      <c r="D650" s="455" t="s">
        <v>3760</v>
      </c>
      <c r="F650" s="455" t="str">
        <f t="shared" si="23"/>
        <v>W15A</v>
      </c>
      <c r="G650" t="str">
        <f t="shared" si="24"/>
        <v>W15A</v>
      </c>
    </row>
    <row r="651" spans="1:7">
      <c r="A651" s="381" t="s">
        <v>3773</v>
      </c>
      <c r="B651" s="455" t="s">
        <v>3786</v>
      </c>
      <c r="C651" s="455">
        <v>15</v>
      </c>
      <c r="D651" s="455" t="s">
        <v>3761</v>
      </c>
      <c r="F651" s="455" t="str">
        <f t="shared" si="23"/>
        <v>W15B</v>
      </c>
      <c r="G651" t="str">
        <f t="shared" si="24"/>
        <v>W15B</v>
      </c>
    </row>
    <row r="652" spans="1:7">
      <c r="A652" s="381" t="s">
        <v>3773</v>
      </c>
      <c r="B652" s="455" t="s">
        <v>3786</v>
      </c>
      <c r="C652" s="455">
        <v>16</v>
      </c>
      <c r="D652" s="455" t="s">
        <v>3760</v>
      </c>
      <c r="F652" s="455" t="str">
        <f t="shared" si="23"/>
        <v>W16A</v>
      </c>
      <c r="G652" t="str">
        <f t="shared" si="24"/>
        <v>W16A</v>
      </c>
    </row>
    <row r="653" spans="1:7">
      <c r="A653" s="381" t="s">
        <v>3773</v>
      </c>
      <c r="B653" s="455" t="s">
        <v>3786</v>
      </c>
      <c r="C653" s="455">
        <v>16</v>
      </c>
      <c r="D653" s="455" t="s">
        <v>3761</v>
      </c>
      <c r="F653" s="455" t="str">
        <f t="shared" si="23"/>
        <v>W16B</v>
      </c>
      <c r="G653" t="str">
        <f t="shared" si="24"/>
        <v>W16B</v>
      </c>
    </row>
    <row r="654" spans="1:7">
      <c r="A654" s="381" t="s">
        <v>3773</v>
      </c>
      <c r="B654" s="455" t="s">
        <v>3786</v>
      </c>
      <c r="C654" s="455">
        <v>17</v>
      </c>
      <c r="D654" s="455" t="s">
        <v>3760</v>
      </c>
      <c r="F654" s="455" t="str">
        <f t="shared" si="23"/>
        <v>W17A</v>
      </c>
      <c r="G654" t="str">
        <f t="shared" si="24"/>
        <v>W17A</v>
      </c>
    </row>
    <row r="655" spans="1:7">
      <c r="A655" s="381" t="s">
        <v>3773</v>
      </c>
      <c r="B655" s="455" t="s">
        <v>3786</v>
      </c>
      <c r="C655" s="455">
        <v>17</v>
      </c>
      <c r="D655" s="455" t="s">
        <v>3761</v>
      </c>
      <c r="F655" s="455" t="str">
        <f t="shared" si="23"/>
        <v>W17B</v>
      </c>
      <c r="G655" t="str">
        <f t="shared" si="24"/>
        <v>W17B</v>
      </c>
    </row>
    <row r="656" spans="1:7">
      <c r="A656" s="381" t="s">
        <v>3773</v>
      </c>
      <c r="B656" s="455" t="s">
        <v>3786</v>
      </c>
      <c r="C656" s="455">
        <v>18</v>
      </c>
      <c r="D656" s="455" t="s">
        <v>3760</v>
      </c>
      <c r="F656" s="455" t="str">
        <f t="shared" si="23"/>
        <v>W18A</v>
      </c>
      <c r="G656" t="str">
        <f t="shared" si="24"/>
        <v>W18A</v>
      </c>
    </row>
    <row r="657" spans="1:7">
      <c r="A657" s="381" t="s">
        <v>3773</v>
      </c>
      <c r="B657" s="455" t="s">
        <v>3786</v>
      </c>
      <c r="C657" s="455">
        <v>18</v>
      </c>
      <c r="D657" s="455" t="s">
        <v>3761</v>
      </c>
      <c r="F657" s="455" t="str">
        <f t="shared" si="23"/>
        <v>W18B</v>
      </c>
      <c r="G657" t="str">
        <f t="shared" si="24"/>
        <v>W18B</v>
      </c>
    </row>
    <row r="658" spans="1:7">
      <c r="A658" s="381" t="s">
        <v>3773</v>
      </c>
      <c r="B658" s="455" t="s">
        <v>3786</v>
      </c>
      <c r="C658" s="455">
        <v>19</v>
      </c>
      <c r="D658" s="455" t="s">
        <v>3760</v>
      </c>
      <c r="F658" s="455" t="str">
        <f t="shared" si="23"/>
        <v>W19A</v>
      </c>
      <c r="G658" t="str">
        <f t="shared" si="24"/>
        <v>W19A</v>
      </c>
    </row>
    <row r="659" spans="1:7">
      <c r="A659" s="381" t="s">
        <v>3773</v>
      </c>
      <c r="B659" s="455" t="s">
        <v>3786</v>
      </c>
      <c r="C659" s="455">
        <v>19</v>
      </c>
      <c r="D659" s="455" t="s">
        <v>3761</v>
      </c>
      <c r="F659" s="455" t="str">
        <f t="shared" si="23"/>
        <v>W19B</v>
      </c>
      <c r="G659" t="str">
        <f t="shared" si="24"/>
        <v>W19B</v>
      </c>
    </row>
    <row r="660" spans="1:7">
      <c r="A660" s="381" t="s">
        <v>3773</v>
      </c>
      <c r="B660" s="455" t="s">
        <v>3786</v>
      </c>
      <c r="C660" s="455">
        <v>20</v>
      </c>
      <c r="D660" s="455" t="s">
        <v>3760</v>
      </c>
      <c r="F660" s="455" t="str">
        <f t="shared" si="23"/>
        <v>W20A</v>
      </c>
      <c r="G660" t="str">
        <f t="shared" si="24"/>
        <v>W20A</v>
      </c>
    </row>
    <row r="661" spans="1:7">
      <c r="A661" s="381" t="s">
        <v>3773</v>
      </c>
      <c r="B661" s="455" t="s">
        <v>3786</v>
      </c>
      <c r="C661" s="455">
        <v>20</v>
      </c>
      <c r="D661" s="455" t="s">
        <v>3761</v>
      </c>
      <c r="F661" s="455" t="str">
        <f t="shared" si="23"/>
        <v>W20B</v>
      </c>
      <c r="G661" t="str">
        <f t="shared" si="24"/>
        <v>W20B</v>
      </c>
    </row>
  </sheetData>
  <phoneticPr fontId="3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382E-3FAD-4E16-93ED-CC86B1D16675}">
  <dimension ref="A1:F6"/>
  <sheetViews>
    <sheetView workbookViewId="0">
      <selection activeCell="B5" sqref="B5"/>
    </sheetView>
  </sheetViews>
  <sheetFormatPr defaultRowHeight="14.4"/>
  <cols>
    <col min="2" max="2" width="14.109375" customWidth="1"/>
    <col min="4" max="4" width="5.44140625" customWidth="1"/>
    <col min="5" max="5" width="6.44140625" customWidth="1"/>
    <col min="6" max="6" width="10.6640625" customWidth="1"/>
  </cols>
  <sheetData>
    <row r="1" spans="1:6">
      <c r="F1" t="s">
        <v>3754</v>
      </c>
    </row>
    <row r="2" spans="1:6" ht="18">
      <c r="A2" s="377" t="s">
        <v>254</v>
      </c>
      <c r="B2" s="378">
        <v>6000034734</v>
      </c>
      <c r="C2" s="192" t="s">
        <v>255</v>
      </c>
      <c r="D2" s="1" t="s">
        <v>243</v>
      </c>
      <c r="E2" s="1">
        <v>10</v>
      </c>
      <c r="F2" s="380" t="s">
        <v>3755</v>
      </c>
    </row>
    <row r="3" spans="1:6">
      <c r="A3" s="1"/>
      <c r="B3" s="1"/>
      <c r="C3" s="1"/>
      <c r="D3" s="1" t="s">
        <v>46</v>
      </c>
      <c r="E3" s="1">
        <v>13</v>
      </c>
      <c r="F3" s="1" t="s">
        <v>3756</v>
      </c>
    </row>
    <row r="4" spans="1:6">
      <c r="A4" s="1"/>
      <c r="B4" s="1"/>
      <c r="C4" s="1"/>
      <c r="D4" s="1" t="s">
        <v>37</v>
      </c>
      <c r="E4" s="1">
        <v>16</v>
      </c>
      <c r="F4" s="1" t="s">
        <v>3753</v>
      </c>
    </row>
    <row r="5" spans="1:6" ht="22.5" customHeight="1">
      <c r="A5" s="377" t="s">
        <v>254</v>
      </c>
      <c r="B5" s="378">
        <v>6000034736</v>
      </c>
      <c r="C5" s="379" t="s">
        <v>3751</v>
      </c>
      <c r="D5" s="1" t="s">
        <v>46</v>
      </c>
      <c r="E5" s="1">
        <v>240</v>
      </c>
      <c r="F5" s="1" t="s">
        <v>3757</v>
      </c>
    </row>
    <row r="6" spans="1:6">
      <c r="A6" s="1"/>
      <c r="B6" s="1"/>
      <c r="C6" s="1"/>
      <c r="D6" s="1" t="s">
        <v>37</v>
      </c>
      <c r="E6" s="1">
        <v>85</v>
      </c>
      <c r="F6" s="1" t="s">
        <v>3758</v>
      </c>
    </row>
  </sheetData>
  <phoneticPr fontId="5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7A2D-0B15-4AFB-A8B0-AB3228D79290}">
  <dimension ref="A1:F54"/>
  <sheetViews>
    <sheetView view="pageBreakPreview" zoomScale="60" zoomScaleNormal="100" workbookViewId="0">
      <selection activeCell="B4" sqref="B4"/>
    </sheetView>
  </sheetViews>
  <sheetFormatPr defaultRowHeight="14.4"/>
  <cols>
    <col min="1" max="1" width="13.44140625" customWidth="1"/>
    <col min="2" max="2" width="15.6640625" customWidth="1"/>
    <col min="3" max="3" width="11.109375" customWidth="1"/>
    <col min="4" max="4" width="11.44140625" customWidth="1"/>
  </cols>
  <sheetData>
    <row r="1" spans="1:6">
      <c r="A1" s="1" t="s">
        <v>3702</v>
      </c>
      <c r="B1" s="1"/>
      <c r="C1" s="1"/>
      <c r="D1" s="1"/>
      <c r="E1" s="1"/>
      <c r="F1" s="1"/>
    </row>
    <row r="2" spans="1:6">
      <c r="A2" s="1" t="s">
        <v>3703</v>
      </c>
      <c r="B2" s="1"/>
      <c r="C2" s="1"/>
      <c r="D2" s="1"/>
      <c r="E2" s="1"/>
      <c r="F2" s="1"/>
    </row>
    <row r="3" spans="1:6">
      <c r="A3" s="1" t="s">
        <v>720</v>
      </c>
      <c r="B3" s="1">
        <v>2000001421</v>
      </c>
      <c r="C3" s="1" t="s">
        <v>1781</v>
      </c>
      <c r="D3" s="1" t="s">
        <v>3704</v>
      </c>
      <c r="E3" s="1"/>
      <c r="F3" s="1"/>
    </row>
    <row r="4" spans="1:6">
      <c r="A4" s="1" t="s">
        <v>240</v>
      </c>
      <c r="B4" s="1">
        <v>6000032528</v>
      </c>
      <c r="C4" s="1" t="s">
        <v>581</v>
      </c>
      <c r="D4" s="1" t="s">
        <v>3705</v>
      </c>
      <c r="E4" s="1"/>
      <c r="F4" s="1"/>
    </row>
    <row r="5" spans="1:6">
      <c r="A5" s="1" t="s">
        <v>1610</v>
      </c>
      <c r="B5" s="1">
        <v>6000032582</v>
      </c>
      <c r="C5" s="1" t="s">
        <v>1752</v>
      </c>
      <c r="D5" s="1" t="s">
        <v>3706</v>
      </c>
      <c r="E5" s="1"/>
      <c r="F5" s="1"/>
    </row>
    <row r="6" spans="1:6">
      <c r="A6" s="1" t="s">
        <v>1610</v>
      </c>
      <c r="B6" s="1">
        <v>6000032582</v>
      </c>
      <c r="C6" s="1" t="s">
        <v>1752</v>
      </c>
      <c r="D6" s="1" t="s">
        <v>3707</v>
      </c>
      <c r="E6" s="1"/>
      <c r="F6" s="1"/>
    </row>
    <row r="7" spans="1:6">
      <c r="A7" s="1" t="s">
        <v>3708</v>
      </c>
      <c r="B7" s="1">
        <v>6000032314</v>
      </c>
      <c r="C7" s="1" t="s">
        <v>1550</v>
      </c>
      <c r="D7" s="1" t="s">
        <v>3709</v>
      </c>
      <c r="E7" s="1"/>
      <c r="F7" s="1"/>
    </row>
    <row r="8" spans="1:6">
      <c r="A8" s="1" t="s">
        <v>3708</v>
      </c>
      <c r="B8" s="1">
        <v>6000032314</v>
      </c>
      <c r="C8" s="1" t="s">
        <v>1550</v>
      </c>
      <c r="D8" s="1" t="s">
        <v>3710</v>
      </c>
      <c r="E8" s="1"/>
      <c r="F8" s="1"/>
    </row>
    <row r="9" spans="1:6">
      <c r="A9" s="1"/>
      <c r="B9" s="1" t="s">
        <v>3711</v>
      </c>
      <c r="C9" s="1"/>
      <c r="D9" s="1"/>
      <c r="E9" s="1"/>
      <c r="F9" s="1"/>
    </row>
    <row r="10" spans="1:6">
      <c r="A10" s="1" t="s">
        <v>715</v>
      </c>
      <c r="B10" s="1">
        <v>6000030600</v>
      </c>
      <c r="C10" s="1" t="s">
        <v>716</v>
      </c>
      <c r="D10" s="1" t="s">
        <v>3712</v>
      </c>
      <c r="E10" s="1"/>
      <c r="F10" s="1"/>
    </row>
    <row r="11" spans="1:6">
      <c r="A11" s="1" t="s">
        <v>715</v>
      </c>
      <c r="B11" s="1">
        <v>6000030600</v>
      </c>
      <c r="C11" s="1" t="s">
        <v>716</v>
      </c>
      <c r="D11" s="1" t="s">
        <v>3713</v>
      </c>
      <c r="E11" s="1"/>
      <c r="F11" s="1"/>
    </row>
    <row r="12" spans="1:6">
      <c r="A12" s="1" t="s">
        <v>3714</v>
      </c>
      <c r="B12" s="1">
        <v>6000032351</v>
      </c>
      <c r="C12" s="1" t="s">
        <v>1778</v>
      </c>
      <c r="D12" s="1" t="s">
        <v>3715</v>
      </c>
      <c r="E12" s="1"/>
      <c r="F12" s="1"/>
    </row>
    <row r="13" spans="1:6">
      <c r="A13" s="1" t="s">
        <v>3714</v>
      </c>
      <c r="B13" s="1">
        <v>6000032351</v>
      </c>
      <c r="C13" s="1" t="s">
        <v>1778</v>
      </c>
      <c r="D13" s="1" t="s">
        <v>3716</v>
      </c>
      <c r="E13" s="1"/>
      <c r="F13" s="1"/>
    </row>
    <row r="14" spans="1:6">
      <c r="A14" s="1" t="s">
        <v>707</v>
      </c>
      <c r="B14" s="1">
        <v>2000001439</v>
      </c>
      <c r="C14" s="1" t="s">
        <v>3701</v>
      </c>
      <c r="D14" s="1" t="s">
        <v>3717</v>
      </c>
      <c r="E14" s="1"/>
      <c r="F14" s="1"/>
    </row>
    <row r="15" spans="1:6">
      <c r="A15" s="1" t="s">
        <v>707</v>
      </c>
      <c r="B15" s="1">
        <v>2000001439</v>
      </c>
      <c r="C15" s="1" t="s">
        <v>3701</v>
      </c>
      <c r="D15" s="1" t="s">
        <v>3715</v>
      </c>
      <c r="E15" s="1"/>
      <c r="F15" s="1"/>
    </row>
    <row r="16" spans="1:6">
      <c r="A16" s="1" t="s">
        <v>279</v>
      </c>
      <c r="B16" s="1">
        <v>6000032381</v>
      </c>
      <c r="C16" s="1" t="s">
        <v>414</v>
      </c>
      <c r="D16" s="1" t="s">
        <v>3718</v>
      </c>
      <c r="E16" s="1"/>
      <c r="F16" s="1"/>
    </row>
    <row r="17" spans="1:6">
      <c r="A17" s="1" t="s">
        <v>279</v>
      </c>
      <c r="B17" s="1">
        <v>6000032381</v>
      </c>
      <c r="C17" s="1" t="s">
        <v>414</v>
      </c>
      <c r="D17" s="1" t="s">
        <v>3719</v>
      </c>
      <c r="E17" s="1"/>
      <c r="F17" s="1"/>
    </row>
    <row r="18" spans="1:6">
      <c r="A18" s="1" t="s">
        <v>136</v>
      </c>
      <c r="B18" s="1">
        <v>6000032020</v>
      </c>
      <c r="C18" s="1" t="s">
        <v>137</v>
      </c>
      <c r="D18" s="1" t="s">
        <v>3720</v>
      </c>
      <c r="E18" s="1"/>
      <c r="F18" s="1"/>
    </row>
    <row r="19" spans="1:6">
      <c r="A19" s="1" t="s">
        <v>136</v>
      </c>
      <c r="B19" s="1">
        <v>6000032020</v>
      </c>
      <c r="C19" s="1" t="s">
        <v>3157</v>
      </c>
      <c r="D19" s="1" t="s">
        <v>3721</v>
      </c>
      <c r="E19" s="1"/>
      <c r="F19" s="1"/>
    </row>
    <row r="20" spans="1:6">
      <c r="A20" s="1" t="s">
        <v>240</v>
      </c>
      <c r="B20" s="1">
        <v>6000032527</v>
      </c>
      <c r="C20" s="1" t="s">
        <v>2052</v>
      </c>
      <c r="D20" s="1" t="s">
        <v>3722</v>
      </c>
      <c r="E20" s="1"/>
      <c r="F20" s="1"/>
    </row>
    <row r="21" spans="1:6">
      <c r="A21" s="1" t="s">
        <v>240</v>
      </c>
      <c r="B21" s="1">
        <v>6000032528</v>
      </c>
      <c r="C21" s="1" t="s">
        <v>581</v>
      </c>
      <c r="D21" s="1" t="s">
        <v>3722</v>
      </c>
      <c r="E21" s="1"/>
      <c r="F21" s="1"/>
    </row>
    <row r="22" spans="1:6">
      <c r="A22" s="1"/>
      <c r="B22" s="1" t="s">
        <v>3723</v>
      </c>
      <c r="C22" s="1"/>
      <c r="D22" s="1"/>
      <c r="E22" s="1"/>
      <c r="F22" s="1"/>
    </row>
    <row r="23" spans="1:6">
      <c r="A23" s="1" t="s">
        <v>707</v>
      </c>
      <c r="B23" s="1">
        <v>2000001439</v>
      </c>
      <c r="C23" s="1" t="s">
        <v>2480</v>
      </c>
      <c r="D23" s="1" t="s">
        <v>3724</v>
      </c>
      <c r="E23" s="1"/>
      <c r="F23" s="1"/>
    </row>
    <row r="24" spans="1:6">
      <c r="A24" s="1" t="s">
        <v>707</v>
      </c>
      <c r="B24" s="1">
        <v>2000001439</v>
      </c>
      <c r="C24" s="1" t="s">
        <v>2480</v>
      </c>
      <c r="D24" s="1" t="s">
        <v>3725</v>
      </c>
      <c r="E24" s="1"/>
      <c r="F24" s="1"/>
    </row>
    <row r="25" spans="1:6">
      <c r="A25" s="1" t="s">
        <v>707</v>
      </c>
      <c r="B25" s="1">
        <v>2000001439</v>
      </c>
      <c r="C25" s="1" t="s">
        <v>2480</v>
      </c>
      <c r="D25" s="1" t="s">
        <v>3726</v>
      </c>
      <c r="E25" s="1"/>
      <c r="F25" s="1"/>
    </row>
    <row r="26" spans="1:6">
      <c r="A26" s="1" t="s">
        <v>865</v>
      </c>
      <c r="B26" s="1">
        <v>6000032428</v>
      </c>
      <c r="C26" s="1" t="s">
        <v>866</v>
      </c>
      <c r="D26" s="1" t="s">
        <v>3727</v>
      </c>
      <c r="E26" s="1"/>
      <c r="F26" s="1"/>
    </row>
    <row r="27" spans="1:6">
      <c r="A27" s="1" t="s">
        <v>254</v>
      </c>
      <c r="B27" s="1">
        <v>6000032249</v>
      </c>
      <c r="C27" s="1" t="s">
        <v>255</v>
      </c>
      <c r="D27" s="1" t="s">
        <v>3728</v>
      </c>
      <c r="E27" s="1"/>
      <c r="F27" s="1"/>
    </row>
    <row r="28" spans="1:6">
      <c r="A28" s="1" t="s">
        <v>254</v>
      </c>
      <c r="B28" s="1">
        <v>6000032249</v>
      </c>
      <c r="C28" s="1" t="s">
        <v>255</v>
      </c>
      <c r="D28" s="1" t="s">
        <v>3709</v>
      </c>
      <c r="E28" s="1"/>
      <c r="F28" s="1"/>
    </row>
    <row r="29" spans="1:6">
      <c r="A29" s="1" t="s">
        <v>254</v>
      </c>
      <c r="B29" s="1">
        <v>6000032249</v>
      </c>
      <c r="C29" s="1" t="s">
        <v>255</v>
      </c>
      <c r="D29" s="1" t="s">
        <v>3729</v>
      </c>
      <c r="E29" s="1"/>
      <c r="F29" s="1"/>
    </row>
    <row r="30" spans="1:6">
      <c r="A30" s="1" t="s">
        <v>3730</v>
      </c>
      <c r="B30" s="1">
        <v>6000032468</v>
      </c>
      <c r="C30" s="1" t="s">
        <v>3694</v>
      </c>
      <c r="D30" s="1" t="s">
        <v>3731</v>
      </c>
      <c r="E30" s="1"/>
      <c r="F30" s="1"/>
    </row>
    <row r="31" spans="1:6">
      <c r="A31" s="1"/>
      <c r="B31" s="1" t="s">
        <v>3732</v>
      </c>
      <c r="C31" s="1"/>
      <c r="D31" s="1" t="s">
        <v>3733</v>
      </c>
      <c r="E31" s="1"/>
      <c r="F31" s="1"/>
    </row>
    <row r="32" spans="1:6">
      <c r="A32" s="1" t="s">
        <v>240</v>
      </c>
      <c r="B32" s="1">
        <v>6000032526</v>
      </c>
      <c r="C32" s="1" t="s">
        <v>2051</v>
      </c>
      <c r="D32" s="1" t="s">
        <v>3734</v>
      </c>
      <c r="E32" s="1"/>
      <c r="F32" s="1"/>
    </row>
    <row r="33" spans="1:6">
      <c r="A33" s="1" t="s">
        <v>240</v>
      </c>
      <c r="B33" s="1">
        <v>6000032526</v>
      </c>
      <c r="C33" s="1" t="s">
        <v>2051</v>
      </c>
      <c r="D33" s="1" t="s">
        <v>3735</v>
      </c>
      <c r="E33" s="1"/>
      <c r="F33" s="1"/>
    </row>
    <row r="34" spans="1:6">
      <c r="A34" s="1" t="s">
        <v>254</v>
      </c>
      <c r="B34" s="1">
        <v>6000032250</v>
      </c>
      <c r="C34" s="1" t="s">
        <v>830</v>
      </c>
      <c r="D34" s="1" t="s">
        <v>3736</v>
      </c>
      <c r="E34" s="1"/>
      <c r="F34" s="1"/>
    </row>
    <row r="35" spans="1:6">
      <c r="A35" s="1" t="s">
        <v>254</v>
      </c>
      <c r="B35" s="1">
        <v>6000032250</v>
      </c>
      <c r="C35" s="1" t="s">
        <v>830</v>
      </c>
      <c r="D35" s="1" t="s">
        <v>3737</v>
      </c>
      <c r="E35" s="1"/>
      <c r="F35" s="1"/>
    </row>
    <row r="36" spans="1:6">
      <c r="A36" s="1" t="s">
        <v>868</v>
      </c>
      <c r="B36" s="1">
        <v>6000032112</v>
      </c>
      <c r="C36" s="1" t="s">
        <v>1545</v>
      </c>
      <c r="D36" s="1" t="s">
        <v>3738</v>
      </c>
      <c r="E36" s="1"/>
      <c r="F36" s="1"/>
    </row>
    <row r="37" spans="1:6">
      <c r="A37" s="1" t="s">
        <v>240</v>
      </c>
      <c r="B37" s="1">
        <v>6000032526</v>
      </c>
      <c r="C37" s="1" t="s">
        <v>2052</v>
      </c>
      <c r="D37" s="1" t="s">
        <v>3705</v>
      </c>
      <c r="E37" s="1"/>
      <c r="F37" s="1"/>
    </row>
    <row r="38" spans="1:6">
      <c r="A38" s="1" t="s">
        <v>240</v>
      </c>
      <c r="B38" s="1">
        <v>6000032526</v>
      </c>
      <c r="C38" s="1" t="s">
        <v>2050</v>
      </c>
      <c r="D38" s="1" t="s">
        <v>3705</v>
      </c>
      <c r="E38" s="1"/>
      <c r="F38" s="1"/>
    </row>
    <row r="39" spans="1:6">
      <c r="A39" s="1" t="s">
        <v>240</v>
      </c>
      <c r="B39" s="1">
        <v>6000032526</v>
      </c>
      <c r="C39" s="1" t="s">
        <v>584</v>
      </c>
      <c r="D39" s="1" t="s">
        <v>3739</v>
      </c>
      <c r="E39" s="1"/>
      <c r="F39" s="1"/>
    </row>
    <row r="40" spans="1:6">
      <c r="A40" s="1" t="s">
        <v>240</v>
      </c>
      <c r="B40" s="1">
        <v>6000032526</v>
      </c>
      <c r="C40" s="1" t="s">
        <v>587</v>
      </c>
      <c r="D40" s="1" t="s">
        <v>3705</v>
      </c>
      <c r="E40" s="1"/>
      <c r="F40" s="1"/>
    </row>
    <row r="41" spans="1:6">
      <c r="A41" s="1" t="s">
        <v>240</v>
      </c>
      <c r="B41" s="1">
        <v>6000032526</v>
      </c>
      <c r="C41" s="1" t="s">
        <v>587</v>
      </c>
      <c r="D41" s="1" t="s">
        <v>3740</v>
      </c>
      <c r="E41" s="1"/>
      <c r="F41" s="1"/>
    </row>
    <row r="42" spans="1:6">
      <c r="A42" s="1" t="s">
        <v>240</v>
      </c>
      <c r="B42" s="1">
        <v>6000032527</v>
      </c>
      <c r="C42" s="1" t="s">
        <v>584</v>
      </c>
      <c r="D42" s="1" t="s">
        <v>3741</v>
      </c>
      <c r="E42" s="1"/>
      <c r="F42" s="1"/>
    </row>
    <row r="43" spans="1:6">
      <c r="A43" s="1" t="s">
        <v>240</v>
      </c>
      <c r="B43" s="1">
        <v>6000032527</v>
      </c>
      <c r="C43" s="1" t="s">
        <v>584</v>
      </c>
      <c r="D43" s="1" t="s">
        <v>3722</v>
      </c>
      <c r="E43" s="1"/>
      <c r="F43" s="1"/>
    </row>
    <row r="44" spans="1:6">
      <c r="A44" s="1" t="s">
        <v>240</v>
      </c>
      <c r="B44" s="1">
        <v>6000032527</v>
      </c>
      <c r="C44" s="1" t="s">
        <v>2050</v>
      </c>
      <c r="D44" s="1" t="s">
        <v>3722</v>
      </c>
      <c r="E44" s="1"/>
      <c r="F44" s="1"/>
    </row>
    <row r="45" spans="1:6">
      <c r="A45" s="1" t="s">
        <v>240</v>
      </c>
      <c r="B45" s="1">
        <v>6000032528</v>
      </c>
      <c r="C45" s="1" t="s">
        <v>2050</v>
      </c>
      <c r="D45" s="1" t="s">
        <v>3722</v>
      </c>
      <c r="E45" s="1"/>
      <c r="F45" s="1"/>
    </row>
    <row r="46" spans="1:6">
      <c r="A46" s="1" t="s">
        <v>240</v>
      </c>
      <c r="B46" s="1">
        <v>6000032528</v>
      </c>
      <c r="C46" s="1" t="s">
        <v>584</v>
      </c>
      <c r="D46" s="1" t="s">
        <v>3722</v>
      </c>
      <c r="E46" s="1"/>
      <c r="F46" s="1"/>
    </row>
    <row r="47" spans="1:6">
      <c r="A47" s="1"/>
      <c r="B47" s="1" t="s">
        <v>3742</v>
      </c>
      <c r="C47" s="1"/>
      <c r="D47" s="1"/>
      <c r="E47" s="1"/>
      <c r="F47" s="1"/>
    </row>
    <row r="48" spans="1:6">
      <c r="A48" s="1" t="s">
        <v>316</v>
      </c>
      <c r="B48" s="1">
        <v>6000032427</v>
      </c>
      <c r="C48" s="1" t="s">
        <v>317</v>
      </c>
      <c r="D48" s="1" t="s">
        <v>3743</v>
      </c>
      <c r="E48" s="1"/>
      <c r="F48" s="1"/>
    </row>
    <row r="49" spans="1:6">
      <c r="A49" s="1" t="s">
        <v>316</v>
      </c>
      <c r="B49" s="1">
        <v>6000032427</v>
      </c>
      <c r="C49" s="1" t="s">
        <v>317</v>
      </c>
      <c r="D49" s="1" t="s">
        <v>3744</v>
      </c>
      <c r="E49" s="1"/>
      <c r="F49" s="1"/>
    </row>
    <row r="50" spans="1:6">
      <c r="A50" s="1" t="s">
        <v>316</v>
      </c>
      <c r="B50" s="1">
        <v>6000032427</v>
      </c>
      <c r="C50" s="1" t="s">
        <v>317</v>
      </c>
      <c r="D50" s="1" t="s">
        <v>3745</v>
      </c>
      <c r="E50" s="1"/>
      <c r="F50" s="1"/>
    </row>
    <row r="51" spans="1:6">
      <c r="A51" s="1" t="s">
        <v>240</v>
      </c>
      <c r="B51" s="1">
        <v>6000032526</v>
      </c>
      <c r="C51" s="1" t="s">
        <v>581</v>
      </c>
      <c r="D51" s="1" t="s">
        <v>3735</v>
      </c>
      <c r="E51" s="1"/>
      <c r="F51" s="1"/>
    </row>
    <row r="52" spans="1:6">
      <c r="A52" s="1"/>
      <c r="B52" s="1" t="s">
        <v>3746</v>
      </c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</sheetData>
  <phoneticPr fontId="57" type="noConversion"/>
  <pageMargins left="0.7" right="0.7" top="0.75" bottom="0.75" header="0.3" footer="0.3"/>
  <pageSetup scale="9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2D59-E46A-4BC3-9616-720B66835EE1}">
  <dimension ref="A1:E24"/>
  <sheetViews>
    <sheetView workbookViewId="0">
      <selection activeCell="B20" sqref="B20"/>
    </sheetView>
  </sheetViews>
  <sheetFormatPr defaultRowHeight="14.4"/>
  <cols>
    <col min="2" max="2" width="15" customWidth="1"/>
    <col min="5" max="5" width="15.44140625" customWidth="1"/>
  </cols>
  <sheetData>
    <row r="1" spans="1:5">
      <c r="A1" t="s">
        <v>1610</v>
      </c>
      <c r="B1">
        <v>6000027034</v>
      </c>
      <c r="D1" t="s">
        <v>2448</v>
      </c>
    </row>
    <row r="2" spans="1:5">
      <c r="A2" t="s">
        <v>1610</v>
      </c>
      <c r="B2">
        <v>6000027470</v>
      </c>
      <c r="D2" t="s">
        <v>2449</v>
      </c>
    </row>
    <row r="3" spans="1:5">
      <c r="A3" t="s">
        <v>1610</v>
      </c>
      <c r="B3">
        <v>6000027471</v>
      </c>
      <c r="D3" t="s">
        <v>2009</v>
      </c>
      <c r="E3">
        <v>6000027263</v>
      </c>
    </row>
    <row r="4" spans="1:5">
      <c r="A4" t="s">
        <v>1610</v>
      </c>
      <c r="B4">
        <v>6000027472</v>
      </c>
      <c r="D4" t="s">
        <v>2009</v>
      </c>
      <c r="E4">
        <v>6000027264</v>
      </c>
    </row>
    <row r="5" spans="1:5">
      <c r="A5" t="s">
        <v>1610</v>
      </c>
      <c r="B5">
        <v>6000027473</v>
      </c>
      <c r="D5" t="s">
        <v>136</v>
      </c>
      <c r="E5">
        <v>6000027652</v>
      </c>
    </row>
    <row r="6" spans="1:5">
      <c r="A6" t="s">
        <v>1610</v>
      </c>
      <c r="B6">
        <v>6000027476</v>
      </c>
      <c r="D6" t="s">
        <v>136</v>
      </c>
      <c r="E6">
        <v>6000027653</v>
      </c>
    </row>
    <row r="7" spans="1:5">
      <c r="A7" t="s">
        <v>1727</v>
      </c>
      <c r="B7">
        <v>6000027424</v>
      </c>
    </row>
    <row r="8" spans="1:5">
      <c r="A8" t="s">
        <v>652</v>
      </c>
      <c r="B8">
        <v>6000027208</v>
      </c>
    </row>
    <row r="9" spans="1:5">
      <c r="A9" t="s">
        <v>652</v>
      </c>
      <c r="B9">
        <v>6000027209</v>
      </c>
    </row>
    <row r="10" spans="1:5">
      <c r="A10" t="s">
        <v>652</v>
      </c>
      <c r="B10">
        <v>6000027210</v>
      </c>
    </row>
    <row r="11" spans="1:5">
      <c r="A11" t="s">
        <v>652</v>
      </c>
      <c r="B11">
        <v>6000027211</v>
      </c>
    </row>
    <row r="12" spans="1:5">
      <c r="A12" t="s">
        <v>652</v>
      </c>
      <c r="B12">
        <v>6000027212</v>
      </c>
    </row>
    <row r="13" spans="1:5">
      <c r="A13" t="s">
        <v>652</v>
      </c>
      <c r="B13">
        <v>6000027213</v>
      </c>
    </row>
    <row r="14" spans="1:5">
      <c r="A14" t="s">
        <v>652</v>
      </c>
      <c r="B14">
        <v>6000027214</v>
      </c>
    </row>
    <row r="15" spans="1:5">
      <c r="A15" t="s">
        <v>652</v>
      </c>
      <c r="B15">
        <v>6000027215</v>
      </c>
    </row>
    <row r="16" spans="1:5">
      <c r="A16" t="s">
        <v>652</v>
      </c>
      <c r="B16">
        <v>6000027216</v>
      </c>
    </row>
    <row r="18" spans="1:2">
      <c r="A18" t="s">
        <v>2390</v>
      </c>
    </row>
    <row r="20" spans="1:2">
      <c r="A20" t="s">
        <v>868</v>
      </c>
      <c r="B20" t="s">
        <v>2391</v>
      </c>
    </row>
    <row r="21" spans="1:2">
      <c r="A21" t="s">
        <v>2392</v>
      </c>
    </row>
    <row r="23" spans="1:2">
      <c r="A23" t="s">
        <v>652</v>
      </c>
      <c r="B23" t="s">
        <v>2393</v>
      </c>
    </row>
    <row r="24" spans="1:2">
      <c r="A24" t="s">
        <v>2394</v>
      </c>
    </row>
  </sheetData>
  <phoneticPr fontId="5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565D-0D9A-48D9-94D0-C23731C9D8C7}">
  <dimension ref="A1:AH272"/>
  <sheetViews>
    <sheetView zoomScale="78" zoomScaleNormal="78" workbookViewId="0">
      <pane xSplit="9" ySplit="11" topLeftCell="U38" activePane="bottomRight" state="frozen"/>
      <selection pane="topRight" activeCell="J1" sqref="J1"/>
      <selection pane="bottomLeft" activeCell="A12" sqref="A12"/>
      <selection pane="bottomRight" activeCell="A47" sqref="A47:XFD49"/>
    </sheetView>
  </sheetViews>
  <sheetFormatPr defaultColWidth="9" defaultRowHeight="14.4"/>
  <cols>
    <col min="1" max="1" width="11.33203125" style="3" customWidth="1"/>
    <col min="2" max="2" width="13.109375" style="4" customWidth="1"/>
    <col min="3" max="3" width="10.5546875" style="5" customWidth="1"/>
    <col min="4" max="4" width="13.109375" style="58" customWidth="1"/>
    <col min="5" max="5" width="6.6640625" style="5" customWidth="1"/>
    <col min="6" max="6" width="8" style="5" customWidth="1"/>
    <col min="7" max="7" width="9" style="3" customWidth="1"/>
    <col min="8" max="8" width="6.33203125" style="59" customWidth="1"/>
    <col min="9" max="9" width="13.88671875" style="8" customWidth="1"/>
    <col min="10" max="10" width="9" style="11" customWidth="1"/>
    <col min="11" max="11" width="6" style="11" customWidth="1"/>
    <col min="12" max="12" width="10.44140625" style="54" customWidth="1"/>
    <col min="13" max="13" width="7.33203125" style="10" customWidth="1"/>
    <col min="14" max="14" width="6.88671875" style="10" customWidth="1"/>
    <col min="15" max="15" width="9.33203125" style="10" customWidth="1"/>
    <col min="16" max="16" width="7.44140625" style="60" customWidth="1"/>
    <col min="17" max="18" width="12.44140625" style="11" customWidth="1"/>
    <col min="19" max="19" width="6.109375" style="9" customWidth="1"/>
    <col min="20" max="20" width="7.33203125" style="10" customWidth="1"/>
    <col min="21" max="21" width="12.33203125" style="61" customWidth="1"/>
    <col min="22" max="22" width="13.33203125" style="10" customWidth="1"/>
    <col min="23" max="23" width="12.6640625" style="62" customWidth="1"/>
    <col min="24" max="24" width="8.44140625" style="12" customWidth="1"/>
    <col min="25" max="25" width="10.33203125" style="12" customWidth="1"/>
    <col min="26" max="26" width="14.44140625" style="12" customWidth="1"/>
    <col min="27" max="27" width="6.44140625" style="12" customWidth="1"/>
    <col min="28" max="28" width="7.33203125" style="12" customWidth="1"/>
    <col min="29" max="30" width="42.5546875" style="9" customWidth="1"/>
    <col min="31" max="31" width="22.44140625" style="5" customWidth="1"/>
    <col min="32" max="16384" width="9" style="5"/>
  </cols>
  <sheetData>
    <row r="1" spans="1:34" ht="14.25" hidden="1" customHeight="1"/>
    <row r="2" spans="1:34" ht="14.25" hidden="1" customHeight="1"/>
    <row r="3" spans="1:34" ht="14.25" hidden="1" customHeight="1"/>
    <row r="4" spans="1:34" ht="14.25" hidden="1" customHeight="1"/>
    <row r="5" spans="1:34" ht="14.25" hidden="1" customHeight="1"/>
    <row r="6" spans="1:34" ht="14.25" hidden="1" customHeight="1"/>
    <row r="7" spans="1:34" ht="14.25" hidden="1" customHeight="1"/>
    <row r="8" spans="1:34" ht="14.25" hidden="1" customHeight="1"/>
    <row r="9" spans="1:34" ht="14.25" hidden="1" customHeight="1"/>
    <row r="10" spans="1:34" ht="14.25" hidden="1" customHeight="1"/>
    <row r="11" spans="1:34" s="22" customFormat="1" ht="39.75" customHeight="1">
      <c r="A11" s="31" t="s">
        <v>1</v>
      </c>
      <c r="B11" s="63" t="s">
        <v>0</v>
      </c>
      <c r="C11" s="29" t="s">
        <v>2</v>
      </c>
      <c r="D11" s="64" t="s">
        <v>3</v>
      </c>
      <c r="E11" s="29" t="s">
        <v>4</v>
      </c>
      <c r="F11" s="65" t="s">
        <v>1493</v>
      </c>
      <c r="G11" s="66" t="s">
        <v>1494</v>
      </c>
      <c r="H11" s="67" t="s">
        <v>5</v>
      </c>
      <c r="I11" s="68" t="s">
        <v>1491</v>
      </c>
      <c r="J11" s="68" t="s">
        <v>1490</v>
      </c>
      <c r="K11" s="68" t="s">
        <v>1487</v>
      </c>
      <c r="L11" s="82" t="s">
        <v>1492</v>
      </c>
      <c r="M11" s="69" t="s">
        <v>1489</v>
      </c>
      <c r="N11" s="69" t="s">
        <v>1488</v>
      </c>
      <c r="O11" s="70" t="s">
        <v>687</v>
      </c>
      <c r="P11" s="71" t="s">
        <v>1483</v>
      </c>
      <c r="Q11" s="68" t="s">
        <v>1484</v>
      </c>
      <c r="R11" s="68" t="s">
        <v>1485</v>
      </c>
      <c r="S11" s="68" t="s">
        <v>1486</v>
      </c>
      <c r="T11" s="69" t="s">
        <v>17</v>
      </c>
      <c r="U11" s="72" t="s">
        <v>18</v>
      </c>
      <c r="V11" s="69" t="s">
        <v>19</v>
      </c>
      <c r="W11" s="73" t="s">
        <v>20</v>
      </c>
      <c r="X11" s="34" t="s">
        <v>9</v>
      </c>
      <c r="Y11" s="34" t="s">
        <v>15</v>
      </c>
      <c r="Z11" s="34" t="s">
        <v>21</v>
      </c>
      <c r="AA11" s="34" t="s">
        <v>22</v>
      </c>
      <c r="AB11" s="34" t="s">
        <v>23</v>
      </c>
      <c r="AC11" s="29" t="s">
        <v>688</v>
      </c>
      <c r="AD11" s="29" t="s">
        <v>1474</v>
      </c>
      <c r="AE11" s="14"/>
      <c r="AF11" s="14">
        <v>115567</v>
      </c>
      <c r="AG11" s="14">
        <v>2476130</v>
      </c>
      <c r="AH11" s="14">
        <v>130072</v>
      </c>
    </row>
    <row r="12" spans="1:34" ht="30.75" customHeight="1">
      <c r="A12" s="83" t="s">
        <v>24</v>
      </c>
      <c r="B12" s="63">
        <v>6000025800</v>
      </c>
      <c r="C12" s="44" t="s">
        <v>771</v>
      </c>
      <c r="D12" s="122" t="s">
        <v>1703</v>
      </c>
      <c r="E12" s="29">
        <v>10</v>
      </c>
      <c r="F12" s="29">
        <v>3480</v>
      </c>
      <c r="G12" s="31">
        <f>F12*E12</f>
        <v>34800</v>
      </c>
      <c r="H12" s="67" t="s">
        <v>37</v>
      </c>
      <c r="I12" s="37">
        <v>45211</v>
      </c>
      <c r="J12" s="33">
        <v>3480</v>
      </c>
      <c r="K12" s="33">
        <f>35+35</f>
        <v>70</v>
      </c>
      <c r="L12" s="57" t="s">
        <v>1763</v>
      </c>
      <c r="M12" s="31">
        <f>14400+20400</f>
        <v>34800</v>
      </c>
      <c r="N12" s="31">
        <f>348+20</f>
        <v>368</v>
      </c>
      <c r="O12" s="31" t="s">
        <v>1754</v>
      </c>
      <c r="P12" s="74" t="s">
        <v>87</v>
      </c>
      <c r="Q12" s="33">
        <v>8500062481</v>
      </c>
      <c r="R12" s="33">
        <v>5001082452</v>
      </c>
      <c r="S12" s="33">
        <v>3480</v>
      </c>
      <c r="T12" s="31" t="s">
        <v>1558</v>
      </c>
      <c r="U12" s="75">
        <v>8500062480</v>
      </c>
      <c r="V12" s="31">
        <v>5001084173</v>
      </c>
      <c r="W12" s="50" t="s">
        <v>1831</v>
      </c>
      <c r="X12" s="34">
        <v>3480</v>
      </c>
      <c r="Y12" s="34">
        <f>20000+3500+8300+3000</f>
        <v>34800</v>
      </c>
      <c r="Z12" s="34" t="s">
        <v>1843</v>
      </c>
      <c r="AA12" s="34">
        <f>J12-X12</f>
        <v>0</v>
      </c>
      <c r="AB12" s="34">
        <f>M12-Y12</f>
        <v>0</v>
      </c>
      <c r="AC12" s="29"/>
      <c r="AD12" s="29"/>
      <c r="AE12" s="25"/>
      <c r="AF12" s="25"/>
      <c r="AG12" s="25"/>
      <c r="AH12" s="35"/>
    </row>
    <row r="13" spans="1:34" ht="33" customHeight="1">
      <c r="A13" s="83" t="s">
        <v>24</v>
      </c>
      <c r="B13" s="63">
        <v>6000025801</v>
      </c>
      <c r="C13" s="44" t="s">
        <v>771</v>
      </c>
      <c r="D13" s="122" t="s">
        <v>1704</v>
      </c>
      <c r="E13" s="29">
        <v>10</v>
      </c>
      <c r="F13" s="29">
        <v>3480</v>
      </c>
      <c r="G13" s="31">
        <f>F13*E13</f>
        <v>34800</v>
      </c>
      <c r="H13" s="67" t="s">
        <v>37</v>
      </c>
      <c r="I13" s="37">
        <v>45211</v>
      </c>
      <c r="J13" s="33">
        <v>3480</v>
      </c>
      <c r="K13" s="33">
        <f>35+25</f>
        <v>60</v>
      </c>
      <c r="L13" s="57" t="s">
        <v>1769</v>
      </c>
      <c r="M13" s="31">
        <f>10000+24700+100</f>
        <v>34800</v>
      </c>
      <c r="N13" s="31">
        <f>348+20</f>
        <v>368</v>
      </c>
      <c r="O13" s="31" t="s">
        <v>1764</v>
      </c>
      <c r="P13" s="74" t="s">
        <v>87</v>
      </c>
      <c r="Q13" s="33">
        <v>8500062483</v>
      </c>
      <c r="R13" s="33">
        <v>5001082455</v>
      </c>
      <c r="S13" s="33">
        <v>3480</v>
      </c>
      <c r="T13" s="31" t="s">
        <v>1558</v>
      </c>
      <c r="U13" s="75">
        <v>8500062482</v>
      </c>
      <c r="V13" s="31">
        <v>5001088580</v>
      </c>
      <c r="W13" s="50">
        <v>45225</v>
      </c>
      <c r="X13" s="34">
        <f>2000+1480</f>
        <v>3480</v>
      </c>
      <c r="Y13" s="34">
        <v>34800</v>
      </c>
      <c r="Z13" s="34" t="s">
        <v>817</v>
      </c>
      <c r="AA13" s="34">
        <f t="shared" ref="AA13:AA76" si="0">J13-X13</f>
        <v>0</v>
      </c>
      <c r="AB13" s="34">
        <f t="shared" ref="AB13:AB76" si="1">M13-Y13</f>
        <v>0</v>
      </c>
      <c r="AC13" s="29"/>
      <c r="AD13" s="29"/>
      <c r="AE13" s="25"/>
      <c r="AF13" s="25"/>
      <c r="AG13" s="25"/>
      <c r="AH13" s="35"/>
    </row>
    <row r="14" spans="1:34" ht="36.75" customHeight="1">
      <c r="A14" s="83" t="s">
        <v>24</v>
      </c>
      <c r="B14" s="63">
        <v>6000025802</v>
      </c>
      <c r="C14" s="44" t="s">
        <v>25</v>
      </c>
      <c r="D14" s="122" t="s">
        <v>1705</v>
      </c>
      <c r="E14" s="29">
        <v>10</v>
      </c>
      <c r="F14" s="29">
        <v>2100</v>
      </c>
      <c r="G14" s="31">
        <f t="shared" ref="G14:G36" si="2">F14*E14</f>
        <v>21000</v>
      </c>
      <c r="H14" s="67" t="s">
        <v>27</v>
      </c>
      <c r="I14" s="37">
        <v>45204</v>
      </c>
      <c r="J14" s="33">
        <v>2100</v>
      </c>
      <c r="K14" s="33">
        <v>28</v>
      </c>
      <c r="L14" s="57" t="s">
        <v>1755</v>
      </c>
      <c r="M14" s="31">
        <f>19500+1500</f>
        <v>21000</v>
      </c>
      <c r="N14" s="31">
        <f>210+20</f>
        <v>230</v>
      </c>
      <c r="O14" s="31" t="s">
        <v>1757</v>
      </c>
      <c r="P14" s="74" t="s">
        <v>28</v>
      </c>
      <c r="Q14" s="74">
        <v>8500062469</v>
      </c>
      <c r="R14" s="33">
        <v>5001052046</v>
      </c>
      <c r="S14" s="29">
        <v>2100</v>
      </c>
      <c r="T14" s="31" t="s">
        <v>1558</v>
      </c>
      <c r="U14" s="75">
        <v>8500062468</v>
      </c>
      <c r="V14" s="31">
        <v>5001059958</v>
      </c>
      <c r="W14" s="50" t="s">
        <v>1792</v>
      </c>
      <c r="X14" s="34">
        <f>1900+200</f>
        <v>2100</v>
      </c>
      <c r="Y14" s="34">
        <f>19000+2000</f>
        <v>21000</v>
      </c>
      <c r="Z14" s="34" t="s">
        <v>1059</v>
      </c>
      <c r="AA14" s="34">
        <f t="shared" si="0"/>
        <v>0</v>
      </c>
      <c r="AB14" s="34">
        <f t="shared" si="1"/>
        <v>0</v>
      </c>
      <c r="AC14" s="29"/>
      <c r="AD14" s="29"/>
      <c r="AE14" s="25"/>
      <c r="AF14" s="25"/>
      <c r="AG14" s="25"/>
      <c r="AH14" s="35"/>
    </row>
    <row r="15" spans="1:34" ht="21" customHeight="1">
      <c r="A15" s="83" t="s">
        <v>24</v>
      </c>
      <c r="B15" s="63">
        <v>6000025803</v>
      </c>
      <c r="C15" s="44" t="s">
        <v>25</v>
      </c>
      <c r="D15" s="122" t="s">
        <v>1706</v>
      </c>
      <c r="E15" s="29">
        <v>10</v>
      </c>
      <c r="F15" s="29">
        <v>2100</v>
      </c>
      <c r="G15" s="31">
        <f t="shared" si="2"/>
        <v>21000</v>
      </c>
      <c r="H15" s="67" t="s">
        <v>46</v>
      </c>
      <c r="I15" s="37">
        <v>45204</v>
      </c>
      <c r="J15" s="33">
        <v>2100</v>
      </c>
      <c r="K15" s="33">
        <v>26</v>
      </c>
      <c r="L15" s="57">
        <v>45204</v>
      </c>
      <c r="M15" s="31">
        <f>9600+9850+1550</f>
        <v>21000</v>
      </c>
      <c r="N15" s="31">
        <f>210+20</f>
        <v>230</v>
      </c>
      <c r="O15" s="31" t="s">
        <v>1737</v>
      </c>
      <c r="P15" s="74" t="s">
        <v>28</v>
      </c>
      <c r="Q15" s="33">
        <v>8500062471</v>
      </c>
      <c r="R15" s="33">
        <v>5001052047</v>
      </c>
      <c r="S15" s="29">
        <f>500+1600</f>
        <v>2100</v>
      </c>
      <c r="T15" s="31" t="s">
        <v>1558</v>
      </c>
      <c r="U15" s="75">
        <v>8500062470</v>
      </c>
      <c r="V15" s="31">
        <v>5001051837</v>
      </c>
      <c r="W15" s="50">
        <v>45212</v>
      </c>
      <c r="X15" s="34">
        <v>2100</v>
      </c>
      <c r="Y15" s="34">
        <v>21000</v>
      </c>
      <c r="Z15" s="34" t="s">
        <v>267</v>
      </c>
      <c r="AA15" s="34">
        <f t="shared" si="0"/>
        <v>0</v>
      </c>
      <c r="AB15" s="34">
        <f t="shared" si="1"/>
        <v>0</v>
      </c>
      <c r="AC15" s="29"/>
      <c r="AD15" s="29"/>
      <c r="AE15" s="25"/>
      <c r="AF15" s="25"/>
      <c r="AG15" s="25"/>
      <c r="AH15" s="35"/>
    </row>
    <row r="16" spans="1:34" ht="36" customHeight="1">
      <c r="A16" s="83" t="s">
        <v>24</v>
      </c>
      <c r="B16" s="63">
        <v>6000025804</v>
      </c>
      <c r="C16" s="44" t="s">
        <v>25</v>
      </c>
      <c r="D16" s="122" t="s">
        <v>1707</v>
      </c>
      <c r="E16" s="29">
        <v>10</v>
      </c>
      <c r="F16" s="29">
        <v>2100</v>
      </c>
      <c r="G16" s="31">
        <f>F16*E16</f>
        <v>21000</v>
      </c>
      <c r="H16" s="67" t="s">
        <v>46</v>
      </c>
      <c r="I16" s="37" t="s">
        <v>1733</v>
      </c>
      <c r="J16" s="33">
        <f>500+1600</f>
        <v>2100</v>
      </c>
      <c r="K16" s="33">
        <v>23</v>
      </c>
      <c r="L16" s="57" t="s">
        <v>1741</v>
      </c>
      <c r="M16" s="31">
        <f>10000+6800+4200</f>
        <v>21000</v>
      </c>
      <c r="N16" s="31">
        <f>210+20</f>
        <v>230</v>
      </c>
      <c r="O16" s="31" t="s">
        <v>876</v>
      </c>
      <c r="P16" s="74" t="s">
        <v>28</v>
      </c>
      <c r="Q16" s="33">
        <v>8500062473</v>
      </c>
      <c r="R16" s="33">
        <v>5001056018</v>
      </c>
      <c r="S16" s="29">
        <f>500+1600</f>
        <v>2100</v>
      </c>
      <c r="T16" s="31" t="s">
        <v>1558</v>
      </c>
      <c r="U16" s="75">
        <v>8500062472</v>
      </c>
      <c r="V16" s="31">
        <v>5001051838</v>
      </c>
      <c r="W16" s="50">
        <v>45215</v>
      </c>
      <c r="X16" s="34">
        <v>2100</v>
      </c>
      <c r="Y16" s="34">
        <v>21000</v>
      </c>
      <c r="Z16" s="34" t="s">
        <v>1452</v>
      </c>
      <c r="AA16" s="34">
        <f t="shared" si="0"/>
        <v>0</v>
      </c>
      <c r="AB16" s="34">
        <f t="shared" si="1"/>
        <v>0</v>
      </c>
      <c r="AC16" s="29"/>
      <c r="AD16" s="29"/>
      <c r="AE16" s="25"/>
      <c r="AF16" s="25"/>
      <c r="AG16" s="25"/>
      <c r="AH16" s="35"/>
    </row>
    <row r="17" spans="1:34" ht="37.5" customHeight="1">
      <c r="A17" s="83" t="s">
        <v>24</v>
      </c>
      <c r="B17" s="63">
        <v>6000025805</v>
      </c>
      <c r="C17" s="44" t="s">
        <v>25</v>
      </c>
      <c r="D17" s="122" t="s">
        <v>1708</v>
      </c>
      <c r="E17" s="29">
        <v>10</v>
      </c>
      <c r="F17" s="29">
        <v>2100</v>
      </c>
      <c r="G17" s="31">
        <f>F17*E17</f>
        <v>21000</v>
      </c>
      <c r="H17" s="67" t="s">
        <v>46</v>
      </c>
      <c r="I17" s="37" t="s">
        <v>1733</v>
      </c>
      <c r="J17" s="33">
        <f>1060+1040</f>
        <v>2100</v>
      </c>
      <c r="K17" s="33">
        <v>25</v>
      </c>
      <c r="L17" s="57" t="s">
        <v>1756</v>
      </c>
      <c r="M17" s="31">
        <f>17150+3850</f>
        <v>21000</v>
      </c>
      <c r="N17" s="31">
        <f>210+20</f>
        <v>230</v>
      </c>
      <c r="O17" s="31" t="s">
        <v>1758</v>
      </c>
      <c r="P17" s="74" t="s">
        <v>28</v>
      </c>
      <c r="Q17" s="33">
        <v>8500062475</v>
      </c>
      <c r="R17" s="33">
        <v>5001052048</v>
      </c>
      <c r="S17" s="29">
        <f>1060+1040</f>
        <v>2100</v>
      </c>
      <c r="T17" s="31" t="s">
        <v>1558</v>
      </c>
      <c r="U17" s="75">
        <v>8500062474</v>
      </c>
      <c r="V17" s="31">
        <v>5001055999</v>
      </c>
      <c r="W17" s="50" t="s">
        <v>1800</v>
      </c>
      <c r="X17" s="34">
        <f>400+1400+300</f>
        <v>2100</v>
      </c>
      <c r="Y17" s="34">
        <f>4000+14000+3000</f>
        <v>21000</v>
      </c>
      <c r="Z17" s="34" t="s">
        <v>1803</v>
      </c>
      <c r="AA17" s="34">
        <f t="shared" si="0"/>
        <v>0</v>
      </c>
      <c r="AB17" s="34">
        <f t="shared" si="1"/>
        <v>0</v>
      </c>
      <c r="AC17" s="29"/>
      <c r="AD17" s="29"/>
      <c r="AE17" s="25"/>
      <c r="AF17" s="25"/>
      <c r="AG17" s="25"/>
      <c r="AH17" s="35"/>
    </row>
    <row r="18" spans="1:34" ht="29.25" customHeight="1">
      <c r="A18" s="83" t="s">
        <v>24</v>
      </c>
      <c r="B18" s="63">
        <v>6000025806</v>
      </c>
      <c r="C18" s="44" t="s">
        <v>762</v>
      </c>
      <c r="D18" s="122" t="s">
        <v>1709</v>
      </c>
      <c r="E18" s="29">
        <v>10</v>
      </c>
      <c r="F18" s="29">
        <v>2100</v>
      </c>
      <c r="G18" s="31">
        <f>F18*E18</f>
        <v>21000</v>
      </c>
      <c r="H18" s="67" t="s">
        <v>46</v>
      </c>
      <c r="I18" s="37">
        <v>45205</v>
      </c>
      <c r="J18" s="33">
        <v>2100</v>
      </c>
      <c r="K18" s="33">
        <v>26</v>
      </c>
      <c r="L18" s="57" t="s">
        <v>1790</v>
      </c>
      <c r="M18" s="31">
        <f>15100+5900</f>
        <v>21000</v>
      </c>
      <c r="N18" s="31">
        <f>210+20</f>
        <v>230</v>
      </c>
      <c r="O18" s="31" t="s">
        <v>1789</v>
      </c>
      <c r="P18" s="74" t="s">
        <v>28</v>
      </c>
      <c r="Q18" s="33">
        <v>8500062460</v>
      </c>
      <c r="R18" s="33">
        <v>5001056051</v>
      </c>
      <c r="S18" s="29">
        <f>1060+1040</f>
        <v>2100</v>
      </c>
      <c r="T18" s="31" t="s">
        <v>1558</v>
      </c>
      <c r="U18" s="75">
        <v>8500062459</v>
      </c>
      <c r="V18" s="31">
        <v>5001089033</v>
      </c>
      <c r="W18" s="50" t="s">
        <v>1838</v>
      </c>
      <c r="X18" s="34">
        <f>1000+1100</f>
        <v>2100</v>
      </c>
      <c r="Y18" s="34">
        <f>10000+11000</f>
        <v>21000</v>
      </c>
      <c r="Z18" s="34" t="s">
        <v>1842</v>
      </c>
      <c r="AA18" s="34">
        <f t="shared" si="0"/>
        <v>0</v>
      </c>
      <c r="AB18" s="34">
        <f t="shared" si="1"/>
        <v>0</v>
      </c>
      <c r="AC18" s="29"/>
      <c r="AD18" s="77"/>
      <c r="AE18" s="25"/>
      <c r="AF18" s="25"/>
      <c r="AG18" s="25"/>
      <c r="AH18" s="35"/>
    </row>
    <row r="19" spans="1:34" ht="36" customHeight="1">
      <c r="A19" s="83" t="s">
        <v>24</v>
      </c>
      <c r="B19" s="63">
        <v>6000025807</v>
      </c>
      <c r="C19" s="44" t="s">
        <v>771</v>
      </c>
      <c r="D19" s="122" t="s">
        <v>1710</v>
      </c>
      <c r="E19" s="29">
        <v>10</v>
      </c>
      <c r="F19" s="29">
        <v>3040</v>
      </c>
      <c r="G19" s="31">
        <f t="shared" si="2"/>
        <v>30400</v>
      </c>
      <c r="H19" s="67" t="s">
        <v>37</v>
      </c>
      <c r="I19" s="37">
        <v>45211</v>
      </c>
      <c r="J19" s="33">
        <v>3040</v>
      </c>
      <c r="K19" s="33">
        <f>31+89</f>
        <v>120</v>
      </c>
      <c r="L19" s="57">
        <v>45218</v>
      </c>
      <c r="M19" s="31">
        <v>30400</v>
      </c>
      <c r="N19" s="31">
        <f>304+20</f>
        <v>324</v>
      </c>
      <c r="O19" s="31" t="s">
        <v>1807</v>
      </c>
      <c r="P19" s="74" t="s">
        <v>87</v>
      </c>
      <c r="Q19" s="33">
        <v>8500062467</v>
      </c>
      <c r="R19" s="33">
        <v>5001082454</v>
      </c>
      <c r="S19" s="33">
        <v>3040</v>
      </c>
      <c r="T19" s="31" t="s">
        <v>1558</v>
      </c>
      <c r="U19" s="75">
        <v>8500062466</v>
      </c>
      <c r="V19" s="31">
        <v>5001112363</v>
      </c>
      <c r="W19" s="50" t="s">
        <v>1884</v>
      </c>
      <c r="X19" s="34">
        <f>600+2440</f>
        <v>3040</v>
      </c>
      <c r="Y19" s="34">
        <f>6000+24400</f>
        <v>30400</v>
      </c>
      <c r="Z19" s="34" t="s">
        <v>1885</v>
      </c>
      <c r="AA19" s="34">
        <f t="shared" si="0"/>
        <v>0</v>
      </c>
      <c r="AB19" s="34">
        <f t="shared" si="1"/>
        <v>0</v>
      </c>
      <c r="AC19" s="29"/>
      <c r="AD19" s="29"/>
      <c r="AE19" s="25"/>
      <c r="AF19" s="25"/>
      <c r="AG19" s="25"/>
      <c r="AH19" s="35"/>
    </row>
    <row r="20" spans="1:34" ht="29.25" customHeight="1">
      <c r="A20" s="83" t="s">
        <v>24</v>
      </c>
      <c r="B20" s="63">
        <v>6000025808</v>
      </c>
      <c r="C20" s="44" t="s">
        <v>25</v>
      </c>
      <c r="D20" s="122" t="s">
        <v>1711</v>
      </c>
      <c r="E20" s="29">
        <v>10</v>
      </c>
      <c r="F20" s="29">
        <v>2100</v>
      </c>
      <c r="G20" s="31">
        <f t="shared" si="2"/>
        <v>21000</v>
      </c>
      <c r="H20" s="67" t="s">
        <v>46</v>
      </c>
      <c r="I20" s="37" t="s">
        <v>1759</v>
      </c>
      <c r="J20" s="33">
        <f>1060+400+640</f>
        <v>2100</v>
      </c>
      <c r="K20" s="33">
        <v>26</v>
      </c>
      <c r="L20" s="57">
        <v>45204</v>
      </c>
      <c r="M20" s="31">
        <f>11850+9150</f>
        <v>21000</v>
      </c>
      <c r="N20" s="31">
        <f t="shared" ref="N20:N25" si="3">210+20</f>
        <v>230</v>
      </c>
      <c r="O20" s="31" t="s">
        <v>1730</v>
      </c>
      <c r="P20" s="74" t="s">
        <v>28</v>
      </c>
      <c r="Q20" s="33">
        <v>8500062456</v>
      </c>
      <c r="R20" s="33">
        <v>5001079277</v>
      </c>
      <c r="S20" s="29">
        <f>1060+1040</f>
        <v>2100</v>
      </c>
      <c r="T20" s="31" t="s">
        <v>1558</v>
      </c>
      <c r="U20" s="75">
        <v>8500062455</v>
      </c>
      <c r="V20" s="31">
        <v>5001054696</v>
      </c>
      <c r="W20" s="127">
        <v>45231</v>
      </c>
      <c r="X20" s="34">
        <v>2100</v>
      </c>
      <c r="Y20" s="34">
        <v>21000</v>
      </c>
      <c r="Z20" s="34" t="s">
        <v>755</v>
      </c>
      <c r="AA20" s="34">
        <f t="shared" si="0"/>
        <v>0</v>
      </c>
      <c r="AB20" s="34">
        <f t="shared" si="1"/>
        <v>0</v>
      </c>
      <c r="AC20" s="29"/>
      <c r="AD20" s="29"/>
      <c r="AE20" s="25"/>
      <c r="AF20" s="25"/>
      <c r="AG20" s="25"/>
      <c r="AH20" s="35"/>
    </row>
    <row r="21" spans="1:34" ht="21" customHeight="1">
      <c r="A21" s="83" t="s">
        <v>24</v>
      </c>
      <c r="B21" s="63">
        <v>6000025809</v>
      </c>
      <c r="C21" s="44" t="s">
        <v>762</v>
      </c>
      <c r="D21" s="122" t="s">
        <v>1712</v>
      </c>
      <c r="E21" s="29">
        <v>10</v>
      </c>
      <c r="F21" s="29">
        <v>2100</v>
      </c>
      <c r="G21" s="31">
        <f t="shared" si="2"/>
        <v>21000</v>
      </c>
      <c r="H21" s="67" t="s">
        <v>27</v>
      </c>
      <c r="I21" s="37">
        <v>45205</v>
      </c>
      <c r="J21" s="33">
        <v>2100</v>
      </c>
      <c r="K21" s="33">
        <v>25</v>
      </c>
      <c r="L21" s="57" t="s">
        <v>1800</v>
      </c>
      <c r="M21" s="31">
        <f>8000+13000</f>
        <v>21000</v>
      </c>
      <c r="N21" s="31">
        <f t="shared" si="3"/>
        <v>230</v>
      </c>
      <c r="O21" s="31" t="s">
        <v>1791</v>
      </c>
      <c r="P21" s="74" t="s">
        <v>28</v>
      </c>
      <c r="Q21" s="33">
        <v>8500062463</v>
      </c>
      <c r="R21" s="33">
        <v>5001056054</v>
      </c>
      <c r="S21" s="29">
        <f>1060+1040</f>
        <v>2100</v>
      </c>
      <c r="T21" s="31" t="s">
        <v>1558</v>
      </c>
      <c r="U21" s="75">
        <v>8500062462</v>
      </c>
      <c r="V21" s="31">
        <v>5001104063</v>
      </c>
      <c r="W21" s="50" t="s">
        <v>1809</v>
      </c>
      <c r="X21" s="34">
        <f>500+250+1350</f>
        <v>2100</v>
      </c>
      <c r="Y21" s="34">
        <f>5000+2500+13500</f>
        <v>21000</v>
      </c>
      <c r="Z21" s="34" t="s">
        <v>1808</v>
      </c>
      <c r="AA21" s="34">
        <f t="shared" si="0"/>
        <v>0</v>
      </c>
      <c r="AB21" s="34">
        <f t="shared" si="1"/>
        <v>0</v>
      </c>
      <c r="AC21" s="29"/>
      <c r="AD21" s="29"/>
      <c r="AE21" s="25"/>
      <c r="AF21" s="25"/>
      <c r="AG21" s="25"/>
      <c r="AH21" s="35"/>
    </row>
    <row r="22" spans="1:34" ht="21" customHeight="1">
      <c r="A22" s="83" t="s">
        <v>24</v>
      </c>
      <c r="B22" s="63">
        <v>6000025810</v>
      </c>
      <c r="C22" s="44" t="s">
        <v>25</v>
      </c>
      <c r="D22" s="122" t="s">
        <v>1713</v>
      </c>
      <c r="E22" s="29">
        <v>10</v>
      </c>
      <c r="F22" s="29">
        <v>2100</v>
      </c>
      <c r="G22" s="31">
        <f>F22*E22</f>
        <v>21000</v>
      </c>
      <c r="H22" s="67" t="s">
        <v>27</v>
      </c>
      <c r="I22" s="37">
        <v>45212</v>
      </c>
      <c r="J22" s="33">
        <v>2100</v>
      </c>
      <c r="K22" s="33">
        <v>24</v>
      </c>
      <c r="L22" s="57">
        <v>45216</v>
      </c>
      <c r="M22" s="31">
        <f>16000+5000</f>
        <v>21000</v>
      </c>
      <c r="N22" s="31">
        <f t="shared" si="3"/>
        <v>230</v>
      </c>
      <c r="O22" s="31" t="s">
        <v>1791</v>
      </c>
      <c r="P22" s="74" t="s">
        <v>28</v>
      </c>
      <c r="Q22" s="33">
        <v>8500062458</v>
      </c>
      <c r="R22" s="33">
        <v>5001084223</v>
      </c>
      <c r="S22" s="33">
        <v>2100</v>
      </c>
      <c r="T22" s="31" t="s">
        <v>1558</v>
      </c>
      <c r="U22" s="75">
        <v>8500062457</v>
      </c>
      <c r="V22" s="31">
        <v>5001104064</v>
      </c>
      <c r="W22" s="50" t="s">
        <v>1831</v>
      </c>
      <c r="X22" s="34">
        <v>2100</v>
      </c>
      <c r="Y22" s="34">
        <v>21000</v>
      </c>
      <c r="Z22" s="34" t="s">
        <v>727</v>
      </c>
      <c r="AA22" s="34">
        <f t="shared" si="0"/>
        <v>0</v>
      </c>
      <c r="AB22" s="34">
        <f t="shared" si="1"/>
        <v>0</v>
      </c>
      <c r="AC22" s="29"/>
      <c r="AD22" s="29"/>
      <c r="AE22" s="25"/>
      <c r="AF22" s="25"/>
      <c r="AG22" s="25"/>
      <c r="AH22" s="35"/>
    </row>
    <row r="23" spans="1:34" ht="21" customHeight="1">
      <c r="A23" s="83" t="s">
        <v>24</v>
      </c>
      <c r="B23" s="63">
        <v>6000025811</v>
      </c>
      <c r="C23" s="44" t="s">
        <v>25</v>
      </c>
      <c r="D23" s="122" t="s">
        <v>1714</v>
      </c>
      <c r="E23" s="29">
        <v>10</v>
      </c>
      <c r="F23" s="29">
        <v>2100</v>
      </c>
      <c r="G23" s="31">
        <f t="shared" si="2"/>
        <v>21000</v>
      </c>
      <c r="H23" s="67" t="s">
        <v>37</v>
      </c>
      <c r="I23" s="37">
        <v>45211</v>
      </c>
      <c r="J23" s="33">
        <v>2100</v>
      </c>
      <c r="K23" s="33">
        <v>28</v>
      </c>
      <c r="L23" s="57">
        <v>45219</v>
      </c>
      <c r="M23" s="31">
        <v>21000</v>
      </c>
      <c r="N23" s="31">
        <f t="shared" si="3"/>
        <v>230</v>
      </c>
      <c r="O23" s="31"/>
      <c r="P23" s="74" t="s">
        <v>28</v>
      </c>
      <c r="Q23" s="33">
        <v>8500062442</v>
      </c>
      <c r="R23" s="33">
        <v>5001082470</v>
      </c>
      <c r="S23" s="33">
        <v>2100</v>
      </c>
      <c r="T23" s="31" t="s">
        <v>1558</v>
      </c>
      <c r="U23" s="75">
        <v>8500062441</v>
      </c>
      <c r="V23" s="31">
        <v>5001113421</v>
      </c>
      <c r="W23" s="50">
        <v>45236</v>
      </c>
      <c r="X23" s="34">
        <f>250+1850</f>
        <v>2100</v>
      </c>
      <c r="Y23" s="34">
        <f>2500+18500</f>
        <v>21000</v>
      </c>
      <c r="Z23" s="34" t="s">
        <v>1898</v>
      </c>
      <c r="AA23" s="34">
        <f t="shared" si="0"/>
        <v>0</v>
      </c>
      <c r="AB23" s="34">
        <f t="shared" si="1"/>
        <v>0</v>
      </c>
      <c r="AC23" s="29"/>
      <c r="AD23" s="29"/>
      <c r="AE23" s="25"/>
      <c r="AF23" s="25"/>
      <c r="AG23" s="25"/>
      <c r="AH23" s="35"/>
    </row>
    <row r="24" spans="1:34" ht="31.5" customHeight="1">
      <c r="A24" s="83" t="s">
        <v>24</v>
      </c>
      <c r="B24" s="63">
        <v>6000025812</v>
      </c>
      <c r="C24" s="44" t="s">
        <v>762</v>
      </c>
      <c r="D24" s="122" t="s">
        <v>1715</v>
      </c>
      <c r="E24" s="29">
        <v>10</v>
      </c>
      <c r="F24" s="29">
        <v>2100</v>
      </c>
      <c r="G24" s="31">
        <f t="shared" si="2"/>
        <v>21000</v>
      </c>
      <c r="H24" s="67" t="s">
        <v>27</v>
      </c>
      <c r="I24" s="37">
        <v>45212</v>
      </c>
      <c r="J24" s="33">
        <v>2100</v>
      </c>
      <c r="K24" s="33">
        <v>29</v>
      </c>
      <c r="L24" s="57" t="s">
        <v>1817</v>
      </c>
      <c r="M24" s="31">
        <f>10200+10800</f>
        <v>21000</v>
      </c>
      <c r="N24" s="31">
        <f t="shared" si="3"/>
        <v>230</v>
      </c>
      <c r="O24" s="31" t="s">
        <v>1784</v>
      </c>
      <c r="P24" s="74" t="s">
        <v>28</v>
      </c>
      <c r="Q24" s="33">
        <v>8500062464</v>
      </c>
      <c r="R24" s="33">
        <v>5001084221</v>
      </c>
      <c r="S24" s="29">
        <v>2100</v>
      </c>
      <c r="T24" s="31" t="s">
        <v>1558</v>
      </c>
      <c r="U24" s="75">
        <v>8500062464</v>
      </c>
      <c r="V24" s="31">
        <v>5001105379</v>
      </c>
      <c r="W24" s="50">
        <v>45230</v>
      </c>
      <c r="X24" s="34">
        <v>2100</v>
      </c>
      <c r="Y24" s="34">
        <v>21000</v>
      </c>
      <c r="Z24" s="34" t="s">
        <v>727</v>
      </c>
      <c r="AA24" s="34">
        <f t="shared" si="0"/>
        <v>0</v>
      </c>
      <c r="AB24" s="34">
        <f t="shared" si="1"/>
        <v>0</v>
      </c>
      <c r="AC24" s="29"/>
      <c r="AD24" s="29"/>
      <c r="AE24" s="25"/>
      <c r="AF24" s="25"/>
      <c r="AG24" s="25"/>
      <c r="AH24" s="35"/>
    </row>
    <row r="25" spans="1:34" ht="21" customHeight="1">
      <c r="A25" s="83" t="s">
        <v>24</v>
      </c>
      <c r="B25" s="63">
        <v>6000025813</v>
      </c>
      <c r="C25" s="44" t="s">
        <v>25</v>
      </c>
      <c r="D25" s="122" t="s">
        <v>1716</v>
      </c>
      <c r="E25" s="29">
        <v>10</v>
      </c>
      <c r="F25" s="29">
        <v>2100</v>
      </c>
      <c r="G25" s="31">
        <f t="shared" si="2"/>
        <v>21000</v>
      </c>
      <c r="H25" s="67" t="s">
        <v>27</v>
      </c>
      <c r="I25" s="37">
        <v>45211</v>
      </c>
      <c r="J25" s="33">
        <v>2100</v>
      </c>
      <c r="K25" s="33">
        <v>21</v>
      </c>
      <c r="L25" s="57">
        <v>45215</v>
      </c>
      <c r="M25" s="31">
        <v>21000</v>
      </c>
      <c r="N25" s="31">
        <f t="shared" si="3"/>
        <v>230</v>
      </c>
      <c r="O25" s="31" t="s">
        <v>862</v>
      </c>
      <c r="P25" s="74" t="s">
        <v>28</v>
      </c>
      <c r="Q25" s="33">
        <v>8500062444</v>
      </c>
      <c r="R25" s="33">
        <v>5001082467</v>
      </c>
      <c r="S25" s="29">
        <v>2100</v>
      </c>
      <c r="T25" s="31" t="s">
        <v>1558</v>
      </c>
      <c r="U25" s="75">
        <v>8500062443</v>
      </c>
      <c r="V25" s="31">
        <v>5001095762</v>
      </c>
      <c r="W25" s="50" t="s">
        <v>1945</v>
      </c>
      <c r="X25" s="34">
        <f>300+1500+300</f>
        <v>2100</v>
      </c>
      <c r="Y25" s="34">
        <f>3000+15000+3000</f>
        <v>21000</v>
      </c>
      <c r="Z25" s="34" t="s">
        <v>1944</v>
      </c>
      <c r="AA25" s="34">
        <f t="shared" si="0"/>
        <v>0</v>
      </c>
      <c r="AB25" s="34">
        <f t="shared" si="1"/>
        <v>0</v>
      </c>
      <c r="AC25" s="29"/>
      <c r="AD25" s="29"/>
      <c r="AE25" s="25"/>
      <c r="AF25" s="25"/>
      <c r="AG25" s="25"/>
      <c r="AH25" s="35"/>
    </row>
    <row r="26" spans="1:34" ht="21" customHeight="1">
      <c r="A26" s="83" t="s">
        <v>24</v>
      </c>
      <c r="B26" s="63">
        <v>6000025814</v>
      </c>
      <c r="C26" s="44" t="s">
        <v>25</v>
      </c>
      <c r="D26" s="122" t="s">
        <v>1717</v>
      </c>
      <c r="E26" s="29">
        <v>10</v>
      </c>
      <c r="F26" s="29">
        <v>480</v>
      </c>
      <c r="G26" s="31">
        <f t="shared" si="2"/>
        <v>4800</v>
      </c>
      <c r="H26" s="67" t="s">
        <v>27</v>
      </c>
      <c r="I26" s="37">
        <v>45211</v>
      </c>
      <c r="J26" s="33">
        <v>480</v>
      </c>
      <c r="K26" s="33">
        <v>5</v>
      </c>
      <c r="L26" s="57">
        <v>45222</v>
      </c>
      <c r="M26" s="31">
        <v>4800</v>
      </c>
      <c r="N26" s="31">
        <f>48+20</f>
        <v>68</v>
      </c>
      <c r="O26" s="31" t="s">
        <v>739</v>
      </c>
      <c r="P26" s="74" t="s">
        <v>28</v>
      </c>
      <c r="Q26" s="33">
        <v>8500062450</v>
      </c>
      <c r="R26" s="33">
        <v>5001082464</v>
      </c>
      <c r="S26" s="29">
        <v>480</v>
      </c>
      <c r="T26" s="31" t="s">
        <v>1558</v>
      </c>
      <c r="U26" s="75">
        <v>8500062448</v>
      </c>
      <c r="V26" s="31">
        <v>5001125878</v>
      </c>
      <c r="W26" s="50">
        <v>45233</v>
      </c>
      <c r="X26" s="34">
        <v>480</v>
      </c>
      <c r="Y26" s="34">
        <v>4800</v>
      </c>
      <c r="Z26" s="34" t="s">
        <v>727</v>
      </c>
      <c r="AA26" s="34">
        <f t="shared" si="0"/>
        <v>0</v>
      </c>
      <c r="AB26" s="34">
        <f t="shared" si="1"/>
        <v>0</v>
      </c>
      <c r="AC26" s="29"/>
      <c r="AD26" s="77"/>
      <c r="AE26" s="25"/>
      <c r="AF26" s="25"/>
      <c r="AG26" s="25"/>
      <c r="AH26" s="35"/>
    </row>
    <row r="27" spans="1:34" ht="21" customHeight="1">
      <c r="A27" s="31"/>
      <c r="B27" s="63"/>
      <c r="C27" s="44"/>
      <c r="D27" s="122"/>
      <c r="E27" s="29">
        <v>10</v>
      </c>
      <c r="F27" s="29">
        <v>1620</v>
      </c>
      <c r="G27" s="31">
        <f t="shared" si="2"/>
        <v>16200</v>
      </c>
      <c r="H27" s="67" t="s">
        <v>37</v>
      </c>
      <c r="I27" s="37">
        <v>45211</v>
      </c>
      <c r="J27" s="33">
        <v>1620</v>
      </c>
      <c r="K27" s="33">
        <v>22</v>
      </c>
      <c r="L27" s="57" t="s">
        <v>1838</v>
      </c>
      <c r="M27" s="31">
        <v>16200</v>
      </c>
      <c r="N27" s="31">
        <f>112+20+50</f>
        <v>182</v>
      </c>
      <c r="O27" s="31" t="s">
        <v>1439</v>
      </c>
      <c r="P27" s="74" t="s">
        <v>28</v>
      </c>
      <c r="Q27" s="33">
        <v>8500062450</v>
      </c>
      <c r="R27" s="33">
        <v>5001082464</v>
      </c>
      <c r="S27" s="29">
        <v>1620</v>
      </c>
      <c r="T27" s="31" t="s">
        <v>1558</v>
      </c>
      <c r="U27" s="75">
        <v>8500062448</v>
      </c>
      <c r="V27" s="31">
        <v>5001125878</v>
      </c>
      <c r="W27" s="50">
        <v>45231</v>
      </c>
      <c r="X27" s="34">
        <v>1620</v>
      </c>
      <c r="Y27" s="34">
        <v>16200</v>
      </c>
      <c r="Z27" s="34" t="s">
        <v>35</v>
      </c>
      <c r="AA27" s="34">
        <f t="shared" si="0"/>
        <v>0</v>
      </c>
      <c r="AB27" s="34">
        <f t="shared" si="1"/>
        <v>0</v>
      </c>
      <c r="AC27" s="29"/>
      <c r="AD27" s="29"/>
      <c r="AE27" s="25"/>
      <c r="AF27" s="25"/>
      <c r="AG27" s="25"/>
      <c r="AH27" s="35"/>
    </row>
    <row r="28" spans="1:34" ht="21" customHeight="1">
      <c r="A28" s="83" t="s">
        <v>24</v>
      </c>
      <c r="B28" s="63">
        <v>6000025815</v>
      </c>
      <c r="C28" s="44" t="s">
        <v>25</v>
      </c>
      <c r="D28" s="122" t="s">
        <v>1718</v>
      </c>
      <c r="E28" s="29">
        <v>10</v>
      </c>
      <c r="F28" s="29">
        <v>60</v>
      </c>
      <c r="G28" s="31">
        <f t="shared" si="2"/>
        <v>600</v>
      </c>
      <c r="H28" s="67" t="s">
        <v>46</v>
      </c>
      <c r="I28" s="37">
        <v>45209</v>
      </c>
      <c r="J28" s="33">
        <v>60</v>
      </c>
      <c r="K28" s="33">
        <v>2</v>
      </c>
      <c r="L28" s="57">
        <v>45206</v>
      </c>
      <c r="M28" s="31">
        <v>600</v>
      </c>
      <c r="N28" s="31">
        <f>6+20</f>
        <v>26</v>
      </c>
      <c r="O28" s="31" t="s">
        <v>1340</v>
      </c>
      <c r="P28" s="74" t="s">
        <v>28</v>
      </c>
      <c r="Q28" s="33">
        <v>8500062447</v>
      </c>
      <c r="R28" s="33">
        <v>5001072099</v>
      </c>
      <c r="S28" s="29">
        <v>60</v>
      </c>
      <c r="T28" s="31" t="s">
        <v>1558</v>
      </c>
      <c r="U28" s="75">
        <v>8500062449</v>
      </c>
      <c r="V28" s="31">
        <v>5001059956</v>
      </c>
      <c r="W28" s="50">
        <v>45231</v>
      </c>
      <c r="X28" s="34">
        <v>60</v>
      </c>
      <c r="Y28" s="34">
        <v>600</v>
      </c>
      <c r="Z28" s="34" t="s">
        <v>755</v>
      </c>
      <c r="AA28" s="34">
        <f t="shared" si="0"/>
        <v>0</v>
      </c>
      <c r="AB28" s="34">
        <f t="shared" si="1"/>
        <v>0</v>
      </c>
      <c r="AC28" s="29"/>
      <c r="AD28" s="29"/>
      <c r="AE28" s="25"/>
      <c r="AF28" s="25"/>
      <c r="AG28" s="25"/>
      <c r="AH28" s="35"/>
    </row>
    <row r="29" spans="1:34" ht="21" customHeight="1">
      <c r="A29" s="31"/>
      <c r="B29" s="63"/>
      <c r="C29" s="29"/>
      <c r="D29" s="64"/>
      <c r="E29" s="29">
        <v>10</v>
      </c>
      <c r="F29" s="29">
        <v>2040</v>
      </c>
      <c r="G29" s="31">
        <f t="shared" si="2"/>
        <v>20400</v>
      </c>
      <c r="H29" s="67" t="s">
        <v>37</v>
      </c>
      <c r="I29" s="37">
        <v>45210</v>
      </c>
      <c r="J29" s="33">
        <v>2040</v>
      </c>
      <c r="K29" s="33">
        <v>25</v>
      </c>
      <c r="L29" s="57" t="s">
        <v>1770</v>
      </c>
      <c r="M29" s="31">
        <f>9600+10800</f>
        <v>20400</v>
      </c>
      <c r="N29" s="31">
        <f>220</f>
        <v>220</v>
      </c>
      <c r="O29" s="31" t="s">
        <v>1743</v>
      </c>
      <c r="P29" s="74" t="s">
        <v>28</v>
      </c>
      <c r="Q29" s="33">
        <v>8500062447</v>
      </c>
      <c r="R29" s="33">
        <v>5001079274</v>
      </c>
      <c r="S29" s="29">
        <v>2040</v>
      </c>
      <c r="T29" s="31" t="s">
        <v>1558</v>
      </c>
      <c r="U29" s="75">
        <v>8500062449</v>
      </c>
      <c r="V29" s="31">
        <v>5001067916</v>
      </c>
      <c r="W29" s="50">
        <v>45226</v>
      </c>
      <c r="X29" s="34">
        <v>2040</v>
      </c>
      <c r="Y29" s="34">
        <v>20400</v>
      </c>
      <c r="Z29" s="34" t="s">
        <v>35</v>
      </c>
      <c r="AA29" s="34">
        <f t="shared" si="0"/>
        <v>0</v>
      </c>
      <c r="AB29" s="34">
        <f t="shared" si="1"/>
        <v>0</v>
      </c>
      <c r="AC29" s="29"/>
      <c r="AD29" s="29"/>
      <c r="AE29" s="25"/>
      <c r="AF29" s="25"/>
      <c r="AG29" s="25"/>
      <c r="AH29" s="35"/>
    </row>
    <row r="30" spans="1:34" ht="21" customHeight="1">
      <c r="A30" s="83" t="s">
        <v>24</v>
      </c>
      <c r="B30" s="63">
        <v>6000025816</v>
      </c>
      <c r="C30" s="44" t="s">
        <v>762</v>
      </c>
      <c r="D30" s="122" t="s">
        <v>1719</v>
      </c>
      <c r="E30" s="29">
        <v>10</v>
      </c>
      <c r="F30" s="29">
        <v>200</v>
      </c>
      <c r="G30" s="31">
        <f t="shared" si="2"/>
        <v>2000</v>
      </c>
      <c r="H30" s="67" t="s">
        <v>27</v>
      </c>
      <c r="I30" s="37" t="s">
        <v>1804</v>
      </c>
      <c r="J30" s="33">
        <f>183+17</f>
        <v>200</v>
      </c>
      <c r="K30" s="33">
        <f>2+4</f>
        <v>6</v>
      </c>
      <c r="L30" s="57">
        <v>45222</v>
      </c>
      <c r="M30" s="31">
        <v>2000</v>
      </c>
      <c r="N30" s="31">
        <f>20+20</f>
        <v>40</v>
      </c>
      <c r="O30" s="31" t="s">
        <v>917</v>
      </c>
      <c r="P30" s="74" t="s">
        <v>28</v>
      </c>
      <c r="Q30" s="33">
        <v>8500062452</v>
      </c>
      <c r="R30" s="33">
        <v>5001097171</v>
      </c>
      <c r="S30" s="29">
        <v>200</v>
      </c>
      <c r="T30" s="31" t="s">
        <v>1558</v>
      </c>
      <c r="U30" s="75">
        <v>8500062451</v>
      </c>
      <c r="V30" s="31">
        <v>5001125886</v>
      </c>
      <c r="W30" s="50">
        <v>45236</v>
      </c>
      <c r="X30" s="34">
        <v>200</v>
      </c>
      <c r="Y30" s="34">
        <v>2000</v>
      </c>
      <c r="Z30" s="34" t="s">
        <v>800</v>
      </c>
      <c r="AA30" s="34">
        <f t="shared" si="0"/>
        <v>0</v>
      </c>
      <c r="AB30" s="34">
        <f t="shared" si="1"/>
        <v>0</v>
      </c>
      <c r="AC30" s="29"/>
      <c r="AD30" s="29"/>
      <c r="AE30" s="25"/>
      <c r="AF30" s="25"/>
      <c r="AG30" s="25"/>
      <c r="AH30" s="35"/>
    </row>
    <row r="31" spans="1:34" ht="21" customHeight="1">
      <c r="A31" s="31"/>
      <c r="B31" s="63"/>
      <c r="C31" s="29"/>
      <c r="D31" s="64"/>
      <c r="E31" s="29">
        <v>10</v>
      </c>
      <c r="F31" s="29">
        <v>1900</v>
      </c>
      <c r="G31" s="31">
        <f t="shared" si="2"/>
        <v>19000</v>
      </c>
      <c r="H31" s="67" t="s">
        <v>46</v>
      </c>
      <c r="I31" s="37">
        <v>45209</v>
      </c>
      <c r="J31" s="33">
        <v>1900</v>
      </c>
      <c r="K31" s="33">
        <v>21</v>
      </c>
      <c r="L31" s="57">
        <v>45215</v>
      </c>
      <c r="M31" s="31">
        <f>16500+2500</f>
        <v>19000</v>
      </c>
      <c r="N31" s="31">
        <f>190+20</f>
        <v>210</v>
      </c>
      <c r="O31" s="31" t="s">
        <v>1818</v>
      </c>
      <c r="P31" s="74" t="s">
        <v>28</v>
      </c>
      <c r="Q31" s="33">
        <v>8500062452</v>
      </c>
      <c r="R31" s="33">
        <v>5001072160</v>
      </c>
      <c r="S31" s="29">
        <v>1900</v>
      </c>
      <c r="T31" s="31" t="s">
        <v>1558</v>
      </c>
      <c r="U31" s="75">
        <v>8500062451</v>
      </c>
      <c r="V31" s="31">
        <v>5001097109</v>
      </c>
      <c r="W31" s="50" t="s">
        <v>1899</v>
      </c>
      <c r="X31" s="34">
        <f>400+1500</f>
        <v>1900</v>
      </c>
      <c r="Y31" s="34">
        <f>4000+15000</f>
        <v>19000</v>
      </c>
      <c r="Z31" s="34" t="s">
        <v>1900</v>
      </c>
      <c r="AA31" s="34">
        <f t="shared" si="0"/>
        <v>0</v>
      </c>
      <c r="AB31" s="34">
        <f t="shared" si="1"/>
        <v>0</v>
      </c>
      <c r="AC31" s="29"/>
      <c r="AD31" s="29"/>
      <c r="AE31" s="25"/>
      <c r="AF31" s="25"/>
      <c r="AG31" s="25"/>
      <c r="AH31" s="35"/>
    </row>
    <row r="32" spans="1:34" ht="23.25" customHeight="1">
      <c r="A32" s="83" t="s">
        <v>24</v>
      </c>
      <c r="B32" s="63">
        <v>6000025817</v>
      </c>
      <c r="C32" s="44" t="s">
        <v>762</v>
      </c>
      <c r="D32" s="122" t="s">
        <v>1720</v>
      </c>
      <c r="E32" s="29">
        <v>10</v>
      </c>
      <c r="F32" s="29">
        <v>100</v>
      </c>
      <c r="G32" s="31">
        <f t="shared" si="2"/>
        <v>1000</v>
      </c>
      <c r="H32" s="67" t="s">
        <v>27</v>
      </c>
      <c r="I32" s="37">
        <v>45215</v>
      </c>
      <c r="J32" s="33">
        <v>100</v>
      </c>
      <c r="K32" s="33">
        <v>4</v>
      </c>
      <c r="L32" s="57">
        <v>45222</v>
      </c>
      <c r="M32" s="31">
        <v>1000</v>
      </c>
      <c r="N32" s="31">
        <f>10+20</f>
        <v>30</v>
      </c>
      <c r="O32" s="31" t="s">
        <v>1390</v>
      </c>
      <c r="P32" s="74" t="s">
        <v>28</v>
      </c>
      <c r="Q32" s="33">
        <v>8500062445</v>
      </c>
      <c r="R32" s="33">
        <v>5001097149</v>
      </c>
      <c r="S32" s="29">
        <v>100</v>
      </c>
      <c r="T32" s="31" t="s">
        <v>1558</v>
      </c>
      <c r="U32" s="75">
        <v>8500062446</v>
      </c>
      <c r="V32" s="31">
        <v>5001125906</v>
      </c>
      <c r="W32" s="50">
        <v>45240</v>
      </c>
      <c r="X32" s="34">
        <v>100</v>
      </c>
      <c r="Y32" s="34">
        <v>1000</v>
      </c>
      <c r="Z32" s="34" t="s">
        <v>727</v>
      </c>
      <c r="AA32" s="34">
        <f t="shared" si="0"/>
        <v>0</v>
      </c>
      <c r="AB32" s="34">
        <f t="shared" si="1"/>
        <v>0</v>
      </c>
      <c r="AC32" s="29"/>
      <c r="AD32" s="29"/>
      <c r="AE32" s="25"/>
      <c r="AF32" s="25"/>
      <c r="AG32" s="25"/>
      <c r="AH32" s="35"/>
    </row>
    <row r="33" spans="1:34" ht="38.25" customHeight="1">
      <c r="A33" s="83"/>
      <c r="B33" s="63"/>
      <c r="C33" s="44"/>
      <c r="D33" s="122"/>
      <c r="E33" s="29">
        <v>10</v>
      </c>
      <c r="F33" s="29">
        <v>2000</v>
      </c>
      <c r="G33" s="31">
        <f t="shared" si="2"/>
        <v>20000</v>
      </c>
      <c r="H33" s="67" t="s">
        <v>37</v>
      </c>
      <c r="I33" s="37">
        <v>45212</v>
      </c>
      <c r="J33" s="33">
        <v>2000</v>
      </c>
      <c r="K33" s="33">
        <v>20</v>
      </c>
      <c r="L33" s="57" t="s">
        <v>1828</v>
      </c>
      <c r="M33" s="31">
        <f>19900+100</f>
        <v>20000</v>
      </c>
      <c r="N33" s="31">
        <f>200+20</f>
        <v>220</v>
      </c>
      <c r="O33" s="31" t="s">
        <v>1827</v>
      </c>
      <c r="P33" s="74" t="s">
        <v>28</v>
      </c>
      <c r="Q33" s="33">
        <v>8500062445</v>
      </c>
      <c r="R33" s="33">
        <v>5001084209</v>
      </c>
      <c r="S33" s="29">
        <v>2000</v>
      </c>
      <c r="T33" s="31" t="s">
        <v>1558</v>
      </c>
      <c r="U33" s="75">
        <v>8500062446</v>
      </c>
      <c r="V33" s="31">
        <v>5001125906</v>
      </c>
      <c r="W33" s="50">
        <v>45241</v>
      </c>
      <c r="X33" s="34">
        <v>2000</v>
      </c>
      <c r="Y33" s="34">
        <v>20000</v>
      </c>
      <c r="Z33" s="34" t="s">
        <v>35</v>
      </c>
      <c r="AA33" s="34">
        <f t="shared" si="0"/>
        <v>0</v>
      </c>
      <c r="AB33" s="34">
        <f t="shared" si="1"/>
        <v>0</v>
      </c>
      <c r="AC33" s="29"/>
      <c r="AD33" s="29"/>
      <c r="AE33" s="25"/>
      <c r="AF33" s="25"/>
      <c r="AG33" s="25"/>
      <c r="AH33" s="35"/>
    </row>
    <row r="34" spans="1:34" ht="15.6">
      <c r="A34" s="83" t="s">
        <v>1481</v>
      </c>
      <c r="B34" s="63">
        <v>6000025785</v>
      </c>
      <c r="C34" s="44" t="s">
        <v>1480</v>
      </c>
      <c r="D34" s="122" t="s">
        <v>1721</v>
      </c>
      <c r="E34" s="29">
        <v>10</v>
      </c>
      <c r="F34" s="29">
        <v>760</v>
      </c>
      <c r="G34" s="31">
        <f t="shared" si="2"/>
        <v>7600</v>
      </c>
      <c r="H34" s="67" t="s">
        <v>27</v>
      </c>
      <c r="I34" s="37">
        <v>45219</v>
      </c>
      <c r="J34" s="33">
        <v>760</v>
      </c>
      <c r="K34" s="33">
        <v>8</v>
      </c>
      <c r="L34" s="57">
        <v>45219</v>
      </c>
      <c r="M34" s="31">
        <v>7600</v>
      </c>
      <c r="N34" s="31">
        <v>76</v>
      </c>
      <c r="O34" s="31" t="s">
        <v>1813</v>
      </c>
      <c r="P34" s="74" t="s">
        <v>28</v>
      </c>
      <c r="Q34" s="33">
        <v>8500062494</v>
      </c>
      <c r="R34" s="33">
        <v>5001113427</v>
      </c>
      <c r="S34" s="33">
        <v>760</v>
      </c>
      <c r="T34" s="31" t="s">
        <v>1558</v>
      </c>
      <c r="U34" s="75">
        <v>8500062493</v>
      </c>
      <c r="V34" s="31">
        <v>5001116256</v>
      </c>
      <c r="W34" s="50">
        <v>45229</v>
      </c>
      <c r="X34" s="34">
        <v>760</v>
      </c>
      <c r="Y34" s="34">
        <v>7600</v>
      </c>
      <c r="Z34" s="34" t="s">
        <v>1472</v>
      </c>
      <c r="AA34" s="34">
        <f t="shared" si="0"/>
        <v>0</v>
      </c>
      <c r="AB34" s="34">
        <f t="shared" si="1"/>
        <v>0</v>
      </c>
      <c r="AC34" s="29"/>
      <c r="AD34" s="29"/>
      <c r="AE34" s="25"/>
      <c r="AF34" s="25"/>
      <c r="AG34" s="25"/>
      <c r="AH34" s="35"/>
    </row>
    <row r="35" spans="1:34" ht="15.6">
      <c r="A35" s="83"/>
      <c r="B35" s="63"/>
      <c r="C35" s="44"/>
      <c r="D35" s="122"/>
      <c r="E35" s="29">
        <v>10</v>
      </c>
      <c r="F35" s="29">
        <v>1500</v>
      </c>
      <c r="G35" s="31">
        <f t="shared" si="2"/>
        <v>15000</v>
      </c>
      <c r="H35" s="67" t="s">
        <v>46</v>
      </c>
      <c r="I35" s="37">
        <v>45219</v>
      </c>
      <c r="J35" s="33">
        <v>1500</v>
      </c>
      <c r="K35" s="33">
        <v>15</v>
      </c>
      <c r="L35" s="57">
        <v>45219</v>
      </c>
      <c r="M35" s="31">
        <v>15000</v>
      </c>
      <c r="N35" s="31">
        <v>150</v>
      </c>
      <c r="O35" s="31" t="s">
        <v>1814</v>
      </c>
      <c r="P35" s="74" t="s">
        <v>28</v>
      </c>
      <c r="Q35" s="33">
        <v>8500062495</v>
      </c>
      <c r="R35" s="33">
        <v>5001116504</v>
      </c>
      <c r="S35" s="33">
        <v>1500</v>
      </c>
      <c r="T35" s="31" t="s">
        <v>1558</v>
      </c>
      <c r="U35" s="75">
        <v>8500062493</v>
      </c>
      <c r="V35" s="31">
        <v>5001116256</v>
      </c>
      <c r="W35" s="50" t="s">
        <v>1831</v>
      </c>
      <c r="X35" s="34">
        <v>1500</v>
      </c>
      <c r="Y35" s="34">
        <v>15000</v>
      </c>
      <c r="Z35" s="34" t="s">
        <v>267</v>
      </c>
      <c r="AA35" s="34">
        <f t="shared" si="0"/>
        <v>0</v>
      </c>
      <c r="AB35" s="34">
        <f t="shared" si="1"/>
        <v>0</v>
      </c>
      <c r="AC35" s="29"/>
      <c r="AD35" s="29"/>
      <c r="AE35" s="25"/>
      <c r="AF35" s="25"/>
      <c r="AG35" s="25"/>
      <c r="AH35" s="35"/>
    </row>
    <row r="36" spans="1:34" ht="15.6">
      <c r="A36" s="83"/>
      <c r="B36" s="63"/>
      <c r="C36" s="44"/>
      <c r="D36" s="122"/>
      <c r="E36" s="29">
        <v>10</v>
      </c>
      <c r="F36" s="29">
        <v>400</v>
      </c>
      <c r="G36" s="31">
        <f t="shared" si="2"/>
        <v>4000</v>
      </c>
      <c r="H36" s="67" t="s">
        <v>37</v>
      </c>
      <c r="I36" s="37">
        <v>45219</v>
      </c>
      <c r="J36" s="33">
        <v>400</v>
      </c>
      <c r="K36" s="33">
        <v>8</v>
      </c>
      <c r="L36" s="57">
        <v>45223</v>
      </c>
      <c r="M36" s="31">
        <v>4000</v>
      </c>
      <c r="N36" s="31">
        <v>40</v>
      </c>
      <c r="O36" s="31" t="s">
        <v>1344</v>
      </c>
      <c r="P36" s="74" t="s">
        <v>28</v>
      </c>
      <c r="Q36" s="33">
        <v>8500062494</v>
      </c>
      <c r="R36" s="33">
        <v>5001113427</v>
      </c>
      <c r="S36" s="33">
        <v>400</v>
      </c>
      <c r="T36" s="31" t="s">
        <v>1558</v>
      </c>
      <c r="U36" s="75">
        <v>8500062493</v>
      </c>
      <c r="V36" s="31">
        <v>5001129989</v>
      </c>
      <c r="W36" s="50">
        <v>45224</v>
      </c>
      <c r="X36" s="34">
        <v>400</v>
      </c>
      <c r="Y36" s="34">
        <v>4000</v>
      </c>
      <c r="Z36" s="34" t="s">
        <v>1472</v>
      </c>
      <c r="AA36" s="34">
        <f t="shared" si="0"/>
        <v>0</v>
      </c>
      <c r="AB36" s="34">
        <f t="shared" si="1"/>
        <v>0</v>
      </c>
      <c r="AC36" s="29"/>
      <c r="AD36" s="29"/>
      <c r="AE36" s="25"/>
      <c r="AF36" s="25"/>
      <c r="AG36" s="25"/>
      <c r="AH36" s="35"/>
    </row>
    <row r="37" spans="1:34" ht="26.25" customHeight="1">
      <c r="A37" s="83" t="s">
        <v>1481</v>
      </c>
      <c r="B37" s="63">
        <v>6000025786</v>
      </c>
      <c r="C37" s="44" t="s">
        <v>1480</v>
      </c>
      <c r="D37" s="122" t="s">
        <v>1722</v>
      </c>
      <c r="E37" s="29">
        <v>10</v>
      </c>
      <c r="F37" s="29">
        <v>760</v>
      </c>
      <c r="G37" s="31">
        <f t="shared" ref="G37:G95" si="4">F37*E37</f>
        <v>7600</v>
      </c>
      <c r="H37" s="67" t="s">
        <v>27</v>
      </c>
      <c r="I37" s="37">
        <v>45219</v>
      </c>
      <c r="J37" s="33">
        <v>760</v>
      </c>
      <c r="K37" s="33">
        <v>10</v>
      </c>
      <c r="L37" s="57">
        <v>45223</v>
      </c>
      <c r="M37" s="31">
        <v>7600</v>
      </c>
      <c r="N37" s="31">
        <v>76</v>
      </c>
      <c r="O37" s="31" t="s">
        <v>1791</v>
      </c>
      <c r="P37" s="74" t="s">
        <v>28</v>
      </c>
      <c r="Q37" s="33">
        <v>8500062496</v>
      </c>
      <c r="R37" s="33">
        <v>5001116507</v>
      </c>
      <c r="S37" s="33">
        <v>760</v>
      </c>
      <c r="T37" s="31" t="s">
        <v>1558</v>
      </c>
      <c r="U37" s="75">
        <v>8500062495</v>
      </c>
      <c r="V37" s="31">
        <v>5001130011</v>
      </c>
      <c r="W37" s="50">
        <v>45231</v>
      </c>
      <c r="X37" s="34">
        <v>760</v>
      </c>
      <c r="Y37" s="34">
        <v>7600</v>
      </c>
      <c r="Z37" s="34" t="s">
        <v>1472</v>
      </c>
      <c r="AA37" s="34">
        <f t="shared" si="0"/>
        <v>0</v>
      </c>
      <c r="AB37" s="34">
        <f t="shared" si="1"/>
        <v>0</v>
      </c>
      <c r="AC37" s="29"/>
      <c r="AD37" s="29"/>
      <c r="AE37" s="25"/>
      <c r="AF37" s="25"/>
      <c r="AG37" s="25"/>
      <c r="AH37" s="35"/>
    </row>
    <row r="38" spans="1:34" ht="22.5" customHeight="1">
      <c r="A38" s="83"/>
      <c r="B38" s="63"/>
      <c r="C38" s="44"/>
      <c r="D38" s="122"/>
      <c r="E38" s="29">
        <v>10</v>
      </c>
      <c r="F38" s="29">
        <v>1500</v>
      </c>
      <c r="G38" s="31">
        <f t="shared" si="4"/>
        <v>15000</v>
      </c>
      <c r="H38" s="67" t="s">
        <v>46</v>
      </c>
      <c r="I38" s="37">
        <v>45219</v>
      </c>
      <c r="J38" s="33">
        <v>1500</v>
      </c>
      <c r="K38" s="33">
        <v>15</v>
      </c>
      <c r="L38" s="57">
        <v>45223</v>
      </c>
      <c r="M38" s="31">
        <v>15000</v>
      </c>
      <c r="N38" s="31">
        <v>150</v>
      </c>
      <c r="O38" s="31" t="s">
        <v>1791</v>
      </c>
      <c r="P38" s="74" t="s">
        <v>28</v>
      </c>
      <c r="Q38" s="33">
        <v>8500062496</v>
      </c>
      <c r="R38" s="33">
        <v>5001116507</v>
      </c>
      <c r="S38" s="33">
        <v>1500</v>
      </c>
      <c r="T38" s="31" t="s">
        <v>1558</v>
      </c>
      <c r="U38" s="75">
        <v>8500062495</v>
      </c>
      <c r="V38" s="31">
        <v>5001130011</v>
      </c>
      <c r="W38" s="50">
        <v>45234</v>
      </c>
      <c r="X38" s="34">
        <v>1500</v>
      </c>
      <c r="Y38" s="34">
        <v>15000</v>
      </c>
      <c r="Z38" s="34" t="s">
        <v>267</v>
      </c>
      <c r="AA38" s="34">
        <f t="shared" si="0"/>
        <v>0</v>
      </c>
      <c r="AB38" s="34">
        <f t="shared" si="1"/>
        <v>0</v>
      </c>
      <c r="AC38" s="29"/>
      <c r="AD38" s="29"/>
      <c r="AE38" s="25"/>
      <c r="AF38" s="25"/>
      <c r="AG38" s="25"/>
      <c r="AH38" s="35"/>
    </row>
    <row r="39" spans="1:34" ht="22.5" customHeight="1">
      <c r="A39" s="83"/>
      <c r="B39" s="63"/>
      <c r="C39" s="44"/>
      <c r="D39" s="122"/>
      <c r="E39" s="29">
        <v>10</v>
      </c>
      <c r="F39" s="29">
        <v>400</v>
      </c>
      <c r="G39" s="31">
        <f t="shared" si="4"/>
        <v>4000</v>
      </c>
      <c r="H39" s="67" t="s">
        <v>37</v>
      </c>
      <c r="I39" s="37">
        <v>45219</v>
      </c>
      <c r="J39" s="33">
        <v>400</v>
      </c>
      <c r="K39" s="33">
        <v>4</v>
      </c>
      <c r="L39" s="57">
        <v>45219</v>
      </c>
      <c r="M39" s="31">
        <v>4000</v>
      </c>
      <c r="N39" s="31">
        <v>40</v>
      </c>
      <c r="O39" s="31" t="s">
        <v>1732</v>
      </c>
      <c r="P39" s="74" t="s">
        <v>28</v>
      </c>
      <c r="Q39" s="33">
        <v>8500062496</v>
      </c>
      <c r="R39" s="33">
        <v>5001116507</v>
      </c>
      <c r="S39" s="33">
        <v>400</v>
      </c>
      <c r="T39" s="31" t="s">
        <v>1558</v>
      </c>
      <c r="U39" s="75">
        <v>8500062495</v>
      </c>
      <c r="V39" s="31">
        <v>5001116257</v>
      </c>
      <c r="W39" s="50">
        <v>45234</v>
      </c>
      <c r="X39" s="34">
        <v>400</v>
      </c>
      <c r="Y39" s="34">
        <v>4000</v>
      </c>
      <c r="Z39" s="34" t="s">
        <v>1513</v>
      </c>
      <c r="AA39" s="34">
        <f t="shared" si="0"/>
        <v>0</v>
      </c>
      <c r="AB39" s="34">
        <f t="shared" si="1"/>
        <v>0</v>
      </c>
      <c r="AC39" s="29"/>
      <c r="AD39" s="29"/>
      <c r="AE39" s="25"/>
      <c r="AF39" s="25"/>
      <c r="AG39" s="25"/>
      <c r="AH39" s="35"/>
    </row>
    <row r="40" spans="1:34" ht="15.6">
      <c r="A40" s="83" t="s">
        <v>1563</v>
      </c>
      <c r="B40" s="63">
        <v>6000025532</v>
      </c>
      <c r="C40" s="44" t="s">
        <v>1564</v>
      </c>
      <c r="D40" s="122" t="s">
        <v>1723</v>
      </c>
      <c r="E40" s="29">
        <v>10</v>
      </c>
      <c r="F40" s="29">
        <v>1000</v>
      </c>
      <c r="G40" s="31">
        <f t="shared" si="4"/>
        <v>10000</v>
      </c>
      <c r="H40" s="67" t="s">
        <v>27</v>
      </c>
      <c r="I40" s="37">
        <v>45211</v>
      </c>
      <c r="J40" s="33">
        <v>1000</v>
      </c>
      <c r="K40" s="33">
        <v>20</v>
      </c>
      <c r="L40" s="57">
        <v>45206</v>
      </c>
      <c r="M40" s="31">
        <v>10000</v>
      </c>
      <c r="N40" s="31">
        <v>100</v>
      </c>
      <c r="O40" s="31" t="s">
        <v>1738</v>
      </c>
      <c r="P40" s="74" t="s">
        <v>924</v>
      </c>
      <c r="Q40" s="33">
        <v>8500062321</v>
      </c>
      <c r="R40" s="33">
        <v>5001082389</v>
      </c>
      <c r="S40" s="33">
        <v>1000</v>
      </c>
      <c r="T40" s="31" t="s">
        <v>1558</v>
      </c>
      <c r="U40" s="75">
        <v>8500062320</v>
      </c>
      <c r="V40" s="31">
        <v>5001059996</v>
      </c>
      <c r="W40" s="50">
        <v>45216</v>
      </c>
      <c r="X40" s="34">
        <v>1000</v>
      </c>
      <c r="Y40" s="34">
        <v>10000</v>
      </c>
      <c r="Z40" s="34" t="s">
        <v>1788</v>
      </c>
      <c r="AA40" s="34">
        <f t="shared" si="0"/>
        <v>0</v>
      </c>
      <c r="AB40" s="34">
        <f t="shared" si="1"/>
        <v>0</v>
      </c>
      <c r="AC40" s="490" t="s">
        <v>1786</v>
      </c>
      <c r="AD40" s="29"/>
      <c r="AE40" s="25"/>
      <c r="AF40" s="25"/>
      <c r="AG40" s="25"/>
      <c r="AH40" s="35"/>
    </row>
    <row r="41" spans="1:34" ht="31.2">
      <c r="A41" s="44"/>
      <c r="B41" s="63"/>
      <c r="C41" s="29"/>
      <c r="D41" s="84"/>
      <c r="E41" s="29">
        <v>10</v>
      </c>
      <c r="F41" s="29">
        <v>1700</v>
      </c>
      <c r="G41" s="31">
        <f t="shared" si="4"/>
        <v>17000</v>
      </c>
      <c r="H41" s="67" t="s">
        <v>46</v>
      </c>
      <c r="I41" s="37">
        <v>45211</v>
      </c>
      <c r="J41" s="33">
        <v>1700</v>
      </c>
      <c r="K41" s="33">
        <v>10</v>
      </c>
      <c r="L41" s="57">
        <v>45206</v>
      </c>
      <c r="M41" s="31">
        <v>17000</v>
      </c>
      <c r="N41" s="31">
        <v>170</v>
      </c>
      <c r="O41" s="31" t="s">
        <v>1739</v>
      </c>
      <c r="P41" s="74" t="s">
        <v>924</v>
      </c>
      <c r="Q41" s="33">
        <v>8500062321</v>
      </c>
      <c r="R41" s="33">
        <v>5001082389</v>
      </c>
      <c r="S41" s="33">
        <v>1700</v>
      </c>
      <c r="T41" s="31" t="s">
        <v>1558</v>
      </c>
      <c r="U41" s="75">
        <v>8500062320</v>
      </c>
      <c r="V41" s="31">
        <v>5001059996</v>
      </c>
      <c r="W41" s="50" t="s">
        <v>1859</v>
      </c>
      <c r="X41" s="34">
        <f>1000+700</f>
        <v>1700</v>
      </c>
      <c r="Y41" s="34">
        <v>17000</v>
      </c>
      <c r="Z41" s="34" t="s">
        <v>1788</v>
      </c>
      <c r="AA41" s="34">
        <f t="shared" si="0"/>
        <v>0</v>
      </c>
      <c r="AB41" s="34">
        <f t="shared" si="1"/>
        <v>0</v>
      </c>
      <c r="AC41" s="483"/>
      <c r="AD41" s="29"/>
      <c r="AE41" s="25"/>
      <c r="AF41" s="25"/>
      <c r="AG41" s="25"/>
      <c r="AH41" s="35"/>
    </row>
    <row r="42" spans="1:34" ht="15.6">
      <c r="A42" s="44"/>
      <c r="B42" s="63"/>
      <c r="C42" s="29"/>
      <c r="D42" s="84"/>
      <c r="E42" s="29">
        <v>10</v>
      </c>
      <c r="F42" s="29">
        <v>1200</v>
      </c>
      <c r="G42" s="31">
        <f t="shared" si="4"/>
        <v>12000</v>
      </c>
      <c r="H42" s="67" t="s">
        <v>37</v>
      </c>
      <c r="I42" s="37">
        <v>45211</v>
      </c>
      <c r="J42" s="33">
        <v>1200</v>
      </c>
      <c r="K42" s="33">
        <v>15</v>
      </c>
      <c r="L42" s="57">
        <v>45206</v>
      </c>
      <c r="M42" s="31">
        <v>12000</v>
      </c>
      <c r="N42" s="31">
        <v>120</v>
      </c>
      <c r="O42" s="31" t="s">
        <v>1738</v>
      </c>
      <c r="P42" s="74" t="s">
        <v>924</v>
      </c>
      <c r="Q42" s="33">
        <v>8500062321</v>
      </c>
      <c r="R42" s="33">
        <v>5001082389</v>
      </c>
      <c r="S42" s="33">
        <v>1200</v>
      </c>
      <c r="T42" s="31" t="s">
        <v>1558</v>
      </c>
      <c r="U42" s="75">
        <v>8500062320</v>
      </c>
      <c r="V42" s="31">
        <v>5001059996</v>
      </c>
      <c r="W42" s="50">
        <v>45216</v>
      </c>
      <c r="X42" s="34">
        <v>1200</v>
      </c>
      <c r="Y42" s="34">
        <v>12000</v>
      </c>
      <c r="Z42" s="34"/>
      <c r="AA42" s="34">
        <f t="shared" si="0"/>
        <v>0</v>
      </c>
      <c r="AB42" s="34">
        <f t="shared" si="1"/>
        <v>0</v>
      </c>
      <c r="AC42" s="484"/>
      <c r="AD42" s="29"/>
      <c r="AE42" s="25"/>
      <c r="AF42" s="25"/>
      <c r="AG42" s="25"/>
      <c r="AH42" s="35"/>
    </row>
    <row r="43" spans="1:34" ht="27" customHeight="1">
      <c r="A43" s="83" t="s">
        <v>1563</v>
      </c>
      <c r="B43" s="63">
        <v>6000025534</v>
      </c>
      <c r="C43" s="44" t="s">
        <v>1564</v>
      </c>
      <c r="D43" s="122" t="s">
        <v>1724</v>
      </c>
      <c r="E43" s="29">
        <v>10</v>
      </c>
      <c r="F43" s="29">
        <v>790</v>
      </c>
      <c r="G43" s="31">
        <f t="shared" si="4"/>
        <v>7900</v>
      </c>
      <c r="H43" s="67" t="s">
        <v>27</v>
      </c>
      <c r="I43" s="37" t="s">
        <v>1766</v>
      </c>
      <c r="J43" s="33">
        <f>648+142</f>
        <v>790</v>
      </c>
      <c r="K43" s="33">
        <v>18</v>
      </c>
      <c r="L43" s="57">
        <v>45206</v>
      </c>
      <c r="M43" s="31">
        <v>7900</v>
      </c>
      <c r="N43" s="31">
        <v>79</v>
      </c>
      <c r="O43" s="31" t="s">
        <v>1411</v>
      </c>
      <c r="P43" s="74" t="s">
        <v>924</v>
      </c>
      <c r="Q43" s="33">
        <v>8500062319</v>
      </c>
      <c r="R43" s="33">
        <v>5001082411</v>
      </c>
      <c r="S43" s="33">
        <f>648+142</f>
        <v>790</v>
      </c>
      <c r="T43" s="31" t="s">
        <v>1558</v>
      </c>
      <c r="U43" s="75">
        <v>8500062318</v>
      </c>
      <c r="V43" s="31">
        <v>5001059975</v>
      </c>
      <c r="W43" s="50" t="s">
        <v>1859</v>
      </c>
      <c r="X43" s="34">
        <v>790</v>
      </c>
      <c r="Y43" s="34">
        <v>7900</v>
      </c>
      <c r="Z43" s="34" t="s">
        <v>1788</v>
      </c>
      <c r="AA43" s="34">
        <f t="shared" si="0"/>
        <v>0</v>
      </c>
      <c r="AB43" s="34">
        <f t="shared" si="1"/>
        <v>0</v>
      </c>
      <c r="AC43" s="490" t="s">
        <v>1787</v>
      </c>
      <c r="AD43" s="29"/>
      <c r="AE43" s="25"/>
      <c r="AF43" s="25"/>
      <c r="AG43" s="25"/>
      <c r="AH43" s="35"/>
    </row>
    <row r="44" spans="1:34" ht="33" customHeight="1">
      <c r="A44" s="31"/>
      <c r="B44" s="63"/>
      <c r="C44" s="29"/>
      <c r="D44" s="84"/>
      <c r="E44" s="29">
        <v>10</v>
      </c>
      <c r="F44" s="29">
        <v>1700</v>
      </c>
      <c r="G44" s="31">
        <f t="shared" si="4"/>
        <v>17000</v>
      </c>
      <c r="H44" s="67" t="s">
        <v>46</v>
      </c>
      <c r="I44" s="37" t="s">
        <v>1766</v>
      </c>
      <c r="J44" s="33">
        <f>1660+40</f>
        <v>1700</v>
      </c>
      <c r="K44" s="33">
        <v>13</v>
      </c>
      <c r="L44" s="57">
        <v>45206</v>
      </c>
      <c r="M44" s="31">
        <v>17000</v>
      </c>
      <c r="N44" s="31">
        <v>170</v>
      </c>
      <c r="O44" s="31" t="s">
        <v>741</v>
      </c>
      <c r="P44" s="74" t="s">
        <v>924</v>
      </c>
      <c r="Q44" s="33">
        <v>8500062319</v>
      </c>
      <c r="R44" s="33">
        <v>5001082411</v>
      </c>
      <c r="S44" s="33">
        <f>1660+40</f>
        <v>1700</v>
      </c>
      <c r="T44" s="31" t="s">
        <v>1558</v>
      </c>
      <c r="U44" s="75">
        <v>8500062318</v>
      </c>
      <c r="V44" s="31">
        <v>5001059975</v>
      </c>
      <c r="W44" s="50" t="s">
        <v>1860</v>
      </c>
      <c r="X44" s="34">
        <f>1000+660+40</f>
        <v>1700</v>
      </c>
      <c r="Y44" s="34">
        <f>10000+7000</f>
        <v>17000</v>
      </c>
      <c r="Z44" s="34" t="s">
        <v>1788</v>
      </c>
      <c r="AA44" s="34">
        <f t="shared" si="0"/>
        <v>0</v>
      </c>
      <c r="AB44" s="34">
        <f t="shared" si="1"/>
        <v>0</v>
      </c>
      <c r="AC44" s="483"/>
      <c r="AD44" s="29"/>
      <c r="AE44" s="25"/>
      <c r="AF44" s="25"/>
      <c r="AG44" s="25"/>
      <c r="AH44" s="35"/>
    </row>
    <row r="45" spans="1:34" ht="17.25" customHeight="1">
      <c r="A45" s="31"/>
      <c r="B45" s="63"/>
      <c r="C45" s="29"/>
      <c r="D45" s="84"/>
      <c r="E45" s="29">
        <v>10</v>
      </c>
      <c r="F45" s="29">
        <v>910</v>
      </c>
      <c r="G45" s="31">
        <f t="shared" si="4"/>
        <v>9100</v>
      </c>
      <c r="H45" s="67" t="s">
        <v>37</v>
      </c>
      <c r="I45" s="37">
        <v>45211</v>
      </c>
      <c r="J45" s="33">
        <v>910</v>
      </c>
      <c r="K45" s="33">
        <v>10</v>
      </c>
      <c r="L45" s="57">
        <v>45206</v>
      </c>
      <c r="M45" s="31">
        <v>9100</v>
      </c>
      <c r="N45" s="31">
        <v>91</v>
      </c>
      <c r="O45" s="31" t="s">
        <v>846</v>
      </c>
      <c r="P45" s="74" t="s">
        <v>924</v>
      </c>
      <c r="Q45" s="33">
        <v>8500062319</v>
      </c>
      <c r="R45" s="33">
        <v>5001082411</v>
      </c>
      <c r="S45" s="33">
        <v>910</v>
      </c>
      <c r="T45" s="31" t="s">
        <v>1558</v>
      </c>
      <c r="U45" s="75">
        <v>8500062318</v>
      </c>
      <c r="V45" s="31">
        <v>5001059975</v>
      </c>
      <c r="W45" s="50">
        <v>45226</v>
      </c>
      <c r="X45" s="34">
        <v>910</v>
      </c>
      <c r="Y45" s="34">
        <v>9100</v>
      </c>
      <c r="Z45" s="34" t="s">
        <v>1788</v>
      </c>
      <c r="AA45" s="34">
        <f t="shared" si="0"/>
        <v>0</v>
      </c>
      <c r="AB45" s="34">
        <f t="shared" si="1"/>
        <v>0</v>
      </c>
      <c r="AC45" s="483"/>
      <c r="AD45" s="29"/>
      <c r="AE45" s="25"/>
      <c r="AF45" s="25"/>
      <c r="AG45" s="25"/>
      <c r="AH45" s="35"/>
    </row>
    <row r="46" spans="1:34" ht="15.6">
      <c r="A46" s="31"/>
      <c r="B46" s="63"/>
      <c r="C46" s="29"/>
      <c r="D46" s="64"/>
      <c r="E46" s="29">
        <v>10</v>
      </c>
      <c r="F46" s="29">
        <v>500</v>
      </c>
      <c r="G46" s="31">
        <f t="shared" si="4"/>
        <v>5000</v>
      </c>
      <c r="H46" s="67" t="s">
        <v>146</v>
      </c>
      <c r="I46" s="37">
        <v>45211</v>
      </c>
      <c r="J46" s="33">
        <v>500</v>
      </c>
      <c r="K46" s="33">
        <v>10</v>
      </c>
      <c r="L46" s="57">
        <v>45206</v>
      </c>
      <c r="M46" s="31">
        <v>5000</v>
      </c>
      <c r="N46" s="31">
        <v>50</v>
      </c>
      <c r="O46" s="31" t="s">
        <v>845</v>
      </c>
      <c r="P46" s="74" t="s">
        <v>924</v>
      </c>
      <c r="Q46" s="33">
        <v>8500062319</v>
      </c>
      <c r="R46" s="33">
        <v>5001082411</v>
      </c>
      <c r="S46" s="33">
        <v>500</v>
      </c>
      <c r="T46" s="31" t="s">
        <v>1558</v>
      </c>
      <c r="U46" s="75">
        <v>8500062318</v>
      </c>
      <c r="V46" s="31">
        <v>5001059975</v>
      </c>
      <c r="W46" s="50">
        <v>45226</v>
      </c>
      <c r="X46" s="34">
        <v>500</v>
      </c>
      <c r="Y46" s="34">
        <v>5000</v>
      </c>
      <c r="Z46" s="34" t="s">
        <v>1788</v>
      </c>
      <c r="AA46" s="34">
        <f t="shared" si="0"/>
        <v>0</v>
      </c>
      <c r="AB46" s="34">
        <f t="shared" si="1"/>
        <v>0</v>
      </c>
      <c r="AC46" s="484"/>
      <c r="AD46" s="29"/>
      <c r="AE46" s="25"/>
      <c r="AF46" s="25"/>
      <c r="AG46" s="25"/>
      <c r="AH46" s="35"/>
    </row>
    <row r="47" spans="1:34" ht="15.6">
      <c r="A47" s="83" t="s">
        <v>240</v>
      </c>
      <c r="B47" s="63">
        <v>6000025653</v>
      </c>
      <c r="C47" s="44" t="s">
        <v>581</v>
      </c>
      <c r="D47" s="122">
        <v>231115</v>
      </c>
      <c r="E47" s="29">
        <v>30</v>
      </c>
      <c r="F47" s="29">
        <v>50</v>
      </c>
      <c r="G47" s="31">
        <f t="shared" si="4"/>
        <v>1500</v>
      </c>
      <c r="H47" s="67" t="s">
        <v>46</v>
      </c>
      <c r="I47" s="37">
        <v>45209</v>
      </c>
      <c r="J47" s="33">
        <v>50</v>
      </c>
      <c r="K47" s="33">
        <v>2</v>
      </c>
      <c r="L47" s="57">
        <v>45213</v>
      </c>
      <c r="M47" s="31">
        <v>1500</v>
      </c>
      <c r="N47" s="31">
        <v>15</v>
      </c>
      <c r="O47" s="31" t="s">
        <v>1637</v>
      </c>
      <c r="P47" s="74" t="s">
        <v>28</v>
      </c>
      <c r="Q47" s="33">
        <v>8500062358</v>
      </c>
      <c r="R47" s="33">
        <v>5001072097</v>
      </c>
      <c r="S47" s="33">
        <v>50</v>
      </c>
      <c r="T47" s="31" t="s">
        <v>794</v>
      </c>
      <c r="U47" s="75">
        <v>8500062357</v>
      </c>
      <c r="V47" s="31">
        <v>5001088572</v>
      </c>
      <c r="W47" s="50">
        <v>45222</v>
      </c>
      <c r="X47" s="34">
        <v>50</v>
      </c>
      <c r="Y47" s="34">
        <v>1500</v>
      </c>
      <c r="Z47" s="34" t="s">
        <v>800</v>
      </c>
      <c r="AA47" s="34">
        <f t="shared" si="0"/>
        <v>0</v>
      </c>
      <c r="AB47" s="34">
        <f t="shared" si="1"/>
        <v>0</v>
      </c>
      <c r="AC47" s="29"/>
      <c r="AD47" s="29"/>
      <c r="AE47" s="25"/>
      <c r="AF47" s="25"/>
      <c r="AG47" s="25"/>
      <c r="AH47" s="35"/>
    </row>
    <row r="48" spans="1:34" ht="15.6">
      <c r="A48" s="83" t="s">
        <v>240</v>
      </c>
      <c r="B48" s="63">
        <v>6000025653</v>
      </c>
      <c r="C48" s="44" t="s">
        <v>584</v>
      </c>
      <c r="D48" s="122">
        <v>231115</v>
      </c>
      <c r="E48" s="29">
        <v>10</v>
      </c>
      <c r="F48" s="29">
        <v>50</v>
      </c>
      <c r="G48" s="31">
        <f t="shared" si="4"/>
        <v>500</v>
      </c>
      <c r="H48" s="67" t="s">
        <v>27</v>
      </c>
      <c r="I48" s="37">
        <v>45209</v>
      </c>
      <c r="J48" s="33">
        <v>50</v>
      </c>
      <c r="K48" s="33">
        <v>3</v>
      </c>
      <c r="L48" s="57">
        <v>45213</v>
      </c>
      <c r="M48" s="31">
        <v>500</v>
      </c>
      <c r="N48" s="31">
        <v>5</v>
      </c>
      <c r="O48" s="31" t="s">
        <v>1351</v>
      </c>
      <c r="P48" s="74" t="s">
        <v>28</v>
      </c>
      <c r="Q48" s="33">
        <v>8500062361</v>
      </c>
      <c r="R48" s="33">
        <v>5001072098</v>
      </c>
      <c r="S48" s="33">
        <v>50</v>
      </c>
      <c r="T48" s="31" t="s">
        <v>794</v>
      </c>
      <c r="U48" s="75">
        <v>8500062359</v>
      </c>
      <c r="V48" s="31">
        <v>5001088559</v>
      </c>
      <c r="W48" s="50">
        <v>45238</v>
      </c>
      <c r="X48" s="34">
        <v>50</v>
      </c>
      <c r="Y48" s="34">
        <v>500</v>
      </c>
      <c r="Z48" s="34" t="s">
        <v>800</v>
      </c>
      <c r="AA48" s="34">
        <f t="shared" si="0"/>
        <v>0</v>
      </c>
      <c r="AB48" s="34">
        <f t="shared" si="1"/>
        <v>0</v>
      </c>
      <c r="AC48" s="29"/>
      <c r="AD48" s="29"/>
      <c r="AE48" s="25"/>
      <c r="AF48" s="25"/>
      <c r="AG48" s="25"/>
      <c r="AH48" s="35"/>
    </row>
    <row r="49" spans="1:34" ht="15.6">
      <c r="A49" s="31"/>
      <c r="B49" s="63"/>
      <c r="C49" s="29"/>
      <c r="D49" s="64"/>
      <c r="E49" s="29">
        <v>10</v>
      </c>
      <c r="F49" s="29">
        <v>100</v>
      </c>
      <c r="G49" s="31">
        <f t="shared" si="4"/>
        <v>1000</v>
      </c>
      <c r="H49" s="67" t="s">
        <v>46</v>
      </c>
      <c r="I49" s="37">
        <v>45209</v>
      </c>
      <c r="J49" s="33">
        <v>100</v>
      </c>
      <c r="K49" s="33">
        <v>6</v>
      </c>
      <c r="L49" s="57">
        <v>45213</v>
      </c>
      <c r="M49" s="31">
        <v>1000</v>
      </c>
      <c r="N49" s="31">
        <v>10</v>
      </c>
      <c r="O49" s="31" t="s">
        <v>1351</v>
      </c>
      <c r="P49" s="74" t="s">
        <v>28</v>
      </c>
      <c r="Q49" s="33">
        <v>8500062361</v>
      </c>
      <c r="R49" s="33">
        <v>5001072098</v>
      </c>
      <c r="S49" s="33">
        <v>100</v>
      </c>
      <c r="T49" s="31" t="s">
        <v>794</v>
      </c>
      <c r="U49" s="75">
        <v>8500062359</v>
      </c>
      <c r="V49" s="31">
        <v>5001088559</v>
      </c>
      <c r="W49" s="50">
        <v>45240</v>
      </c>
      <c r="X49" s="34">
        <v>100</v>
      </c>
      <c r="Y49" s="34">
        <v>1000</v>
      </c>
      <c r="Z49" s="34" t="s">
        <v>1980</v>
      </c>
      <c r="AA49" s="34">
        <f t="shared" si="0"/>
        <v>0</v>
      </c>
      <c r="AB49" s="34">
        <f t="shared" si="1"/>
        <v>0</v>
      </c>
      <c r="AC49" s="29"/>
      <c r="AD49" s="29"/>
      <c r="AE49" s="25"/>
      <c r="AF49" s="25"/>
      <c r="AG49" s="25"/>
      <c r="AH49" s="35"/>
    </row>
    <row r="50" spans="1:34" ht="15.6">
      <c r="A50" s="83" t="s">
        <v>1727</v>
      </c>
      <c r="B50" s="63">
        <v>6000025698</v>
      </c>
      <c r="C50" s="44" t="s">
        <v>1725</v>
      </c>
      <c r="D50" s="122" t="s">
        <v>1726</v>
      </c>
      <c r="E50" s="29">
        <v>10</v>
      </c>
      <c r="F50" s="29">
        <v>263</v>
      </c>
      <c r="G50" s="31">
        <f>F50*E50</f>
        <v>2630</v>
      </c>
      <c r="H50" s="67" t="s">
        <v>27</v>
      </c>
      <c r="I50" s="37"/>
      <c r="J50" s="33"/>
      <c r="K50" s="33">
        <v>4</v>
      </c>
      <c r="L50" s="57">
        <v>45230</v>
      </c>
      <c r="M50" s="31">
        <v>2630</v>
      </c>
      <c r="N50" s="31">
        <v>14</v>
      </c>
      <c r="O50" s="31" t="s">
        <v>1746</v>
      </c>
      <c r="P50" s="74" t="s">
        <v>895</v>
      </c>
      <c r="Q50" s="33">
        <v>8500063439</v>
      </c>
      <c r="R50" s="33">
        <v>5001223713</v>
      </c>
      <c r="S50" s="29"/>
      <c r="T50" s="31" t="s">
        <v>794</v>
      </c>
      <c r="U50" s="75">
        <v>8500063438</v>
      </c>
      <c r="V50" s="31">
        <v>5001161486</v>
      </c>
      <c r="W50" s="50">
        <v>48528</v>
      </c>
      <c r="X50" s="34"/>
      <c r="Y50" s="34">
        <v>2630</v>
      </c>
      <c r="Z50" s="34" t="s">
        <v>1981</v>
      </c>
      <c r="AA50" s="34">
        <f t="shared" si="0"/>
        <v>0</v>
      </c>
      <c r="AB50" s="34">
        <f t="shared" si="1"/>
        <v>0</v>
      </c>
      <c r="AC50" s="29"/>
      <c r="AD50" s="29"/>
      <c r="AE50" s="25"/>
      <c r="AF50" s="25"/>
      <c r="AG50" s="25"/>
      <c r="AH50" s="35"/>
    </row>
    <row r="51" spans="1:34" ht="15.6">
      <c r="A51" s="83"/>
      <c r="B51" s="63"/>
      <c r="C51" s="44"/>
      <c r="D51" s="122"/>
      <c r="E51" s="29">
        <v>10</v>
      </c>
      <c r="F51" s="29">
        <v>1207</v>
      </c>
      <c r="G51" s="31">
        <f t="shared" si="4"/>
        <v>12070</v>
      </c>
      <c r="H51" s="67" t="s">
        <v>46</v>
      </c>
      <c r="I51" s="37"/>
      <c r="J51" s="33"/>
      <c r="K51" s="33">
        <v>7</v>
      </c>
      <c r="L51" s="57">
        <v>45230</v>
      </c>
      <c r="M51" s="31">
        <v>12070</v>
      </c>
      <c r="N51" s="31">
        <v>61</v>
      </c>
      <c r="O51" s="31"/>
      <c r="P51" s="74" t="s">
        <v>895</v>
      </c>
      <c r="Q51" s="33">
        <v>8500063439</v>
      </c>
      <c r="R51" s="33">
        <v>5001223713</v>
      </c>
      <c r="S51" s="29"/>
      <c r="T51" s="31" t="s">
        <v>794</v>
      </c>
      <c r="U51" s="75">
        <v>8500063438</v>
      </c>
      <c r="V51" s="31">
        <v>5001161486</v>
      </c>
      <c r="W51" s="50">
        <v>48528</v>
      </c>
      <c r="X51" s="34"/>
      <c r="Y51" s="34">
        <v>12070</v>
      </c>
      <c r="Z51" s="34" t="s">
        <v>1980</v>
      </c>
      <c r="AA51" s="34">
        <f t="shared" si="0"/>
        <v>0</v>
      </c>
      <c r="AB51" s="34">
        <f t="shared" si="1"/>
        <v>0</v>
      </c>
      <c r="AC51" s="29"/>
      <c r="AD51" s="29"/>
      <c r="AE51" s="25"/>
      <c r="AF51" s="25"/>
      <c r="AG51" s="25"/>
      <c r="AH51" s="35"/>
    </row>
    <row r="52" spans="1:34" ht="23.25" customHeight="1">
      <c r="A52" s="83"/>
      <c r="B52" s="63"/>
      <c r="C52" s="44"/>
      <c r="D52" s="122"/>
      <c r="E52" s="29">
        <v>10</v>
      </c>
      <c r="F52" s="29">
        <v>1500</v>
      </c>
      <c r="G52" s="31">
        <f t="shared" si="4"/>
        <v>15000</v>
      </c>
      <c r="H52" s="67" t="s">
        <v>37</v>
      </c>
      <c r="I52" s="37">
        <v>45244</v>
      </c>
      <c r="J52" s="33">
        <v>1500</v>
      </c>
      <c r="K52" s="33">
        <v>15</v>
      </c>
      <c r="L52" s="57">
        <v>45230</v>
      </c>
      <c r="M52" s="31">
        <v>15000</v>
      </c>
      <c r="N52" s="31">
        <v>75</v>
      </c>
      <c r="O52" s="31"/>
      <c r="P52" s="74" t="s">
        <v>1558</v>
      </c>
      <c r="Q52" s="33">
        <v>8500063439</v>
      </c>
      <c r="R52" s="33">
        <v>5001218771</v>
      </c>
      <c r="S52" s="33">
        <v>1500</v>
      </c>
      <c r="T52" s="31" t="s">
        <v>794</v>
      </c>
      <c r="U52" s="75">
        <v>8500063438</v>
      </c>
      <c r="V52" s="31">
        <v>5001161486</v>
      </c>
      <c r="W52" s="50">
        <v>45257</v>
      </c>
      <c r="X52" s="34">
        <v>1500</v>
      </c>
      <c r="Y52" s="34">
        <v>15000</v>
      </c>
      <c r="Z52" s="34" t="s">
        <v>2006</v>
      </c>
      <c r="AA52" s="34">
        <f t="shared" si="0"/>
        <v>0</v>
      </c>
      <c r="AB52" s="34">
        <f t="shared" si="1"/>
        <v>0</v>
      </c>
      <c r="AC52" s="29"/>
      <c r="AD52" s="29"/>
      <c r="AE52" s="25"/>
      <c r="AF52" s="25"/>
      <c r="AG52" s="25"/>
      <c r="AH52" s="35"/>
    </row>
    <row r="53" spans="1:34" ht="15.6">
      <c r="A53" s="83"/>
      <c r="B53" s="63"/>
      <c r="C53" s="44"/>
      <c r="D53" s="122"/>
      <c r="E53" s="29">
        <v>10</v>
      </c>
      <c r="F53" s="29">
        <v>720</v>
      </c>
      <c r="G53" s="31">
        <f t="shared" si="4"/>
        <v>7200</v>
      </c>
      <c r="H53" s="67" t="s">
        <v>146</v>
      </c>
      <c r="I53" s="37"/>
      <c r="J53" s="33"/>
      <c r="K53" s="33">
        <v>4</v>
      </c>
      <c r="L53" s="57">
        <v>45230</v>
      </c>
      <c r="M53" s="31">
        <v>7200</v>
      </c>
      <c r="N53" s="31">
        <v>36</v>
      </c>
      <c r="O53" s="31"/>
      <c r="P53" s="74" t="s">
        <v>895</v>
      </c>
      <c r="Q53" s="33">
        <v>8500063439</v>
      </c>
      <c r="R53" s="33">
        <v>5001223713</v>
      </c>
      <c r="S53" s="29"/>
      <c r="T53" s="31" t="s">
        <v>794</v>
      </c>
      <c r="U53" s="75">
        <v>8500063438</v>
      </c>
      <c r="V53" s="31">
        <v>5001161486</v>
      </c>
      <c r="W53" s="50">
        <v>48528</v>
      </c>
      <c r="X53" s="34"/>
      <c r="Y53" s="34">
        <v>7200</v>
      </c>
      <c r="Z53" s="34" t="s">
        <v>1980</v>
      </c>
      <c r="AA53" s="34">
        <f t="shared" si="0"/>
        <v>0</v>
      </c>
      <c r="AB53" s="34">
        <f t="shared" si="1"/>
        <v>0</v>
      </c>
      <c r="AC53" s="29"/>
      <c r="AD53" s="29"/>
      <c r="AE53" s="25"/>
      <c r="AF53" s="25"/>
      <c r="AG53" s="25"/>
      <c r="AH53" s="35"/>
    </row>
    <row r="54" spans="1:34" ht="27.6">
      <c r="A54" s="83"/>
      <c r="B54" s="63"/>
      <c r="C54" s="44"/>
      <c r="D54" s="122" t="s">
        <v>1728</v>
      </c>
      <c r="E54" s="29"/>
      <c r="F54" s="29"/>
      <c r="G54" s="31">
        <f t="shared" si="4"/>
        <v>0</v>
      </c>
      <c r="H54" s="67"/>
      <c r="I54" s="37"/>
      <c r="J54" s="33"/>
      <c r="K54" s="33"/>
      <c r="L54" s="57"/>
      <c r="M54" s="31"/>
      <c r="N54" s="31"/>
      <c r="O54" s="31"/>
      <c r="P54" s="74"/>
      <c r="Q54" s="33"/>
      <c r="R54" s="33"/>
      <c r="S54" s="29"/>
      <c r="T54" s="31"/>
      <c r="U54" s="75"/>
      <c r="V54" s="31"/>
      <c r="W54" s="50"/>
      <c r="X54" s="34"/>
      <c r="Y54" s="34"/>
      <c r="Z54" s="34"/>
      <c r="AA54" s="34">
        <f t="shared" si="0"/>
        <v>0</v>
      </c>
      <c r="AB54" s="34">
        <f t="shared" si="1"/>
        <v>0</v>
      </c>
      <c r="AC54" s="29"/>
      <c r="AD54" s="29"/>
      <c r="AE54" s="25"/>
      <c r="AF54" s="25"/>
      <c r="AG54" s="25"/>
      <c r="AH54" s="35"/>
    </row>
    <row r="55" spans="1:34" ht="15.6">
      <c r="A55" s="83" t="s">
        <v>1727</v>
      </c>
      <c r="B55" s="63">
        <v>6000025699</v>
      </c>
      <c r="C55" s="44" t="s">
        <v>1725</v>
      </c>
      <c r="D55" s="122" t="s">
        <v>1729</v>
      </c>
      <c r="E55" s="29">
        <v>10</v>
      </c>
      <c r="F55" s="29">
        <v>263</v>
      </c>
      <c r="G55" s="31">
        <f t="shared" si="4"/>
        <v>2630</v>
      </c>
      <c r="H55" s="67" t="s">
        <v>27</v>
      </c>
      <c r="I55" s="37">
        <v>45244</v>
      </c>
      <c r="J55" s="33">
        <v>263</v>
      </c>
      <c r="K55" s="33">
        <v>2</v>
      </c>
      <c r="L55" s="57">
        <v>45230</v>
      </c>
      <c r="M55" s="31">
        <v>2630</v>
      </c>
      <c r="N55" s="31">
        <v>14</v>
      </c>
      <c r="O55" s="31" t="s">
        <v>1875</v>
      </c>
      <c r="P55" s="74" t="s">
        <v>1558</v>
      </c>
      <c r="Q55" s="33">
        <v>8500063442</v>
      </c>
      <c r="R55" s="33">
        <v>5001218775</v>
      </c>
      <c r="S55" s="33">
        <v>263</v>
      </c>
      <c r="T55" s="31" t="s">
        <v>152</v>
      </c>
      <c r="U55" s="75">
        <v>8500063441</v>
      </c>
      <c r="V55" s="31">
        <v>5001161488</v>
      </c>
      <c r="W55" s="50">
        <v>45262</v>
      </c>
      <c r="X55" s="34">
        <v>263</v>
      </c>
      <c r="Y55" s="34">
        <v>2630</v>
      </c>
      <c r="Z55" s="34" t="s">
        <v>800</v>
      </c>
      <c r="AA55" s="34">
        <f t="shared" si="0"/>
        <v>0</v>
      </c>
      <c r="AB55" s="34">
        <f t="shared" si="1"/>
        <v>0</v>
      </c>
      <c r="AC55" s="29"/>
      <c r="AD55" s="29"/>
      <c r="AE55" s="25"/>
      <c r="AF55" s="25"/>
      <c r="AG55" s="25"/>
      <c r="AH55" s="35"/>
    </row>
    <row r="56" spans="1:34" ht="15.6">
      <c r="A56" s="83"/>
      <c r="B56" s="63"/>
      <c r="C56" s="44"/>
      <c r="D56" s="122"/>
      <c r="E56" s="29">
        <v>10</v>
      </c>
      <c r="F56" s="29">
        <v>1207</v>
      </c>
      <c r="G56" s="31">
        <f t="shared" si="4"/>
        <v>12070</v>
      </c>
      <c r="H56" s="67" t="s">
        <v>46</v>
      </c>
      <c r="I56" s="37">
        <v>45244</v>
      </c>
      <c r="J56" s="33">
        <v>1207</v>
      </c>
      <c r="K56" s="33">
        <v>12</v>
      </c>
      <c r="L56" s="57">
        <v>45230</v>
      </c>
      <c r="M56" s="31">
        <v>12070</v>
      </c>
      <c r="N56" s="31">
        <v>61</v>
      </c>
      <c r="O56" s="31"/>
      <c r="P56" s="74" t="s">
        <v>1558</v>
      </c>
      <c r="Q56" s="33">
        <v>8500063442</v>
      </c>
      <c r="R56" s="33">
        <v>5001218775</v>
      </c>
      <c r="S56" s="33">
        <v>1207</v>
      </c>
      <c r="T56" s="31" t="s">
        <v>152</v>
      </c>
      <c r="U56" s="75">
        <v>8500063441</v>
      </c>
      <c r="V56" s="31">
        <v>5001161488</v>
      </c>
      <c r="W56" s="50" t="s">
        <v>2230</v>
      </c>
      <c r="X56" s="34">
        <f>1207</f>
        <v>1207</v>
      </c>
      <c r="Y56" s="34">
        <f>12070</f>
        <v>12070</v>
      </c>
      <c r="Z56" s="34" t="s">
        <v>2085</v>
      </c>
      <c r="AA56" s="34">
        <f t="shared" si="0"/>
        <v>0</v>
      </c>
      <c r="AB56" s="34">
        <f t="shared" si="1"/>
        <v>0</v>
      </c>
      <c r="AC56" s="29" t="s">
        <v>2231</v>
      </c>
      <c r="AD56" s="29"/>
      <c r="AE56" s="25"/>
      <c r="AF56" s="25"/>
      <c r="AG56" s="25"/>
      <c r="AH56" s="35"/>
    </row>
    <row r="57" spans="1:34" ht="15.6">
      <c r="A57" s="83"/>
      <c r="B57" s="63"/>
      <c r="C57" s="44"/>
      <c r="D57" s="122"/>
      <c r="E57" s="29">
        <v>10</v>
      </c>
      <c r="F57" s="29">
        <v>1570</v>
      </c>
      <c r="G57" s="31">
        <f t="shared" si="4"/>
        <v>15700</v>
      </c>
      <c r="H57" s="67" t="s">
        <v>37</v>
      </c>
      <c r="I57" s="37">
        <v>45245</v>
      </c>
      <c r="J57" s="33">
        <v>1570</v>
      </c>
      <c r="K57" s="33">
        <v>15</v>
      </c>
      <c r="L57" s="57">
        <v>45230</v>
      </c>
      <c r="M57" s="31">
        <v>15700</v>
      </c>
      <c r="N57" s="31">
        <v>79</v>
      </c>
      <c r="O57" s="31"/>
      <c r="P57" s="74" t="s">
        <v>1558</v>
      </c>
      <c r="Q57" s="33">
        <v>8500063442</v>
      </c>
      <c r="R57" s="33">
        <v>5001220505</v>
      </c>
      <c r="S57" s="33">
        <v>1570</v>
      </c>
      <c r="T57" s="31" t="s">
        <v>152</v>
      </c>
      <c r="U57" s="75">
        <v>8500063441</v>
      </c>
      <c r="V57" s="31">
        <v>5001161488</v>
      </c>
      <c r="W57" s="50">
        <v>45257</v>
      </c>
      <c r="X57" s="34">
        <v>1570</v>
      </c>
      <c r="Y57" s="34">
        <v>15700</v>
      </c>
      <c r="Z57" s="34" t="s">
        <v>2006</v>
      </c>
      <c r="AA57" s="34">
        <f t="shared" si="0"/>
        <v>0</v>
      </c>
      <c r="AB57" s="34">
        <f t="shared" si="1"/>
        <v>0</v>
      </c>
      <c r="AC57" s="29"/>
      <c r="AD57" s="29"/>
      <c r="AE57" s="25"/>
      <c r="AF57" s="25"/>
      <c r="AG57" s="25"/>
      <c r="AH57" s="35"/>
    </row>
    <row r="58" spans="1:34" ht="31.2">
      <c r="A58" s="83"/>
      <c r="B58" s="63"/>
      <c r="C58" s="44"/>
      <c r="D58" s="122"/>
      <c r="E58" s="29">
        <v>10</v>
      </c>
      <c r="F58" s="29">
        <v>650</v>
      </c>
      <c r="G58" s="31">
        <f t="shared" si="4"/>
        <v>6500</v>
      </c>
      <c r="H58" s="67" t="s">
        <v>146</v>
      </c>
      <c r="I58" s="37">
        <v>45244</v>
      </c>
      <c r="J58" s="33">
        <v>650</v>
      </c>
      <c r="K58" s="33">
        <v>6</v>
      </c>
      <c r="L58" s="57">
        <v>45230</v>
      </c>
      <c r="M58" s="31">
        <v>6500</v>
      </c>
      <c r="N58" s="31">
        <v>33</v>
      </c>
      <c r="O58" s="31" t="s">
        <v>898</v>
      </c>
      <c r="P58" s="74" t="s">
        <v>1558</v>
      </c>
      <c r="Q58" s="33">
        <v>8500063442</v>
      </c>
      <c r="R58" s="33">
        <v>5001218775</v>
      </c>
      <c r="S58" s="33">
        <v>650</v>
      </c>
      <c r="T58" s="31" t="s">
        <v>152</v>
      </c>
      <c r="U58" s="75">
        <v>8500063441</v>
      </c>
      <c r="V58" s="31">
        <v>5001161488</v>
      </c>
      <c r="W58" s="50" t="s">
        <v>2229</v>
      </c>
      <c r="X58" s="34">
        <f>380+270</f>
        <v>650</v>
      </c>
      <c r="Y58" s="34">
        <f>3800+2700</f>
        <v>6500</v>
      </c>
      <c r="Z58" s="34" t="s">
        <v>2196</v>
      </c>
      <c r="AA58" s="34">
        <f t="shared" si="0"/>
        <v>0</v>
      </c>
      <c r="AB58" s="34">
        <f t="shared" si="1"/>
        <v>0</v>
      </c>
      <c r="AC58" s="29" t="s">
        <v>2228</v>
      </c>
      <c r="AD58" s="29"/>
      <c r="AE58" s="25"/>
      <c r="AF58" s="25"/>
      <c r="AG58" s="25"/>
      <c r="AH58" s="35"/>
    </row>
    <row r="59" spans="1:34" ht="27.6">
      <c r="A59" s="83"/>
      <c r="B59" s="63"/>
      <c r="C59" s="44"/>
      <c r="D59" s="122" t="s">
        <v>1728</v>
      </c>
      <c r="E59" s="29"/>
      <c r="F59" s="29"/>
      <c r="G59" s="31">
        <f t="shared" si="4"/>
        <v>0</v>
      </c>
      <c r="H59" s="67"/>
      <c r="I59" s="37"/>
      <c r="J59" s="33"/>
      <c r="K59" s="33"/>
      <c r="L59" s="57"/>
      <c r="M59" s="31"/>
      <c r="N59" s="31"/>
      <c r="O59" s="31"/>
      <c r="P59" s="74"/>
      <c r="Q59" s="33"/>
      <c r="R59" s="33"/>
      <c r="S59" s="29"/>
      <c r="T59" s="31"/>
      <c r="U59" s="75"/>
      <c r="V59" s="31"/>
      <c r="W59" s="73"/>
      <c r="X59" s="34"/>
      <c r="Y59" s="34"/>
      <c r="Z59" s="34"/>
      <c r="AA59" s="34">
        <f t="shared" si="0"/>
        <v>0</v>
      </c>
      <c r="AB59" s="34">
        <f t="shared" si="1"/>
        <v>0</v>
      </c>
      <c r="AC59" s="29"/>
      <c r="AD59" s="29"/>
      <c r="AE59" s="25"/>
      <c r="AF59" s="25"/>
      <c r="AG59" s="25"/>
      <c r="AH59" s="35"/>
    </row>
    <row r="60" spans="1:34" ht="15.6">
      <c r="A60" s="83" t="s">
        <v>136</v>
      </c>
      <c r="B60" s="63">
        <v>6000025724</v>
      </c>
      <c r="C60" s="44" t="s">
        <v>137</v>
      </c>
      <c r="D60" s="122">
        <v>37028</v>
      </c>
      <c r="E60" s="29">
        <v>10</v>
      </c>
      <c r="F60" s="29">
        <v>1105</v>
      </c>
      <c r="G60" s="31">
        <f t="shared" si="4"/>
        <v>11050</v>
      </c>
      <c r="H60" s="67" t="s">
        <v>27</v>
      </c>
      <c r="I60" s="78">
        <v>45218</v>
      </c>
      <c r="J60" s="33">
        <v>1105</v>
      </c>
      <c r="K60" s="33">
        <f>13+2</f>
        <v>15</v>
      </c>
      <c r="L60" s="57">
        <v>45227</v>
      </c>
      <c r="M60" s="31">
        <v>11050</v>
      </c>
      <c r="N60" s="31">
        <v>56</v>
      </c>
      <c r="O60" s="31" t="s">
        <v>741</v>
      </c>
      <c r="P60" s="74" t="s">
        <v>160</v>
      </c>
      <c r="Q60" s="33">
        <v>8500062726</v>
      </c>
      <c r="R60" s="33">
        <v>5001112228</v>
      </c>
      <c r="S60" s="33">
        <v>1105</v>
      </c>
      <c r="T60" s="31" t="s">
        <v>152</v>
      </c>
      <c r="U60" s="75">
        <v>8500062725</v>
      </c>
      <c r="V60" s="31">
        <v>5001152717</v>
      </c>
      <c r="W60" s="50">
        <v>45245</v>
      </c>
      <c r="X60" s="34">
        <f>1005+100</f>
        <v>1105</v>
      </c>
      <c r="Y60" s="34">
        <f>10050+1000</f>
        <v>11050</v>
      </c>
      <c r="Z60" s="34" t="s">
        <v>2016</v>
      </c>
      <c r="AA60" s="34">
        <f t="shared" si="0"/>
        <v>0</v>
      </c>
      <c r="AB60" s="34">
        <f t="shared" si="1"/>
        <v>0</v>
      </c>
      <c r="AC60" s="77"/>
      <c r="AD60" s="29"/>
      <c r="AE60" s="25"/>
      <c r="AF60" s="25"/>
      <c r="AG60" s="25"/>
      <c r="AH60" s="35"/>
    </row>
    <row r="61" spans="1:34" ht="16.5" customHeight="1">
      <c r="A61" s="83"/>
      <c r="B61" s="63"/>
      <c r="C61" s="44"/>
      <c r="D61" s="122"/>
      <c r="E61" s="29">
        <v>10</v>
      </c>
      <c r="F61" s="85">
        <v>2090</v>
      </c>
      <c r="G61" s="31">
        <f t="shared" si="4"/>
        <v>20900</v>
      </c>
      <c r="H61" s="67" t="s">
        <v>46</v>
      </c>
      <c r="I61" s="37">
        <v>45217</v>
      </c>
      <c r="J61" s="33">
        <v>2090</v>
      </c>
      <c r="K61" s="33">
        <f>22+8</f>
        <v>30</v>
      </c>
      <c r="L61" s="57">
        <v>45224</v>
      </c>
      <c r="M61" s="31">
        <v>20900</v>
      </c>
      <c r="N61" s="31">
        <v>105</v>
      </c>
      <c r="O61" s="31" t="s">
        <v>1754</v>
      </c>
      <c r="P61" s="74" t="s">
        <v>160</v>
      </c>
      <c r="Q61" s="33">
        <v>8500062726</v>
      </c>
      <c r="R61" s="33">
        <v>5001105594</v>
      </c>
      <c r="S61" s="33">
        <v>2090</v>
      </c>
      <c r="T61" s="31" t="s">
        <v>152</v>
      </c>
      <c r="U61" s="75">
        <v>8500062725</v>
      </c>
      <c r="V61" s="31">
        <v>5001134076</v>
      </c>
      <c r="W61" s="50">
        <v>45241</v>
      </c>
      <c r="X61" s="34">
        <v>2090</v>
      </c>
      <c r="Y61" s="34">
        <v>20900</v>
      </c>
      <c r="Z61" s="34" t="s">
        <v>267</v>
      </c>
      <c r="AA61" s="34">
        <f t="shared" si="0"/>
        <v>0</v>
      </c>
      <c r="AB61" s="34">
        <f t="shared" si="1"/>
        <v>0</v>
      </c>
      <c r="AC61" s="29"/>
      <c r="AD61" s="29"/>
      <c r="AE61" s="25"/>
      <c r="AF61" s="25"/>
      <c r="AG61" s="25"/>
      <c r="AH61" s="35"/>
    </row>
    <row r="62" spans="1:34" ht="15.6">
      <c r="A62" s="83"/>
      <c r="B62" s="63"/>
      <c r="C62" s="44"/>
      <c r="D62" s="122"/>
      <c r="E62" s="29">
        <v>10</v>
      </c>
      <c r="F62" s="29">
        <v>1360</v>
      </c>
      <c r="G62" s="31">
        <f t="shared" si="4"/>
        <v>13600</v>
      </c>
      <c r="H62" s="67" t="s">
        <v>37</v>
      </c>
      <c r="I62" s="78">
        <v>45218</v>
      </c>
      <c r="J62" s="33">
        <v>1360</v>
      </c>
      <c r="K62" s="33">
        <f>15+5</f>
        <v>20</v>
      </c>
      <c r="L62" s="57">
        <v>45226</v>
      </c>
      <c r="M62" s="31">
        <v>13600</v>
      </c>
      <c r="N62" s="31">
        <v>68</v>
      </c>
      <c r="O62" s="31" t="s">
        <v>1848</v>
      </c>
      <c r="P62" s="74" t="s">
        <v>160</v>
      </c>
      <c r="Q62" s="33">
        <v>8500062726</v>
      </c>
      <c r="R62" s="33">
        <v>5001112228</v>
      </c>
      <c r="S62" s="33">
        <v>1360</v>
      </c>
      <c r="T62" s="31" t="s">
        <v>152</v>
      </c>
      <c r="U62" s="75">
        <v>8500062725</v>
      </c>
      <c r="V62" s="31">
        <v>5001142532</v>
      </c>
      <c r="W62" s="50">
        <v>45239</v>
      </c>
      <c r="X62" s="34">
        <v>1360</v>
      </c>
      <c r="Y62" s="34">
        <v>13600</v>
      </c>
      <c r="Z62" s="34" t="s">
        <v>1955</v>
      </c>
      <c r="AA62" s="34">
        <f t="shared" si="0"/>
        <v>0</v>
      </c>
      <c r="AB62" s="34">
        <f t="shared" si="1"/>
        <v>0</v>
      </c>
      <c r="AC62" s="29"/>
      <c r="AD62" s="29"/>
      <c r="AE62" s="25"/>
      <c r="AF62" s="25"/>
      <c r="AG62" s="25"/>
      <c r="AH62" s="35"/>
    </row>
    <row r="63" spans="1:34" ht="15.6">
      <c r="A63" s="83"/>
      <c r="B63" s="63"/>
      <c r="C63" s="44"/>
      <c r="D63" s="122"/>
      <c r="E63" s="29">
        <v>10</v>
      </c>
      <c r="F63" s="29">
        <v>265</v>
      </c>
      <c r="G63" s="31">
        <f t="shared" si="4"/>
        <v>2650</v>
      </c>
      <c r="H63" s="67" t="s">
        <v>146</v>
      </c>
      <c r="I63" s="37">
        <v>45219</v>
      </c>
      <c r="J63" s="33">
        <v>265</v>
      </c>
      <c r="K63" s="33">
        <v>5</v>
      </c>
      <c r="L63" s="57">
        <v>45227</v>
      </c>
      <c r="M63" s="31">
        <v>2650</v>
      </c>
      <c r="N63" s="31">
        <v>14</v>
      </c>
      <c r="O63" s="31" t="s">
        <v>1362</v>
      </c>
      <c r="P63" s="74" t="s">
        <v>160</v>
      </c>
      <c r="Q63" s="33">
        <v>8500062726</v>
      </c>
      <c r="R63" s="33">
        <v>5001116456</v>
      </c>
      <c r="S63" s="33">
        <v>265</v>
      </c>
      <c r="T63" s="31" t="s">
        <v>152</v>
      </c>
      <c r="U63" s="75">
        <v>8500062725</v>
      </c>
      <c r="V63" s="31">
        <v>5001152717</v>
      </c>
      <c r="W63" s="50">
        <v>45261</v>
      </c>
      <c r="X63" s="34">
        <v>265</v>
      </c>
      <c r="Y63" s="34">
        <v>2650</v>
      </c>
      <c r="Z63" s="34" t="s">
        <v>800</v>
      </c>
      <c r="AA63" s="34">
        <f t="shared" si="0"/>
        <v>0</v>
      </c>
      <c r="AB63" s="34">
        <f t="shared" si="1"/>
        <v>0</v>
      </c>
      <c r="AC63" s="29"/>
      <c r="AD63" s="29"/>
      <c r="AE63" s="25"/>
      <c r="AF63" s="25"/>
      <c r="AG63" s="25"/>
      <c r="AH63" s="35"/>
    </row>
    <row r="64" spans="1:34" ht="31.2">
      <c r="A64" s="83" t="s">
        <v>136</v>
      </c>
      <c r="B64" s="63">
        <v>6000025725</v>
      </c>
      <c r="C64" s="44" t="s">
        <v>137</v>
      </c>
      <c r="D64" s="122">
        <v>37029</v>
      </c>
      <c r="E64" s="29">
        <v>10</v>
      </c>
      <c r="F64" s="29">
        <v>1105</v>
      </c>
      <c r="G64" s="31">
        <f t="shared" ref="G64:G79" si="5">F64*E64</f>
        <v>11050</v>
      </c>
      <c r="H64" s="67" t="s">
        <v>27</v>
      </c>
      <c r="I64" s="37">
        <v>45218</v>
      </c>
      <c r="J64" s="33">
        <v>1105</v>
      </c>
      <c r="K64" s="33">
        <f>13+2</f>
        <v>15</v>
      </c>
      <c r="L64" s="57">
        <v>45229</v>
      </c>
      <c r="M64" s="31">
        <v>11050</v>
      </c>
      <c r="N64" s="31">
        <v>56</v>
      </c>
      <c r="O64" s="31" t="s">
        <v>1848</v>
      </c>
      <c r="P64" s="74" t="s">
        <v>160</v>
      </c>
      <c r="Q64" s="33">
        <v>8500062729</v>
      </c>
      <c r="R64" s="33">
        <v>5001112317</v>
      </c>
      <c r="S64" s="33">
        <v>1105</v>
      </c>
      <c r="T64" s="31" t="s">
        <v>152</v>
      </c>
      <c r="U64" s="75">
        <v>8500062727</v>
      </c>
      <c r="V64" s="31">
        <v>5001154259</v>
      </c>
      <c r="W64" s="50" t="s">
        <v>2038</v>
      </c>
      <c r="X64" s="34">
        <f>1005+100</f>
        <v>1105</v>
      </c>
      <c r="Y64" s="34">
        <f>10050+1000</f>
        <v>11050</v>
      </c>
      <c r="Z64" s="34" t="s">
        <v>2016</v>
      </c>
      <c r="AA64" s="34">
        <f t="shared" si="0"/>
        <v>0</v>
      </c>
      <c r="AB64" s="34">
        <f t="shared" si="1"/>
        <v>0</v>
      </c>
      <c r="AC64" s="29"/>
      <c r="AD64" s="29"/>
      <c r="AE64" s="25"/>
      <c r="AF64" s="25"/>
      <c r="AG64" s="25"/>
      <c r="AH64" s="35"/>
    </row>
    <row r="65" spans="1:34" ht="15.6">
      <c r="A65" s="83"/>
      <c r="B65" s="63"/>
      <c r="C65" s="44"/>
      <c r="D65" s="122"/>
      <c r="E65" s="29">
        <v>10</v>
      </c>
      <c r="F65" s="85">
        <v>2090</v>
      </c>
      <c r="G65" s="31">
        <f t="shared" si="5"/>
        <v>20900</v>
      </c>
      <c r="H65" s="67" t="s">
        <v>46</v>
      </c>
      <c r="I65" s="37">
        <v>45218</v>
      </c>
      <c r="J65" s="33">
        <v>2090</v>
      </c>
      <c r="K65" s="33">
        <v>22</v>
      </c>
      <c r="L65" s="57">
        <v>45223</v>
      </c>
      <c r="M65" s="31">
        <v>20900</v>
      </c>
      <c r="N65" s="31">
        <v>105</v>
      </c>
      <c r="O65" s="31" t="s">
        <v>1829</v>
      </c>
      <c r="P65" s="74" t="s">
        <v>160</v>
      </c>
      <c r="Q65" s="33">
        <v>8500062729</v>
      </c>
      <c r="R65" s="33">
        <v>5001112317</v>
      </c>
      <c r="S65" s="33">
        <v>2090</v>
      </c>
      <c r="T65" s="31" t="s">
        <v>152</v>
      </c>
      <c r="U65" s="75">
        <v>8500062727</v>
      </c>
      <c r="V65" s="31">
        <v>5001130036</v>
      </c>
      <c r="W65" s="50">
        <v>45243</v>
      </c>
      <c r="X65" s="34">
        <f>600+1490</f>
        <v>2090</v>
      </c>
      <c r="Y65" s="34">
        <f>6000+14900</f>
        <v>20900</v>
      </c>
      <c r="Z65" s="34" t="s">
        <v>800</v>
      </c>
      <c r="AA65" s="34">
        <f t="shared" si="0"/>
        <v>0</v>
      </c>
      <c r="AB65" s="34">
        <f t="shared" si="1"/>
        <v>0</v>
      </c>
      <c r="AC65" s="29"/>
      <c r="AD65" s="29"/>
      <c r="AE65" s="25"/>
      <c r="AF65" s="25"/>
      <c r="AG65" s="25"/>
      <c r="AH65" s="35"/>
    </row>
    <row r="66" spans="1:34" ht="31.2">
      <c r="A66" s="83"/>
      <c r="B66" s="63"/>
      <c r="C66" s="44"/>
      <c r="D66" s="122"/>
      <c r="E66" s="29">
        <v>10</v>
      </c>
      <c r="F66" s="29">
        <v>1360</v>
      </c>
      <c r="G66" s="31">
        <f t="shared" si="5"/>
        <v>13600</v>
      </c>
      <c r="H66" s="67" t="s">
        <v>37</v>
      </c>
      <c r="I66" s="37">
        <v>45218</v>
      </c>
      <c r="J66" s="33">
        <f>195+905+260</f>
        <v>1360</v>
      </c>
      <c r="K66" s="33">
        <f>5+15</f>
        <v>20</v>
      </c>
      <c r="L66" s="57">
        <v>45225</v>
      </c>
      <c r="M66" s="31">
        <v>13600</v>
      </c>
      <c r="N66" s="31">
        <v>68</v>
      </c>
      <c r="O66" s="31" t="s">
        <v>1784</v>
      </c>
      <c r="P66" s="74" t="s">
        <v>160</v>
      </c>
      <c r="Q66" s="33">
        <v>8500062729</v>
      </c>
      <c r="R66" s="33">
        <v>5001112317</v>
      </c>
      <c r="S66" s="33">
        <f>195+905+260</f>
        <v>1360</v>
      </c>
      <c r="T66" s="31" t="s">
        <v>152</v>
      </c>
      <c r="U66" s="75">
        <v>8500062727</v>
      </c>
      <c r="V66" s="31">
        <v>5001141149</v>
      </c>
      <c r="W66" s="50" t="s">
        <v>1969</v>
      </c>
      <c r="X66" s="34">
        <f>500+860</f>
        <v>1360</v>
      </c>
      <c r="Y66" s="34">
        <f>5000+8600</f>
        <v>13600</v>
      </c>
      <c r="Z66" s="34" t="s">
        <v>1970</v>
      </c>
      <c r="AA66" s="34">
        <f t="shared" si="0"/>
        <v>0</v>
      </c>
      <c r="AB66" s="34">
        <f t="shared" si="1"/>
        <v>0</v>
      </c>
      <c r="AC66" s="29"/>
      <c r="AD66" s="29"/>
      <c r="AE66" s="25"/>
      <c r="AF66" s="25"/>
      <c r="AG66" s="25"/>
      <c r="AH66" s="35"/>
    </row>
    <row r="67" spans="1:34" ht="15.6">
      <c r="A67" s="83"/>
      <c r="B67" s="63"/>
      <c r="C67" s="44"/>
      <c r="D67" s="122"/>
      <c r="E67" s="29">
        <v>10</v>
      </c>
      <c r="F67" s="29">
        <v>265</v>
      </c>
      <c r="G67" s="31">
        <f t="shared" si="5"/>
        <v>2650</v>
      </c>
      <c r="H67" s="67" t="s">
        <v>146</v>
      </c>
      <c r="I67" s="37">
        <v>45219</v>
      </c>
      <c r="J67" s="33">
        <v>265</v>
      </c>
      <c r="K67" s="33">
        <v>32</v>
      </c>
      <c r="L67" s="57">
        <v>45227</v>
      </c>
      <c r="M67" s="31">
        <v>2650</v>
      </c>
      <c r="N67" s="31">
        <v>14</v>
      </c>
      <c r="O67" s="31" t="s">
        <v>1362</v>
      </c>
      <c r="P67" s="74" t="s">
        <v>160</v>
      </c>
      <c r="Q67" s="33">
        <v>8500062729</v>
      </c>
      <c r="R67" s="33">
        <v>5001116457</v>
      </c>
      <c r="S67" s="33">
        <v>265</v>
      </c>
      <c r="T67" s="31" t="s">
        <v>152</v>
      </c>
      <c r="U67" s="75">
        <v>8500062727</v>
      </c>
      <c r="V67" s="31">
        <v>5001152744</v>
      </c>
      <c r="W67" s="50">
        <v>45261</v>
      </c>
      <c r="X67" s="34">
        <v>265</v>
      </c>
      <c r="Y67" s="34">
        <v>2650</v>
      </c>
      <c r="Z67" s="34" t="s">
        <v>800</v>
      </c>
      <c r="AA67" s="34">
        <f t="shared" si="0"/>
        <v>0</v>
      </c>
      <c r="AB67" s="34">
        <f t="shared" si="1"/>
        <v>0</v>
      </c>
      <c r="AC67" s="29"/>
      <c r="AD67" s="29"/>
      <c r="AE67" s="25"/>
      <c r="AF67" s="25"/>
      <c r="AG67" s="25"/>
      <c r="AH67" s="35"/>
    </row>
    <row r="68" spans="1:34" ht="15.6">
      <c r="A68" s="83" t="s">
        <v>136</v>
      </c>
      <c r="B68" s="63">
        <v>6000025726</v>
      </c>
      <c r="C68" s="44" t="s">
        <v>137</v>
      </c>
      <c r="D68" s="122">
        <v>37030</v>
      </c>
      <c r="E68" s="29">
        <v>10</v>
      </c>
      <c r="F68" s="29">
        <v>1105</v>
      </c>
      <c r="G68" s="31">
        <f t="shared" si="5"/>
        <v>11050</v>
      </c>
      <c r="H68" s="67" t="s">
        <v>27</v>
      </c>
      <c r="I68" s="37">
        <v>45218</v>
      </c>
      <c r="J68" s="33">
        <v>1105</v>
      </c>
      <c r="K68" s="33">
        <f>13+2</f>
        <v>15</v>
      </c>
      <c r="L68" s="57">
        <v>45226</v>
      </c>
      <c r="M68" s="31">
        <v>11050</v>
      </c>
      <c r="N68" s="31">
        <v>56</v>
      </c>
      <c r="O68" s="31" t="s">
        <v>1848</v>
      </c>
      <c r="P68" s="74" t="s">
        <v>160</v>
      </c>
      <c r="Q68" s="33">
        <v>8500062704</v>
      </c>
      <c r="R68" s="33">
        <v>5001112338</v>
      </c>
      <c r="S68" s="33">
        <v>1105</v>
      </c>
      <c r="T68" s="31" t="s">
        <v>152</v>
      </c>
      <c r="U68" s="75">
        <v>8500062701</v>
      </c>
      <c r="V68" s="31">
        <v>5001144949</v>
      </c>
      <c r="W68" s="50">
        <v>45248</v>
      </c>
      <c r="X68" s="34">
        <v>1105</v>
      </c>
      <c r="Y68" s="34">
        <v>11050</v>
      </c>
      <c r="Z68" s="34" t="s">
        <v>800</v>
      </c>
      <c r="AA68" s="34">
        <f t="shared" si="0"/>
        <v>0</v>
      </c>
      <c r="AB68" s="34">
        <f t="shared" si="1"/>
        <v>0</v>
      </c>
      <c r="AC68" s="29"/>
      <c r="AD68" s="29"/>
      <c r="AE68" s="25"/>
      <c r="AF68" s="25"/>
      <c r="AG68" s="25"/>
      <c r="AH68" s="35"/>
    </row>
    <row r="69" spans="1:34" ht="15.6">
      <c r="A69" s="83"/>
      <c r="B69" s="63"/>
      <c r="C69" s="44"/>
      <c r="D69" s="122"/>
      <c r="E69" s="29">
        <v>10</v>
      </c>
      <c r="F69" s="85">
        <v>2090</v>
      </c>
      <c r="G69" s="31">
        <f t="shared" si="5"/>
        <v>20900</v>
      </c>
      <c r="H69" s="67" t="s">
        <v>46</v>
      </c>
      <c r="I69" s="37">
        <v>45217</v>
      </c>
      <c r="J69" s="33">
        <v>2090</v>
      </c>
      <c r="K69" s="33">
        <f>22+3</f>
        <v>25</v>
      </c>
      <c r="L69" s="57">
        <v>45224</v>
      </c>
      <c r="M69" s="31">
        <v>20900</v>
      </c>
      <c r="N69" s="31">
        <v>105</v>
      </c>
      <c r="O69" s="31" t="s">
        <v>1791</v>
      </c>
      <c r="P69" s="74" t="s">
        <v>160</v>
      </c>
      <c r="Q69" s="33">
        <v>8500062704</v>
      </c>
      <c r="R69" s="33">
        <v>5001105616</v>
      </c>
      <c r="S69" s="33">
        <v>2090</v>
      </c>
      <c r="T69" s="31" t="s">
        <v>152</v>
      </c>
      <c r="U69" s="75">
        <v>8500062701</v>
      </c>
      <c r="V69" s="31">
        <v>5001130018</v>
      </c>
      <c r="W69" s="50">
        <v>45245</v>
      </c>
      <c r="X69" s="34">
        <v>2090</v>
      </c>
      <c r="Y69" s="34">
        <v>20900</v>
      </c>
      <c r="Z69" s="34" t="s">
        <v>267</v>
      </c>
      <c r="AA69" s="34">
        <f t="shared" si="0"/>
        <v>0</v>
      </c>
      <c r="AB69" s="34">
        <f t="shared" si="1"/>
        <v>0</v>
      </c>
      <c r="AC69" s="29"/>
      <c r="AD69" s="29"/>
      <c r="AE69" s="25"/>
      <c r="AF69" s="25"/>
      <c r="AG69" s="25"/>
      <c r="AH69" s="35"/>
    </row>
    <row r="70" spans="1:34" ht="31.2">
      <c r="A70" s="83"/>
      <c r="B70" s="63"/>
      <c r="C70" s="44"/>
      <c r="D70" s="122"/>
      <c r="E70" s="29">
        <v>10</v>
      </c>
      <c r="F70" s="29">
        <v>1360</v>
      </c>
      <c r="G70" s="31">
        <f t="shared" si="5"/>
        <v>13600</v>
      </c>
      <c r="H70" s="67" t="s">
        <v>37</v>
      </c>
      <c r="I70" s="37">
        <v>45218</v>
      </c>
      <c r="J70" s="33">
        <v>1360</v>
      </c>
      <c r="K70" s="33">
        <f>15+5</f>
        <v>20</v>
      </c>
      <c r="L70" s="57">
        <v>45226</v>
      </c>
      <c r="M70" s="31">
        <v>13600</v>
      </c>
      <c r="N70" s="31">
        <v>68</v>
      </c>
      <c r="O70" s="31" t="s">
        <v>1848</v>
      </c>
      <c r="P70" s="74" t="s">
        <v>160</v>
      </c>
      <c r="Q70" s="33">
        <v>8500062704</v>
      </c>
      <c r="R70" s="33">
        <v>5001112338</v>
      </c>
      <c r="S70" s="33">
        <v>1360</v>
      </c>
      <c r="T70" s="31" t="s">
        <v>152</v>
      </c>
      <c r="U70" s="75">
        <v>8500062701</v>
      </c>
      <c r="V70" s="31">
        <v>5001144941</v>
      </c>
      <c r="W70" s="50" t="s">
        <v>2007</v>
      </c>
      <c r="X70" s="34">
        <f>300+1060</f>
        <v>1360</v>
      </c>
      <c r="Y70" s="34">
        <f>3000+10600</f>
        <v>13600</v>
      </c>
      <c r="Z70" s="34" t="s">
        <v>2008</v>
      </c>
      <c r="AA70" s="34">
        <f t="shared" si="0"/>
        <v>0</v>
      </c>
      <c r="AB70" s="34">
        <f t="shared" si="1"/>
        <v>0</v>
      </c>
      <c r="AC70" s="29"/>
      <c r="AD70" s="29"/>
      <c r="AE70" s="25"/>
      <c r="AF70" s="25"/>
      <c r="AG70" s="25"/>
      <c r="AH70" s="35"/>
    </row>
    <row r="71" spans="1:34" ht="15.6">
      <c r="A71" s="83"/>
      <c r="B71" s="63"/>
      <c r="C71" s="44"/>
      <c r="D71" s="122"/>
      <c r="E71" s="29">
        <v>10</v>
      </c>
      <c r="F71" s="29">
        <v>265</v>
      </c>
      <c r="G71" s="31">
        <f t="shared" si="5"/>
        <v>2650</v>
      </c>
      <c r="H71" s="67" t="s">
        <v>146</v>
      </c>
      <c r="I71" s="37">
        <v>45219</v>
      </c>
      <c r="J71" s="33">
        <v>265</v>
      </c>
      <c r="K71" s="33">
        <v>6</v>
      </c>
      <c r="L71" s="57">
        <v>45229</v>
      </c>
      <c r="M71" s="31">
        <v>2650</v>
      </c>
      <c r="N71" s="31">
        <v>14</v>
      </c>
      <c r="O71" s="31" t="s">
        <v>1412</v>
      </c>
      <c r="P71" s="74" t="s">
        <v>160</v>
      </c>
      <c r="Q71" s="33">
        <v>8500062705</v>
      </c>
      <c r="R71" s="33">
        <v>5001116458</v>
      </c>
      <c r="S71" s="33">
        <v>265</v>
      </c>
      <c r="T71" s="31" t="s">
        <v>152</v>
      </c>
      <c r="U71" s="75">
        <v>8500062701</v>
      </c>
      <c r="V71" s="31">
        <v>5001154256</v>
      </c>
      <c r="W71" s="50">
        <v>45262</v>
      </c>
      <c r="X71" s="34">
        <v>265</v>
      </c>
      <c r="Y71" s="34">
        <v>2650</v>
      </c>
      <c r="Z71" s="34" t="s">
        <v>800</v>
      </c>
      <c r="AA71" s="34">
        <f t="shared" si="0"/>
        <v>0</v>
      </c>
      <c r="AB71" s="34">
        <f t="shared" si="1"/>
        <v>0</v>
      </c>
      <c r="AC71" s="29"/>
      <c r="AD71" s="29"/>
      <c r="AE71" s="25"/>
      <c r="AF71" s="25"/>
      <c r="AG71" s="25"/>
      <c r="AH71" s="35"/>
    </row>
    <row r="72" spans="1:34" ht="15.6">
      <c r="A72" s="83" t="s">
        <v>136</v>
      </c>
      <c r="B72" s="63">
        <v>6000025727</v>
      </c>
      <c r="C72" s="44" t="s">
        <v>137</v>
      </c>
      <c r="D72" s="122">
        <v>37031</v>
      </c>
      <c r="E72" s="29">
        <v>10</v>
      </c>
      <c r="F72" s="29">
        <v>1105</v>
      </c>
      <c r="G72" s="31">
        <f t="shared" si="5"/>
        <v>11050</v>
      </c>
      <c r="H72" s="67" t="s">
        <v>27</v>
      </c>
      <c r="I72" s="37">
        <v>45218</v>
      </c>
      <c r="J72" s="33">
        <v>1105</v>
      </c>
      <c r="K72" s="33">
        <f>13+2</f>
        <v>15</v>
      </c>
      <c r="L72" s="57">
        <v>45227</v>
      </c>
      <c r="M72" s="31">
        <v>11050</v>
      </c>
      <c r="N72" s="31">
        <v>56</v>
      </c>
      <c r="O72" s="31" t="s">
        <v>1791</v>
      </c>
      <c r="P72" s="74" t="s">
        <v>160</v>
      </c>
      <c r="Q72" s="33">
        <v>8500062709</v>
      </c>
      <c r="R72" s="33">
        <v>5001112322</v>
      </c>
      <c r="S72" s="33">
        <v>1105</v>
      </c>
      <c r="T72" s="31" t="s">
        <v>152</v>
      </c>
      <c r="U72" s="75">
        <v>8500062708</v>
      </c>
      <c r="V72" s="31">
        <v>5001152748</v>
      </c>
      <c r="W72" s="50">
        <v>45250</v>
      </c>
      <c r="X72" s="34">
        <f>1005+100</f>
        <v>1105</v>
      </c>
      <c r="Y72" s="34">
        <f>10050+1000</f>
        <v>11050</v>
      </c>
      <c r="Z72" s="34" t="s">
        <v>2016</v>
      </c>
      <c r="AA72" s="34">
        <f t="shared" si="0"/>
        <v>0</v>
      </c>
      <c r="AB72" s="34">
        <f t="shared" si="1"/>
        <v>0</v>
      </c>
      <c r="AC72" s="29"/>
      <c r="AD72" s="29"/>
      <c r="AE72" s="25"/>
      <c r="AF72" s="25"/>
      <c r="AG72" s="25"/>
      <c r="AH72" s="35"/>
    </row>
    <row r="73" spans="1:34" ht="62.4">
      <c r="A73" s="83"/>
      <c r="B73" s="63"/>
      <c r="C73" s="44"/>
      <c r="D73" s="122"/>
      <c r="E73" s="29">
        <v>10</v>
      </c>
      <c r="F73" s="85">
        <v>2090</v>
      </c>
      <c r="G73" s="31">
        <f t="shared" si="5"/>
        <v>20900</v>
      </c>
      <c r="H73" s="67" t="s">
        <v>46</v>
      </c>
      <c r="I73" s="37">
        <v>45217</v>
      </c>
      <c r="J73" s="115">
        <v>2090</v>
      </c>
      <c r="K73" s="33">
        <f>22+8</f>
        <v>30</v>
      </c>
      <c r="L73" s="57" t="s">
        <v>1836</v>
      </c>
      <c r="M73" s="31">
        <v>20900</v>
      </c>
      <c r="N73" s="31">
        <v>105</v>
      </c>
      <c r="O73" s="31" t="s">
        <v>1835</v>
      </c>
      <c r="P73" s="74" t="s">
        <v>160</v>
      </c>
      <c r="Q73" s="33">
        <v>8500062709</v>
      </c>
      <c r="R73" s="33">
        <v>5001105593</v>
      </c>
      <c r="S73" s="115">
        <v>2090</v>
      </c>
      <c r="T73" s="31" t="s">
        <v>152</v>
      </c>
      <c r="U73" s="75">
        <v>8500062708</v>
      </c>
      <c r="V73" s="31">
        <v>5001130033</v>
      </c>
      <c r="W73" s="50">
        <v>45248</v>
      </c>
      <c r="X73" s="34">
        <v>2090</v>
      </c>
      <c r="Y73" s="34">
        <v>20900</v>
      </c>
      <c r="Z73" s="34" t="s">
        <v>267</v>
      </c>
      <c r="AA73" s="34">
        <f t="shared" si="0"/>
        <v>0</v>
      </c>
      <c r="AB73" s="34">
        <f t="shared" si="1"/>
        <v>0</v>
      </c>
      <c r="AC73" s="29"/>
      <c r="AD73" s="29"/>
      <c r="AE73" s="25"/>
      <c r="AF73" s="25"/>
      <c r="AG73" s="25"/>
      <c r="AH73" s="35"/>
    </row>
    <row r="74" spans="1:34" ht="15.6">
      <c r="A74" s="83"/>
      <c r="B74" s="63"/>
      <c r="C74" s="44"/>
      <c r="D74" s="122"/>
      <c r="E74" s="29">
        <v>10</v>
      </c>
      <c r="F74" s="29">
        <v>1360</v>
      </c>
      <c r="G74" s="31">
        <f t="shared" si="5"/>
        <v>13600</v>
      </c>
      <c r="H74" s="67" t="s">
        <v>37</v>
      </c>
      <c r="I74" s="37">
        <v>45218</v>
      </c>
      <c r="J74" s="33">
        <v>1360</v>
      </c>
      <c r="K74" s="33">
        <f>15+5</f>
        <v>20</v>
      </c>
      <c r="L74" s="57">
        <v>45227</v>
      </c>
      <c r="M74" s="31">
        <v>13600</v>
      </c>
      <c r="N74" s="31">
        <v>68</v>
      </c>
      <c r="O74" s="31" t="s">
        <v>1784</v>
      </c>
      <c r="P74" s="74" t="s">
        <v>160</v>
      </c>
      <c r="Q74" s="33">
        <v>8500062709</v>
      </c>
      <c r="R74" s="33">
        <v>5001112322</v>
      </c>
      <c r="S74" s="33">
        <v>1360</v>
      </c>
      <c r="T74" s="31" t="s">
        <v>152</v>
      </c>
      <c r="U74" s="75">
        <v>8500062708</v>
      </c>
      <c r="V74" s="31">
        <v>5001152748</v>
      </c>
      <c r="W74" s="50">
        <v>45246</v>
      </c>
      <c r="X74" s="34">
        <v>1360</v>
      </c>
      <c r="Y74" s="34">
        <v>13600</v>
      </c>
      <c r="Z74" s="34" t="s">
        <v>1513</v>
      </c>
      <c r="AA74" s="34">
        <f t="shared" si="0"/>
        <v>0</v>
      </c>
      <c r="AB74" s="34">
        <f t="shared" si="1"/>
        <v>0</v>
      </c>
      <c r="AC74" s="29"/>
      <c r="AD74" s="29"/>
      <c r="AE74" s="25"/>
      <c r="AF74" s="25"/>
      <c r="AG74" s="25"/>
      <c r="AH74" s="35"/>
    </row>
    <row r="75" spans="1:34" ht="15.6">
      <c r="A75" s="83"/>
      <c r="B75" s="63"/>
      <c r="C75" s="44"/>
      <c r="D75" s="122"/>
      <c r="E75" s="29">
        <v>10</v>
      </c>
      <c r="F75" s="29">
        <v>265</v>
      </c>
      <c r="G75" s="31">
        <f t="shared" si="5"/>
        <v>2650</v>
      </c>
      <c r="H75" s="67" t="s">
        <v>146</v>
      </c>
      <c r="I75" s="37">
        <v>45219</v>
      </c>
      <c r="J75" s="33">
        <v>265</v>
      </c>
      <c r="K75" s="33">
        <v>7</v>
      </c>
      <c r="L75" s="57">
        <v>45229</v>
      </c>
      <c r="M75" s="31">
        <v>2650</v>
      </c>
      <c r="N75" s="31">
        <v>14</v>
      </c>
      <c r="O75" s="10" t="s">
        <v>857</v>
      </c>
      <c r="P75" s="74" t="s">
        <v>160</v>
      </c>
      <c r="Q75" s="33">
        <v>8500062710</v>
      </c>
      <c r="R75" s="33">
        <v>5001116459</v>
      </c>
      <c r="S75" s="33">
        <v>265</v>
      </c>
      <c r="T75" s="31" t="s">
        <v>152</v>
      </c>
      <c r="U75" s="75">
        <v>8500062708</v>
      </c>
      <c r="V75" s="31">
        <v>5001154287</v>
      </c>
      <c r="W75" s="50">
        <v>45261</v>
      </c>
      <c r="X75" s="34">
        <v>265</v>
      </c>
      <c r="Y75" s="34">
        <v>2650</v>
      </c>
      <c r="Z75" s="34" t="s">
        <v>800</v>
      </c>
      <c r="AA75" s="34">
        <f t="shared" si="0"/>
        <v>0</v>
      </c>
      <c r="AB75" s="34">
        <f t="shared" si="1"/>
        <v>0</v>
      </c>
      <c r="AC75" s="29"/>
      <c r="AD75" s="29"/>
      <c r="AE75" s="25"/>
      <c r="AF75" s="25"/>
      <c r="AG75" s="25"/>
      <c r="AH75" s="35"/>
    </row>
    <row r="76" spans="1:34" ht="15.6">
      <c r="A76" s="83" t="s">
        <v>136</v>
      </c>
      <c r="B76" s="63">
        <v>6000025728</v>
      </c>
      <c r="C76" s="44" t="s">
        <v>137</v>
      </c>
      <c r="D76" s="122">
        <v>37032</v>
      </c>
      <c r="E76" s="29">
        <v>10</v>
      </c>
      <c r="F76" s="29">
        <v>1105</v>
      </c>
      <c r="G76" s="31">
        <f t="shared" si="5"/>
        <v>11050</v>
      </c>
      <c r="H76" s="67" t="s">
        <v>27</v>
      </c>
      <c r="I76" s="37">
        <v>45215</v>
      </c>
      <c r="J76" s="33">
        <v>1105</v>
      </c>
      <c r="K76" s="33">
        <f>12+3</f>
        <v>15</v>
      </c>
      <c r="L76" s="57">
        <v>45226</v>
      </c>
      <c r="M76" s="31">
        <v>11050</v>
      </c>
      <c r="N76" s="31">
        <v>56</v>
      </c>
      <c r="O76" s="31" t="s">
        <v>1848</v>
      </c>
      <c r="P76" s="74" t="s">
        <v>160</v>
      </c>
      <c r="Q76" s="33">
        <v>8500062699</v>
      </c>
      <c r="R76" s="33">
        <v>5001095735</v>
      </c>
      <c r="S76" s="33">
        <v>1105</v>
      </c>
      <c r="T76" s="31" t="s">
        <v>152</v>
      </c>
      <c r="U76" s="75">
        <v>8500062698</v>
      </c>
      <c r="V76" s="75">
        <v>5001144943</v>
      </c>
      <c r="W76" s="50">
        <v>45252</v>
      </c>
      <c r="X76" s="34">
        <f>100+1005</f>
        <v>1105</v>
      </c>
      <c r="Y76" s="34">
        <f>1000+10050</f>
        <v>11050</v>
      </c>
      <c r="Z76" s="34" t="s">
        <v>2058</v>
      </c>
      <c r="AA76" s="34">
        <f t="shared" si="0"/>
        <v>0</v>
      </c>
      <c r="AB76" s="34">
        <f t="shared" si="1"/>
        <v>0</v>
      </c>
      <c r="AC76" s="29"/>
      <c r="AD76" s="29"/>
      <c r="AE76" s="25"/>
      <c r="AF76" s="25"/>
      <c r="AG76" s="25"/>
      <c r="AH76" s="35"/>
    </row>
    <row r="77" spans="1:34" ht="15.6">
      <c r="A77" s="83"/>
      <c r="B77" s="63"/>
      <c r="C77" s="44"/>
      <c r="D77" s="122"/>
      <c r="E77" s="29">
        <v>10</v>
      </c>
      <c r="F77" s="85">
        <v>2090</v>
      </c>
      <c r="G77" s="31">
        <f t="shared" si="5"/>
        <v>20900</v>
      </c>
      <c r="H77" s="67" t="s">
        <v>46</v>
      </c>
      <c r="I77" s="37">
        <v>45215</v>
      </c>
      <c r="J77" s="115">
        <v>2090</v>
      </c>
      <c r="K77" s="33">
        <f>21+3</f>
        <v>24</v>
      </c>
      <c r="L77" s="57">
        <v>45223</v>
      </c>
      <c r="M77" s="31">
        <v>20900</v>
      </c>
      <c r="N77" s="31">
        <v>105</v>
      </c>
      <c r="O77" s="31" t="s">
        <v>862</v>
      </c>
      <c r="P77" s="74" t="s">
        <v>160</v>
      </c>
      <c r="Q77" s="33">
        <v>8500062699</v>
      </c>
      <c r="R77" s="33">
        <v>5001095735</v>
      </c>
      <c r="S77" s="115">
        <v>2090</v>
      </c>
      <c r="T77" s="31" t="s">
        <v>152</v>
      </c>
      <c r="U77" s="75">
        <v>8500062698</v>
      </c>
      <c r="V77" s="31">
        <v>5001130030</v>
      </c>
      <c r="W77" s="50">
        <v>45250</v>
      </c>
      <c r="X77" s="34">
        <v>2090</v>
      </c>
      <c r="Y77" s="34">
        <v>20900</v>
      </c>
      <c r="Z77" s="34" t="s">
        <v>267</v>
      </c>
      <c r="AA77" s="34">
        <f t="shared" ref="AA77:AA140" si="6">J77-X77</f>
        <v>0</v>
      </c>
      <c r="AB77" s="34">
        <f t="shared" ref="AB77:AB140" si="7">M77-Y77</f>
        <v>0</v>
      </c>
      <c r="AC77" s="29"/>
      <c r="AD77" s="29"/>
      <c r="AE77" s="25"/>
      <c r="AF77" s="25"/>
      <c r="AG77" s="25"/>
      <c r="AH77" s="35"/>
    </row>
    <row r="78" spans="1:34" ht="15.6">
      <c r="A78" s="83"/>
      <c r="B78" s="63"/>
      <c r="C78" s="44"/>
      <c r="D78" s="122"/>
      <c r="E78" s="29">
        <v>10</v>
      </c>
      <c r="F78" s="29">
        <v>1360</v>
      </c>
      <c r="G78" s="31">
        <f t="shared" si="5"/>
        <v>13600</v>
      </c>
      <c r="H78" s="67" t="s">
        <v>37</v>
      </c>
      <c r="I78" s="37">
        <v>45215</v>
      </c>
      <c r="J78" s="33">
        <v>1360</v>
      </c>
      <c r="K78" s="33">
        <f>15+5</f>
        <v>20</v>
      </c>
      <c r="L78" s="57">
        <v>45226</v>
      </c>
      <c r="M78" s="31">
        <v>13600</v>
      </c>
      <c r="N78" s="31">
        <v>68</v>
      </c>
      <c r="O78" s="31" t="s">
        <v>741</v>
      </c>
      <c r="P78" s="74" t="s">
        <v>160</v>
      </c>
      <c r="Q78" s="33">
        <v>8500062699</v>
      </c>
      <c r="R78" s="33">
        <v>5001095735</v>
      </c>
      <c r="S78" s="33">
        <v>1360</v>
      </c>
      <c r="T78" s="31" t="s">
        <v>152</v>
      </c>
      <c r="U78" s="75">
        <v>8500062698</v>
      </c>
      <c r="V78" s="75">
        <v>5001144943</v>
      </c>
      <c r="W78" s="50">
        <v>45250</v>
      </c>
      <c r="X78" s="34">
        <v>1360</v>
      </c>
      <c r="Y78" s="34">
        <v>13600</v>
      </c>
      <c r="Z78" s="34" t="s">
        <v>1513</v>
      </c>
      <c r="AA78" s="34">
        <f t="shared" si="6"/>
        <v>0</v>
      </c>
      <c r="AB78" s="34">
        <f t="shared" si="7"/>
        <v>0</v>
      </c>
      <c r="AC78" s="29"/>
      <c r="AD78" s="29"/>
      <c r="AE78" s="25"/>
      <c r="AF78" s="25"/>
      <c r="AG78" s="25"/>
      <c r="AH78" s="35"/>
    </row>
    <row r="79" spans="1:34" ht="15.6">
      <c r="A79" s="83"/>
      <c r="B79" s="63"/>
      <c r="C79" s="44"/>
      <c r="D79" s="122"/>
      <c r="E79" s="29">
        <v>10</v>
      </c>
      <c r="F79" s="29">
        <v>265</v>
      </c>
      <c r="G79" s="31">
        <f t="shared" si="5"/>
        <v>2650</v>
      </c>
      <c r="H79" s="67" t="s">
        <v>146</v>
      </c>
      <c r="I79" s="37">
        <v>45215</v>
      </c>
      <c r="J79" s="33">
        <v>265</v>
      </c>
      <c r="K79" s="33">
        <f>4+1</f>
        <v>5</v>
      </c>
      <c r="L79" s="57">
        <v>45229</v>
      </c>
      <c r="M79" s="31">
        <v>2650</v>
      </c>
      <c r="N79" s="31">
        <v>14</v>
      </c>
      <c r="O79" s="31" t="s">
        <v>857</v>
      </c>
      <c r="P79" s="74" t="s">
        <v>160</v>
      </c>
      <c r="Q79" s="33">
        <v>8500062699</v>
      </c>
      <c r="R79" s="33">
        <v>5001095735</v>
      </c>
      <c r="S79" s="33">
        <v>265</v>
      </c>
      <c r="T79" s="31" t="s">
        <v>152</v>
      </c>
      <c r="U79" s="75">
        <v>8500062698</v>
      </c>
      <c r="V79" s="31">
        <v>5001154283</v>
      </c>
      <c r="W79" s="50">
        <v>45268</v>
      </c>
      <c r="X79" s="34">
        <v>265</v>
      </c>
      <c r="Y79" s="34">
        <v>2650</v>
      </c>
      <c r="Z79" s="34" t="s">
        <v>800</v>
      </c>
      <c r="AA79" s="34">
        <f t="shared" si="6"/>
        <v>0</v>
      </c>
      <c r="AB79" s="34">
        <f t="shared" si="7"/>
        <v>0</v>
      </c>
      <c r="AC79" s="29"/>
      <c r="AD79" s="29"/>
      <c r="AE79" s="25"/>
      <c r="AF79" s="25"/>
      <c r="AG79" s="25"/>
      <c r="AH79" s="35"/>
    </row>
    <row r="80" spans="1:34" ht="15.6">
      <c r="A80" s="83" t="s">
        <v>136</v>
      </c>
      <c r="B80" s="63">
        <v>6000025729</v>
      </c>
      <c r="C80" s="44" t="s">
        <v>137</v>
      </c>
      <c r="D80" s="122">
        <v>37033</v>
      </c>
      <c r="E80" s="29">
        <v>10</v>
      </c>
      <c r="F80" s="29">
        <v>1250</v>
      </c>
      <c r="G80" s="31">
        <f t="shared" si="4"/>
        <v>12500</v>
      </c>
      <c r="H80" s="67" t="s">
        <v>27</v>
      </c>
      <c r="I80" s="37">
        <v>45215</v>
      </c>
      <c r="J80" s="33">
        <v>1250</v>
      </c>
      <c r="K80" s="33">
        <f>14+2</f>
        <v>16</v>
      </c>
      <c r="L80" s="57">
        <v>45226</v>
      </c>
      <c r="M80" s="31">
        <v>12500</v>
      </c>
      <c r="N80" s="31">
        <v>63</v>
      </c>
      <c r="O80" s="31" t="s">
        <v>1848</v>
      </c>
      <c r="P80" s="74" t="s">
        <v>160</v>
      </c>
      <c r="Q80" s="33">
        <v>8500062702</v>
      </c>
      <c r="R80" s="33">
        <v>5001095734</v>
      </c>
      <c r="S80" s="33">
        <v>1250</v>
      </c>
      <c r="T80" s="31" t="s">
        <v>152</v>
      </c>
      <c r="U80" s="75">
        <v>8500062700</v>
      </c>
      <c r="V80" s="31">
        <v>5001144946</v>
      </c>
      <c r="W80" s="50">
        <v>45253</v>
      </c>
      <c r="X80" s="34">
        <f>100+1150</f>
        <v>1250</v>
      </c>
      <c r="Y80" s="34">
        <f>1000+11500</f>
        <v>12500</v>
      </c>
      <c r="Z80" s="34" t="s">
        <v>2058</v>
      </c>
      <c r="AA80" s="34">
        <f t="shared" si="6"/>
        <v>0</v>
      </c>
      <c r="AB80" s="34">
        <f t="shared" si="7"/>
        <v>0</v>
      </c>
      <c r="AC80" s="29"/>
      <c r="AD80" s="29"/>
      <c r="AE80" s="25"/>
      <c r="AF80" s="25"/>
      <c r="AG80" s="25"/>
      <c r="AH80" s="35"/>
    </row>
    <row r="81" spans="1:34" ht="62.4">
      <c r="A81" s="83"/>
      <c r="B81" s="63"/>
      <c r="C81" s="44"/>
      <c r="D81" s="122"/>
      <c r="E81" s="29">
        <v>10</v>
      </c>
      <c r="F81" s="29">
        <v>2180</v>
      </c>
      <c r="G81" s="31">
        <f t="shared" si="4"/>
        <v>21800</v>
      </c>
      <c r="H81" s="67" t="s">
        <v>46</v>
      </c>
      <c r="I81" s="37" t="s">
        <v>1863</v>
      </c>
      <c r="J81" s="33">
        <f>1954+226</f>
        <v>2180</v>
      </c>
      <c r="K81" s="33">
        <f>22+2</f>
        <v>24</v>
      </c>
      <c r="L81" s="57" t="s">
        <v>1834</v>
      </c>
      <c r="M81" s="90">
        <f>19800+2000</f>
        <v>21800</v>
      </c>
      <c r="N81" s="31">
        <v>109</v>
      </c>
      <c r="O81" s="31" t="s">
        <v>1837</v>
      </c>
      <c r="P81" s="74" t="s">
        <v>160</v>
      </c>
      <c r="Q81" s="33">
        <v>8500062702</v>
      </c>
      <c r="R81" s="33">
        <v>5001095734</v>
      </c>
      <c r="S81" s="33">
        <f>1954+226</f>
        <v>2180</v>
      </c>
      <c r="T81" s="31" t="s">
        <v>152</v>
      </c>
      <c r="U81" s="75">
        <v>8500062700</v>
      </c>
      <c r="V81" s="31">
        <v>5001134092</v>
      </c>
      <c r="W81" s="50">
        <v>45253</v>
      </c>
      <c r="X81" s="34">
        <v>2180</v>
      </c>
      <c r="Y81" s="34">
        <v>21800</v>
      </c>
      <c r="Z81" s="34" t="s">
        <v>267</v>
      </c>
      <c r="AA81" s="34">
        <f t="shared" si="6"/>
        <v>0</v>
      </c>
      <c r="AB81" s="34">
        <f t="shared" si="7"/>
        <v>0</v>
      </c>
      <c r="AC81" s="29"/>
      <c r="AD81" s="29"/>
      <c r="AE81" s="25"/>
      <c r="AF81" s="25"/>
      <c r="AG81" s="25"/>
      <c r="AH81" s="35"/>
    </row>
    <row r="82" spans="1:34" ht="62.4">
      <c r="A82" s="83"/>
      <c r="B82" s="63"/>
      <c r="C82" s="44"/>
      <c r="D82" s="122"/>
      <c r="E82" s="29">
        <v>10</v>
      </c>
      <c r="F82" s="29">
        <v>1130</v>
      </c>
      <c r="G82" s="31">
        <f t="shared" si="4"/>
        <v>11300</v>
      </c>
      <c r="H82" s="67" t="s">
        <v>37</v>
      </c>
      <c r="I82" s="37">
        <v>45215</v>
      </c>
      <c r="J82" s="33">
        <v>1130</v>
      </c>
      <c r="K82" s="33">
        <v>12</v>
      </c>
      <c r="L82" s="57" t="s">
        <v>1862</v>
      </c>
      <c r="M82" s="31">
        <f>10200+1100</f>
        <v>11300</v>
      </c>
      <c r="N82" s="31">
        <v>57</v>
      </c>
      <c r="O82" s="31" t="s">
        <v>1864</v>
      </c>
      <c r="P82" s="74" t="s">
        <v>160</v>
      </c>
      <c r="Q82" s="33">
        <v>8500062702</v>
      </c>
      <c r="R82" s="33">
        <v>5001095734</v>
      </c>
      <c r="S82" s="33">
        <v>1130</v>
      </c>
      <c r="T82" s="31" t="s">
        <v>152</v>
      </c>
      <c r="U82" s="75">
        <v>8500062700</v>
      </c>
      <c r="V82" s="31">
        <v>5001141162</v>
      </c>
      <c r="W82" s="50">
        <v>45253</v>
      </c>
      <c r="X82" s="34">
        <v>1130</v>
      </c>
      <c r="Y82" s="34">
        <v>11300</v>
      </c>
      <c r="Z82" s="34" t="s">
        <v>1513</v>
      </c>
      <c r="AA82" s="34">
        <f t="shared" si="6"/>
        <v>0</v>
      </c>
      <c r="AB82" s="34">
        <f t="shared" si="7"/>
        <v>0</v>
      </c>
      <c r="AC82" s="29"/>
      <c r="AD82" s="29"/>
      <c r="AE82" s="25"/>
      <c r="AF82" s="25"/>
      <c r="AG82" s="25"/>
      <c r="AH82" s="35"/>
    </row>
    <row r="83" spans="1:34" ht="15.6">
      <c r="A83" s="83"/>
      <c r="B83" s="63"/>
      <c r="C83" s="44"/>
      <c r="D83" s="122"/>
      <c r="E83" s="29">
        <v>10</v>
      </c>
      <c r="F83" s="29">
        <v>260</v>
      </c>
      <c r="G83" s="31">
        <f t="shared" si="4"/>
        <v>2600</v>
      </c>
      <c r="H83" s="67" t="s">
        <v>146</v>
      </c>
      <c r="I83" s="37">
        <v>45215</v>
      </c>
      <c r="J83" s="33">
        <v>260</v>
      </c>
      <c r="K83" s="33">
        <f>4+1</f>
        <v>5</v>
      </c>
      <c r="L83" s="57">
        <v>45229</v>
      </c>
      <c r="M83" s="31">
        <v>2600</v>
      </c>
      <c r="N83" s="31">
        <v>13</v>
      </c>
      <c r="O83" s="31" t="s">
        <v>845</v>
      </c>
      <c r="P83" s="74" t="s">
        <v>160</v>
      </c>
      <c r="Q83" s="33">
        <v>8500062702</v>
      </c>
      <c r="R83" s="33">
        <v>5001095734</v>
      </c>
      <c r="S83" s="33">
        <v>260</v>
      </c>
      <c r="T83" s="31" t="s">
        <v>152</v>
      </c>
      <c r="U83" s="75">
        <v>8500062700</v>
      </c>
      <c r="V83" s="31">
        <v>5001154284</v>
      </c>
      <c r="W83" s="50">
        <v>45275</v>
      </c>
      <c r="X83" s="34">
        <v>260</v>
      </c>
      <c r="Y83" s="34">
        <v>2600</v>
      </c>
      <c r="Z83" s="34" t="s">
        <v>800</v>
      </c>
      <c r="AA83" s="34">
        <f t="shared" si="6"/>
        <v>0</v>
      </c>
      <c r="AB83" s="34">
        <f t="shared" si="7"/>
        <v>0</v>
      </c>
      <c r="AC83" s="29"/>
      <c r="AD83" s="29"/>
      <c r="AE83" s="25"/>
      <c r="AF83" s="25"/>
      <c r="AG83" s="25"/>
      <c r="AH83" s="35"/>
    </row>
    <row r="84" spans="1:34" ht="31.2">
      <c r="A84" s="83" t="s">
        <v>136</v>
      </c>
      <c r="B84" s="63">
        <v>6000025730</v>
      </c>
      <c r="C84" s="44" t="s">
        <v>137</v>
      </c>
      <c r="D84" s="122">
        <v>37034</v>
      </c>
      <c r="E84" s="29">
        <v>10</v>
      </c>
      <c r="F84" s="29">
        <v>1250</v>
      </c>
      <c r="G84" s="31">
        <f t="shared" ref="G84:G91" si="8">F84*E84</f>
        <v>12500</v>
      </c>
      <c r="H84" s="67" t="s">
        <v>27</v>
      </c>
      <c r="I84" s="37">
        <v>45218</v>
      </c>
      <c r="J84" s="33">
        <v>1250</v>
      </c>
      <c r="K84" s="33">
        <f>14+4</f>
        <v>18</v>
      </c>
      <c r="L84" s="57">
        <v>45226</v>
      </c>
      <c r="M84" s="31">
        <v>12500</v>
      </c>
      <c r="N84" s="31">
        <v>63</v>
      </c>
      <c r="O84" s="31" t="s">
        <v>1848</v>
      </c>
      <c r="P84" s="74" t="s">
        <v>160</v>
      </c>
      <c r="Q84" s="33">
        <v>8500062705</v>
      </c>
      <c r="R84" s="33">
        <v>5001112354</v>
      </c>
      <c r="S84" s="33">
        <v>1250</v>
      </c>
      <c r="T84" s="31" t="s">
        <v>152</v>
      </c>
      <c r="U84" s="75">
        <v>8500062703</v>
      </c>
      <c r="V84" s="31">
        <v>5001144945</v>
      </c>
      <c r="W84" s="50" t="s">
        <v>2189</v>
      </c>
      <c r="X84" s="34">
        <f>1250-847+847</f>
        <v>1250</v>
      </c>
      <c r="Y84" s="34">
        <f>12500-8470+8470</f>
        <v>12500</v>
      </c>
      <c r="Z84" s="34" t="s">
        <v>2190</v>
      </c>
      <c r="AA84" s="34">
        <f t="shared" si="6"/>
        <v>0</v>
      </c>
      <c r="AB84" s="34">
        <f t="shared" si="7"/>
        <v>0</v>
      </c>
      <c r="AC84" s="29" t="s">
        <v>2175</v>
      </c>
      <c r="AD84" s="29"/>
      <c r="AE84" s="25"/>
      <c r="AF84" s="25"/>
      <c r="AG84" s="25"/>
      <c r="AH84" s="35"/>
    </row>
    <row r="85" spans="1:34" ht="62.4">
      <c r="A85" s="83"/>
      <c r="B85" s="63"/>
      <c r="C85" s="44"/>
      <c r="D85" s="122"/>
      <c r="E85" s="29">
        <v>10</v>
      </c>
      <c r="F85" s="29">
        <v>2180</v>
      </c>
      <c r="G85" s="31">
        <f t="shared" si="8"/>
        <v>21800</v>
      </c>
      <c r="H85" s="67" t="s">
        <v>46</v>
      </c>
      <c r="I85" s="37">
        <v>45218</v>
      </c>
      <c r="J85" s="33">
        <v>2180</v>
      </c>
      <c r="K85" s="33">
        <f>23+7</f>
        <v>30</v>
      </c>
      <c r="L85" s="57" t="s">
        <v>1836</v>
      </c>
      <c r="M85" s="31">
        <f>11700+10100</f>
        <v>21800</v>
      </c>
      <c r="N85" s="31">
        <v>109</v>
      </c>
      <c r="O85" s="31" t="s">
        <v>1754</v>
      </c>
      <c r="P85" s="74" t="s">
        <v>160</v>
      </c>
      <c r="Q85" s="33">
        <v>8500062705</v>
      </c>
      <c r="R85" s="33">
        <v>5001112354</v>
      </c>
      <c r="S85" s="33">
        <v>2180</v>
      </c>
      <c r="T85" s="31" t="s">
        <v>152</v>
      </c>
      <c r="U85" s="75">
        <v>8500062703</v>
      </c>
      <c r="V85" s="31">
        <v>5001134097</v>
      </c>
      <c r="W85" s="50">
        <v>45257</v>
      </c>
      <c r="X85" s="34">
        <v>2180</v>
      </c>
      <c r="Y85" s="34">
        <v>21800</v>
      </c>
      <c r="Z85" s="34" t="s">
        <v>267</v>
      </c>
      <c r="AA85" s="34">
        <f t="shared" si="6"/>
        <v>0</v>
      </c>
      <c r="AB85" s="34">
        <f t="shared" si="7"/>
        <v>0</v>
      </c>
      <c r="AC85" s="29"/>
      <c r="AD85" s="29"/>
      <c r="AE85" s="25"/>
      <c r="AF85" s="25"/>
      <c r="AG85" s="25"/>
      <c r="AH85" s="35"/>
    </row>
    <row r="86" spans="1:34" ht="15.6">
      <c r="A86" s="83"/>
      <c r="B86" s="63"/>
      <c r="C86" s="44"/>
      <c r="D86" s="122"/>
      <c r="E86" s="29">
        <v>10</v>
      </c>
      <c r="F86" s="29">
        <v>1130</v>
      </c>
      <c r="G86" s="31">
        <f t="shared" si="8"/>
        <v>11300</v>
      </c>
      <c r="H86" s="67" t="s">
        <v>37</v>
      </c>
      <c r="I86" s="37">
        <v>45218</v>
      </c>
      <c r="J86" s="33">
        <v>1130</v>
      </c>
      <c r="K86" s="33">
        <f>13+3</f>
        <v>16</v>
      </c>
      <c r="L86" s="57">
        <v>45226</v>
      </c>
      <c r="M86" s="31">
        <v>11300</v>
      </c>
      <c r="N86" s="31">
        <v>57</v>
      </c>
      <c r="O86" s="31" t="s">
        <v>1849</v>
      </c>
      <c r="P86" s="74" t="s">
        <v>160</v>
      </c>
      <c r="Q86" s="33">
        <v>8500062705</v>
      </c>
      <c r="R86" s="33">
        <v>5001112354</v>
      </c>
      <c r="S86" s="33">
        <v>1130</v>
      </c>
      <c r="T86" s="31" t="s">
        <v>152</v>
      </c>
      <c r="U86" s="75">
        <v>8500062703</v>
      </c>
      <c r="V86" s="31">
        <v>5001144889</v>
      </c>
      <c r="W86" s="50">
        <v>45260</v>
      </c>
      <c r="X86" s="34">
        <f>600+530</f>
        <v>1130</v>
      </c>
      <c r="Y86" s="34">
        <f>6000+5300</f>
        <v>11300</v>
      </c>
      <c r="Z86" s="34" t="s">
        <v>800</v>
      </c>
      <c r="AA86" s="34">
        <f t="shared" si="6"/>
        <v>0</v>
      </c>
      <c r="AB86" s="34">
        <f t="shared" si="7"/>
        <v>0</v>
      </c>
      <c r="AC86" s="29"/>
      <c r="AD86" s="29"/>
      <c r="AE86" s="25"/>
      <c r="AF86" s="25"/>
      <c r="AG86" s="25"/>
      <c r="AH86" s="35"/>
    </row>
    <row r="87" spans="1:34" ht="15.6">
      <c r="A87" s="83"/>
      <c r="B87" s="63"/>
      <c r="C87" s="44"/>
      <c r="D87" s="122"/>
      <c r="E87" s="29">
        <v>10</v>
      </c>
      <c r="F87" s="29">
        <v>260</v>
      </c>
      <c r="G87" s="31">
        <f t="shared" si="8"/>
        <v>2600</v>
      </c>
      <c r="H87" s="67" t="s">
        <v>146</v>
      </c>
      <c r="I87" s="37">
        <v>45219</v>
      </c>
      <c r="J87" s="33">
        <v>260</v>
      </c>
      <c r="K87" s="33">
        <v>6</v>
      </c>
      <c r="L87" s="57">
        <v>45227</v>
      </c>
      <c r="M87" s="31">
        <v>2600</v>
      </c>
      <c r="N87" s="31">
        <v>13</v>
      </c>
      <c r="O87" s="31" t="s">
        <v>1362</v>
      </c>
      <c r="P87" s="74" t="s">
        <v>160</v>
      </c>
      <c r="Q87" s="33">
        <v>8500062706</v>
      </c>
      <c r="R87" s="33">
        <v>5001116500</v>
      </c>
      <c r="S87" s="33">
        <v>260</v>
      </c>
      <c r="T87" s="31" t="s">
        <v>152</v>
      </c>
      <c r="U87" s="75">
        <v>8500062703</v>
      </c>
      <c r="V87" s="31">
        <v>5001152768</v>
      </c>
      <c r="W87" s="50">
        <v>45276</v>
      </c>
      <c r="X87" s="34">
        <v>260</v>
      </c>
      <c r="Y87" s="34">
        <v>2600</v>
      </c>
      <c r="Z87" s="34" t="s">
        <v>800</v>
      </c>
      <c r="AA87" s="34">
        <f t="shared" si="6"/>
        <v>0</v>
      </c>
      <c r="AB87" s="34">
        <f t="shared" si="7"/>
        <v>0</v>
      </c>
      <c r="AC87" s="29"/>
      <c r="AD87" s="29"/>
      <c r="AE87" s="25"/>
      <c r="AF87" s="25"/>
      <c r="AG87" s="25"/>
      <c r="AH87" s="35"/>
    </row>
    <row r="88" spans="1:34" ht="15.6">
      <c r="A88" s="83" t="s">
        <v>136</v>
      </c>
      <c r="B88" s="63">
        <v>6000025731</v>
      </c>
      <c r="C88" s="44" t="s">
        <v>137</v>
      </c>
      <c r="D88" s="122">
        <v>37026</v>
      </c>
      <c r="E88" s="29">
        <v>10</v>
      </c>
      <c r="F88" s="29">
        <v>1105</v>
      </c>
      <c r="G88" s="31">
        <f t="shared" si="8"/>
        <v>11050</v>
      </c>
      <c r="H88" s="67" t="s">
        <v>27</v>
      </c>
      <c r="I88" s="37">
        <v>45218</v>
      </c>
      <c r="J88" s="33">
        <v>1105</v>
      </c>
      <c r="K88" s="33">
        <f>13+2</f>
        <v>15</v>
      </c>
      <c r="L88" s="57">
        <v>45227</v>
      </c>
      <c r="M88" s="31">
        <v>11050</v>
      </c>
      <c r="N88" s="31">
        <v>56</v>
      </c>
      <c r="O88" s="31" t="s">
        <v>1791</v>
      </c>
      <c r="P88" s="74" t="s">
        <v>160</v>
      </c>
      <c r="Q88" s="33">
        <v>8500062707</v>
      </c>
      <c r="R88" s="33">
        <v>5001112329</v>
      </c>
      <c r="S88" s="33">
        <v>1105</v>
      </c>
      <c r="T88" s="31" t="s">
        <v>152</v>
      </c>
      <c r="U88" s="75">
        <v>8500062706</v>
      </c>
      <c r="V88" s="31">
        <v>5001152822</v>
      </c>
      <c r="W88" s="50">
        <v>45252</v>
      </c>
      <c r="X88" s="34">
        <v>1105</v>
      </c>
      <c r="Y88" s="34">
        <v>11050</v>
      </c>
      <c r="Z88" s="34" t="s">
        <v>800</v>
      </c>
      <c r="AA88" s="34">
        <f t="shared" si="6"/>
        <v>0</v>
      </c>
      <c r="AB88" s="34">
        <f t="shared" si="7"/>
        <v>0</v>
      </c>
      <c r="AC88" s="29"/>
      <c r="AD88" s="29"/>
      <c r="AE88" s="25"/>
      <c r="AF88" s="25"/>
      <c r="AG88" s="25"/>
      <c r="AH88" s="35"/>
    </row>
    <row r="89" spans="1:34" ht="15.6">
      <c r="A89" s="83"/>
      <c r="B89" s="63"/>
      <c r="C89" s="44"/>
      <c r="D89" s="122"/>
      <c r="E89" s="29">
        <v>10</v>
      </c>
      <c r="F89" s="85">
        <v>2090</v>
      </c>
      <c r="G89" s="31">
        <f t="shared" si="8"/>
        <v>20900</v>
      </c>
      <c r="H89" s="67" t="s">
        <v>46</v>
      </c>
      <c r="I89" s="37">
        <v>45218</v>
      </c>
      <c r="J89" s="115">
        <v>2090</v>
      </c>
      <c r="K89" s="33">
        <f>22+8</f>
        <v>30</v>
      </c>
      <c r="L89" s="57">
        <v>45225</v>
      </c>
      <c r="M89" s="31">
        <v>20900</v>
      </c>
      <c r="N89" s="31">
        <v>105</v>
      </c>
      <c r="O89" s="31"/>
      <c r="P89" s="74" t="s">
        <v>160</v>
      </c>
      <c r="Q89" s="33">
        <v>8500062707</v>
      </c>
      <c r="R89" s="33">
        <v>5001112329</v>
      </c>
      <c r="S89" s="115">
        <v>2090</v>
      </c>
      <c r="T89" s="31" t="s">
        <v>152</v>
      </c>
      <c r="U89" s="75">
        <v>8500062706</v>
      </c>
      <c r="V89" s="31">
        <v>5001141166</v>
      </c>
      <c r="W89" s="50">
        <v>45252</v>
      </c>
      <c r="X89" s="34">
        <v>2090</v>
      </c>
      <c r="Y89" s="34">
        <v>20900</v>
      </c>
      <c r="Z89" s="34" t="s">
        <v>267</v>
      </c>
      <c r="AA89" s="34">
        <f t="shared" si="6"/>
        <v>0</v>
      </c>
      <c r="AB89" s="34">
        <f t="shared" si="7"/>
        <v>0</v>
      </c>
      <c r="AC89" s="29"/>
      <c r="AD89" s="29"/>
      <c r="AE89" s="25"/>
      <c r="AF89" s="25"/>
      <c r="AG89" s="25"/>
      <c r="AH89" s="35"/>
    </row>
    <row r="90" spans="1:34" ht="15.6">
      <c r="A90" s="83"/>
      <c r="B90" s="63"/>
      <c r="C90" s="44"/>
      <c r="D90" s="122"/>
      <c r="E90" s="29">
        <v>10</v>
      </c>
      <c r="F90" s="29">
        <v>1360</v>
      </c>
      <c r="G90" s="31">
        <f t="shared" si="8"/>
        <v>13600</v>
      </c>
      <c r="H90" s="67" t="s">
        <v>37</v>
      </c>
      <c r="I90" s="37">
        <v>45218</v>
      </c>
      <c r="J90" s="33">
        <v>1360</v>
      </c>
      <c r="K90" s="33">
        <f>15+5</f>
        <v>20</v>
      </c>
      <c r="L90" s="57">
        <v>45226</v>
      </c>
      <c r="M90" s="31">
        <v>13600</v>
      </c>
      <c r="N90" s="31">
        <v>68</v>
      </c>
      <c r="O90" s="31" t="s">
        <v>1848</v>
      </c>
      <c r="P90" s="74" t="s">
        <v>160</v>
      </c>
      <c r="Q90" s="33">
        <v>8500062707</v>
      </c>
      <c r="R90" s="33">
        <v>5001112329</v>
      </c>
      <c r="S90" s="33">
        <v>1360</v>
      </c>
      <c r="T90" s="31" t="s">
        <v>152</v>
      </c>
      <c r="U90" s="75">
        <v>8500062706</v>
      </c>
      <c r="V90" s="31">
        <v>5001144942</v>
      </c>
      <c r="W90" s="50">
        <v>45252</v>
      </c>
      <c r="X90" s="34">
        <v>1360</v>
      </c>
      <c r="Y90" s="34">
        <v>13600</v>
      </c>
      <c r="Z90" s="34" t="s">
        <v>1513</v>
      </c>
      <c r="AA90" s="34">
        <f t="shared" si="6"/>
        <v>0</v>
      </c>
      <c r="AB90" s="34">
        <f t="shared" si="7"/>
        <v>0</v>
      </c>
      <c r="AC90" s="29"/>
      <c r="AD90" s="29"/>
      <c r="AE90" s="25"/>
      <c r="AF90" s="25"/>
      <c r="AG90" s="25"/>
      <c r="AH90" s="35"/>
    </row>
    <row r="91" spans="1:34" ht="15.6">
      <c r="A91" s="83"/>
      <c r="B91" s="63"/>
      <c r="C91" s="44"/>
      <c r="D91" s="122"/>
      <c r="E91" s="29">
        <v>10</v>
      </c>
      <c r="F91" s="29">
        <v>265</v>
      </c>
      <c r="G91" s="31">
        <f t="shared" si="8"/>
        <v>2650</v>
      </c>
      <c r="H91" s="67" t="s">
        <v>146</v>
      </c>
      <c r="I91" s="37">
        <v>45219</v>
      </c>
      <c r="J91" s="33">
        <v>265</v>
      </c>
      <c r="K91" s="33">
        <v>7</v>
      </c>
      <c r="L91" s="57">
        <v>45229</v>
      </c>
      <c r="M91" s="31">
        <v>2650</v>
      </c>
      <c r="N91" s="31">
        <v>14</v>
      </c>
      <c r="O91" s="31" t="s">
        <v>1412</v>
      </c>
      <c r="P91" s="74" t="s">
        <v>160</v>
      </c>
      <c r="Q91" s="33">
        <v>8500062708</v>
      </c>
      <c r="R91" s="33">
        <v>5001116501</v>
      </c>
      <c r="S91" s="33">
        <v>265</v>
      </c>
      <c r="T91" s="31" t="s">
        <v>152</v>
      </c>
      <c r="U91" s="75">
        <v>8500062706</v>
      </c>
      <c r="V91" s="31">
        <v>5001154280</v>
      </c>
      <c r="W91" s="50">
        <v>45268</v>
      </c>
      <c r="X91" s="34">
        <v>265</v>
      </c>
      <c r="Y91" s="34">
        <v>2650</v>
      </c>
      <c r="Z91" s="34" t="s">
        <v>800</v>
      </c>
      <c r="AA91" s="34">
        <f t="shared" si="6"/>
        <v>0</v>
      </c>
      <c r="AB91" s="34">
        <f t="shared" si="7"/>
        <v>0</v>
      </c>
      <c r="AC91" s="29"/>
      <c r="AD91" s="29"/>
      <c r="AE91" s="25"/>
      <c r="AF91" s="25"/>
      <c r="AG91" s="25"/>
      <c r="AH91" s="35"/>
    </row>
    <row r="92" spans="1:34" ht="15.6">
      <c r="A92" s="83" t="s">
        <v>652</v>
      </c>
      <c r="B92" s="63">
        <v>6000025754</v>
      </c>
      <c r="C92" s="44" t="s">
        <v>653</v>
      </c>
      <c r="D92" s="122">
        <v>2342402</v>
      </c>
      <c r="E92" s="29">
        <v>10</v>
      </c>
      <c r="F92" s="29">
        <v>100</v>
      </c>
      <c r="G92" s="31">
        <f t="shared" si="4"/>
        <v>1000</v>
      </c>
      <c r="H92" s="67" t="s">
        <v>27</v>
      </c>
      <c r="I92" s="37">
        <v>45209</v>
      </c>
      <c r="J92" s="33">
        <v>100</v>
      </c>
      <c r="K92" s="33">
        <v>7</v>
      </c>
      <c r="L92" s="57">
        <v>45219</v>
      </c>
      <c r="M92" s="31">
        <v>1000</v>
      </c>
      <c r="N92" s="31">
        <f>20+10</f>
        <v>30</v>
      </c>
      <c r="O92" s="31" t="s">
        <v>1657</v>
      </c>
      <c r="P92" s="74" t="s">
        <v>160</v>
      </c>
      <c r="Q92" s="33">
        <v>8500062461</v>
      </c>
      <c r="R92" s="33">
        <v>5001072021</v>
      </c>
      <c r="S92" s="33">
        <v>100</v>
      </c>
      <c r="T92" s="31" t="s">
        <v>655</v>
      </c>
      <c r="U92" s="75">
        <v>8500062454</v>
      </c>
      <c r="V92" s="31">
        <v>5001116594</v>
      </c>
      <c r="W92" s="50">
        <v>45234</v>
      </c>
      <c r="X92" s="34">
        <v>100</v>
      </c>
      <c r="Y92" s="34">
        <v>1000</v>
      </c>
      <c r="Z92" s="34" t="s">
        <v>800</v>
      </c>
      <c r="AA92" s="34">
        <f t="shared" si="6"/>
        <v>0</v>
      </c>
      <c r="AB92" s="34">
        <f t="shared" si="7"/>
        <v>0</v>
      </c>
      <c r="AC92" s="29"/>
      <c r="AD92" s="29"/>
      <c r="AE92" s="25"/>
      <c r="AF92" s="25"/>
      <c r="AG92" s="25"/>
      <c r="AH92" s="35"/>
    </row>
    <row r="93" spans="1:34" ht="31.2">
      <c r="A93" s="83"/>
      <c r="B93" s="63"/>
      <c r="C93" s="44"/>
      <c r="D93" s="122"/>
      <c r="E93" s="29">
        <v>10</v>
      </c>
      <c r="F93" s="29">
        <v>350</v>
      </c>
      <c r="G93" s="31">
        <f t="shared" si="4"/>
        <v>3500</v>
      </c>
      <c r="H93" s="67" t="s">
        <v>46</v>
      </c>
      <c r="I93" s="37" t="s">
        <v>1767</v>
      </c>
      <c r="J93" s="33">
        <f>338+12</f>
        <v>350</v>
      </c>
      <c r="K93" s="33">
        <f>9+2</f>
        <v>11</v>
      </c>
      <c r="L93" s="57">
        <v>45218</v>
      </c>
      <c r="M93" s="31">
        <v>3500</v>
      </c>
      <c r="N93" s="31">
        <f>50+10</f>
        <v>60</v>
      </c>
      <c r="O93" s="31" t="s">
        <v>921</v>
      </c>
      <c r="P93" s="74" t="s">
        <v>160</v>
      </c>
      <c r="Q93" s="33">
        <v>8500062461</v>
      </c>
      <c r="R93" s="33">
        <v>5001072021</v>
      </c>
      <c r="S93" s="33">
        <f>338+12</f>
        <v>350</v>
      </c>
      <c r="T93" s="31" t="s">
        <v>655</v>
      </c>
      <c r="U93" s="75">
        <v>8500062454</v>
      </c>
      <c r="V93" s="31">
        <v>5001112367</v>
      </c>
      <c r="W93" s="50">
        <v>45227</v>
      </c>
      <c r="X93" s="34">
        <v>350</v>
      </c>
      <c r="Y93" s="34">
        <v>3500</v>
      </c>
      <c r="Z93" s="34" t="s">
        <v>1841</v>
      </c>
      <c r="AA93" s="34">
        <f t="shared" si="6"/>
        <v>0</v>
      </c>
      <c r="AB93" s="34">
        <f t="shared" si="7"/>
        <v>0</v>
      </c>
      <c r="AC93" s="29" t="s">
        <v>1826</v>
      </c>
      <c r="AD93" s="29"/>
      <c r="AE93" s="25"/>
      <c r="AF93" s="25"/>
      <c r="AG93" s="25"/>
      <c r="AH93" s="35"/>
    </row>
    <row r="94" spans="1:34" ht="33.75" customHeight="1">
      <c r="A94" s="83"/>
      <c r="B94" s="63"/>
      <c r="C94" s="44"/>
      <c r="D94" s="122"/>
      <c r="E94" s="29">
        <v>10</v>
      </c>
      <c r="F94" s="29">
        <v>1350</v>
      </c>
      <c r="G94" s="31">
        <f t="shared" si="4"/>
        <v>13500</v>
      </c>
      <c r="H94" s="67" t="s">
        <v>37</v>
      </c>
      <c r="I94" s="37" t="s">
        <v>1767</v>
      </c>
      <c r="J94" s="33">
        <f>1225+109+16</f>
        <v>1350</v>
      </c>
      <c r="K94" s="33">
        <f>15+2</f>
        <v>17</v>
      </c>
      <c r="L94" s="57" t="s">
        <v>1844</v>
      </c>
      <c r="M94" s="31">
        <f>13150+350</f>
        <v>13500</v>
      </c>
      <c r="N94" s="31">
        <v>150</v>
      </c>
      <c r="O94" s="31" t="s">
        <v>1845</v>
      </c>
      <c r="P94" s="74" t="s">
        <v>160</v>
      </c>
      <c r="Q94" s="33">
        <v>8500062461</v>
      </c>
      <c r="R94" s="33">
        <v>5001072021</v>
      </c>
      <c r="S94" s="33">
        <f>1225+109+16</f>
        <v>1350</v>
      </c>
      <c r="T94" s="31" t="s">
        <v>655</v>
      </c>
      <c r="U94" s="75">
        <v>8500062454</v>
      </c>
      <c r="V94" s="31">
        <v>5001116594</v>
      </c>
      <c r="W94" s="50">
        <v>45238</v>
      </c>
      <c r="X94" s="34">
        <v>1350</v>
      </c>
      <c r="Y94" s="34">
        <v>13500</v>
      </c>
      <c r="Z94" s="34" t="s">
        <v>816</v>
      </c>
      <c r="AA94" s="34">
        <f t="shared" si="6"/>
        <v>0</v>
      </c>
      <c r="AB94" s="34">
        <f t="shared" si="7"/>
        <v>0</v>
      </c>
      <c r="AC94" s="29"/>
      <c r="AD94" s="29"/>
      <c r="AE94" s="25"/>
      <c r="AF94" s="25"/>
      <c r="AG94" s="25"/>
      <c r="AH94" s="35"/>
    </row>
    <row r="95" spans="1:34" ht="15.6">
      <c r="A95" s="83"/>
      <c r="B95" s="63"/>
      <c r="C95" s="44"/>
      <c r="D95" s="122"/>
      <c r="E95" s="29">
        <v>10</v>
      </c>
      <c r="F95" s="29">
        <v>350</v>
      </c>
      <c r="G95" s="31">
        <f t="shared" si="4"/>
        <v>3500</v>
      </c>
      <c r="H95" s="67" t="s">
        <v>146</v>
      </c>
      <c r="I95" s="37">
        <v>45209</v>
      </c>
      <c r="J95" s="33">
        <v>350</v>
      </c>
      <c r="K95" s="33">
        <v>5</v>
      </c>
      <c r="L95" s="57">
        <v>45217</v>
      </c>
      <c r="M95" s="31">
        <v>3500</v>
      </c>
      <c r="N95" s="31">
        <v>50</v>
      </c>
      <c r="O95" s="31" t="s">
        <v>814</v>
      </c>
      <c r="P95" s="74" t="s">
        <v>160</v>
      </c>
      <c r="Q95" s="33">
        <v>8500062461</v>
      </c>
      <c r="R95" s="33">
        <v>5001072021</v>
      </c>
      <c r="S95" s="33">
        <v>350</v>
      </c>
      <c r="T95" s="31" t="s">
        <v>655</v>
      </c>
      <c r="U95" s="75">
        <v>8500062454</v>
      </c>
      <c r="V95" s="31">
        <v>5001105686</v>
      </c>
      <c r="W95" s="50">
        <v>45227</v>
      </c>
      <c r="X95" s="34">
        <v>350</v>
      </c>
      <c r="Y95" s="34">
        <v>3500</v>
      </c>
      <c r="Z95" s="34" t="s">
        <v>1840</v>
      </c>
      <c r="AA95" s="34">
        <f t="shared" si="6"/>
        <v>0</v>
      </c>
      <c r="AB95" s="34">
        <f t="shared" si="7"/>
        <v>0</v>
      </c>
      <c r="AC95" s="29"/>
      <c r="AD95" s="29"/>
      <c r="AE95" s="25"/>
      <c r="AF95" s="25"/>
      <c r="AG95" s="25"/>
      <c r="AH95" s="35"/>
    </row>
    <row r="96" spans="1:34" ht="15.6">
      <c r="A96" s="83" t="s">
        <v>1750</v>
      </c>
      <c r="B96" s="63">
        <v>6000025772</v>
      </c>
      <c r="C96" s="44" t="s">
        <v>1749</v>
      </c>
      <c r="D96" s="122">
        <v>6000025772</v>
      </c>
      <c r="E96" s="29">
        <v>10</v>
      </c>
      <c r="F96" s="29">
        <v>400</v>
      </c>
      <c r="G96" s="31">
        <f t="shared" ref="G96:G159" si="9">F96*E96</f>
        <v>4000</v>
      </c>
      <c r="H96" s="67" t="s">
        <v>27</v>
      </c>
      <c r="I96" s="37">
        <v>45211</v>
      </c>
      <c r="J96" s="28">
        <v>400</v>
      </c>
      <c r="K96" s="33">
        <f>5+2</f>
        <v>7</v>
      </c>
      <c r="L96" s="57">
        <v>45212</v>
      </c>
      <c r="M96" s="31">
        <v>4000</v>
      </c>
      <c r="N96" s="31">
        <v>20</v>
      </c>
      <c r="O96" s="31" t="s">
        <v>824</v>
      </c>
      <c r="P96" s="74" t="s">
        <v>160</v>
      </c>
      <c r="Q96" s="33">
        <v>8500062569</v>
      </c>
      <c r="R96" s="33"/>
      <c r="S96" s="28">
        <v>400</v>
      </c>
      <c r="T96" s="31" t="s">
        <v>152</v>
      </c>
      <c r="U96" s="75">
        <v>8500062568</v>
      </c>
      <c r="V96" s="31">
        <v>5001084248</v>
      </c>
      <c r="W96" s="50">
        <v>45229</v>
      </c>
      <c r="X96" s="34">
        <v>400</v>
      </c>
      <c r="Y96" s="34">
        <v>4000</v>
      </c>
      <c r="Z96" s="34" t="s">
        <v>1866</v>
      </c>
      <c r="AA96" s="34">
        <f t="shared" si="6"/>
        <v>0</v>
      </c>
      <c r="AB96" s="34">
        <f t="shared" si="7"/>
        <v>0</v>
      </c>
      <c r="AC96" s="29"/>
      <c r="AD96" s="29"/>
      <c r="AE96" s="25"/>
      <c r="AF96" s="25"/>
      <c r="AG96" s="25"/>
      <c r="AH96" s="35"/>
    </row>
    <row r="97" spans="1:34" ht="31.2">
      <c r="A97" s="83"/>
      <c r="B97" s="63"/>
      <c r="C97" s="29"/>
      <c r="D97" s="64"/>
      <c r="E97" s="29">
        <v>10</v>
      </c>
      <c r="F97" s="29">
        <v>500</v>
      </c>
      <c r="G97" s="31">
        <f t="shared" si="9"/>
        <v>5000</v>
      </c>
      <c r="H97" s="67" t="s">
        <v>46</v>
      </c>
      <c r="I97" s="37" t="s">
        <v>1806</v>
      </c>
      <c r="J97" s="33">
        <f>488+12</f>
        <v>500</v>
      </c>
      <c r="K97" s="33">
        <v>6</v>
      </c>
      <c r="L97" s="57">
        <v>45212</v>
      </c>
      <c r="M97" s="31">
        <v>5000</v>
      </c>
      <c r="N97" s="31">
        <v>25</v>
      </c>
      <c r="O97" s="31" t="s">
        <v>1760</v>
      </c>
      <c r="P97" s="74" t="s">
        <v>160</v>
      </c>
      <c r="Q97" s="33">
        <v>8500062569</v>
      </c>
      <c r="R97" s="33"/>
      <c r="S97" s="33">
        <f>488+12</f>
        <v>500</v>
      </c>
      <c r="T97" s="31" t="s">
        <v>152</v>
      </c>
      <c r="U97" s="75">
        <v>8500062568</v>
      </c>
      <c r="V97" s="31">
        <v>5001084248</v>
      </c>
      <c r="W97" s="50">
        <v>45241</v>
      </c>
      <c r="X97" s="34">
        <v>500</v>
      </c>
      <c r="Y97" s="34">
        <v>5000</v>
      </c>
      <c r="Z97" s="34" t="s">
        <v>800</v>
      </c>
      <c r="AA97" s="34">
        <f t="shared" si="6"/>
        <v>0</v>
      </c>
      <c r="AB97" s="34">
        <f t="shared" si="7"/>
        <v>0</v>
      </c>
      <c r="AC97" s="29"/>
      <c r="AD97" s="29"/>
      <c r="AE97" s="25"/>
      <c r="AF97" s="25"/>
      <c r="AG97" s="25"/>
      <c r="AH97" s="35"/>
    </row>
    <row r="98" spans="1:34" ht="15.6">
      <c r="A98" s="83"/>
      <c r="B98" s="63"/>
      <c r="C98" s="29"/>
      <c r="D98" s="64"/>
      <c r="E98" s="29">
        <v>10</v>
      </c>
      <c r="F98" s="29">
        <v>400</v>
      </c>
      <c r="G98" s="31">
        <f t="shared" si="9"/>
        <v>4000</v>
      </c>
      <c r="H98" s="67" t="s">
        <v>37</v>
      </c>
      <c r="I98" s="37">
        <v>45211</v>
      </c>
      <c r="J98" s="33">
        <v>400</v>
      </c>
      <c r="K98" s="33">
        <f>5+3</f>
        <v>8</v>
      </c>
      <c r="L98" s="57">
        <v>45212</v>
      </c>
      <c r="M98" s="31">
        <v>4000</v>
      </c>
      <c r="N98" s="31">
        <v>20</v>
      </c>
      <c r="O98" s="31" t="s">
        <v>1761</v>
      </c>
      <c r="P98" s="74" t="s">
        <v>160</v>
      </c>
      <c r="Q98" s="33">
        <v>8500062569</v>
      </c>
      <c r="R98" s="33"/>
      <c r="S98" s="33">
        <v>400</v>
      </c>
      <c r="T98" s="31" t="s">
        <v>152</v>
      </c>
      <c r="U98" s="75">
        <v>8500062568</v>
      </c>
      <c r="V98" s="31">
        <v>5001084248</v>
      </c>
      <c r="W98" s="50">
        <v>45226</v>
      </c>
      <c r="X98" s="34">
        <v>400</v>
      </c>
      <c r="Y98" s="34">
        <v>4000</v>
      </c>
      <c r="Z98" s="34" t="s">
        <v>1858</v>
      </c>
      <c r="AA98" s="34">
        <f t="shared" si="6"/>
        <v>0</v>
      </c>
      <c r="AB98" s="34">
        <f t="shared" si="7"/>
        <v>0</v>
      </c>
      <c r="AC98" s="29"/>
      <c r="AD98" s="29"/>
      <c r="AE98" s="25"/>
      <c r="AF98" s="25"/>
      <c r="AG98" s="25"/>
      <c r="AH98" s="35"/>
    </row>
    <row r="99" spans="1:34" ht="15.6">
      <c r="A99" s="83" t="s">
        <v>1750</v>
      </c>
      <c r="B99" s="63">
        <v>6000025772</v>
      </c>
      <c r="C99" s="44" t="s">
        <v>1751</v>
      </c>
      <c r="D99" s="122">
        <v>6000025772</v>
      </c>
      <c r="E99" s="29">
        <v>10</v>
      </c>
      <c r="F99" s="29">
        <v>200</v>
      </c>
      <c r="G99" s="31">
        <f t="shared" si="9"/>
        <v>2000</v>
      </c>
      <c r="H99" s="67" t="s">
        <v>27</v>
      </c>
      <c r="I99" s="37">
        <v>45215</v>
      </c>
      <c r="J99" s="33">
        <v>200</v>
      </c>
      <c r="K99" s="33">
        <f>7+3</f>
        <v>10</v>
      </c>
      <c r="L99" s="57">
        <v>45215</v>
      </c>
      <c r="M99" s="31">
        <v>2000</v>
      </c>
      <c r="N99" s="31">
        <v>20</v>
      </c>
      <c r="O99" s="31" t="s">
        <v>1768</v>
      </c>
      <c r="P99" s="74"/>
      <c r="Q99" s="33">
        <v>8500062571</v>
      </c>
      <c r="R99" s="33">
        <v>5001095731</v>
      </c>
      <c r="S99" s="33">
        <v>200</v>
      </c>
      <c r="T99" s="31" t="s">
        <v>1558</v>
      </c>
      <c r="U99" s="75">
        <v>8500062570</v>
      </c>
      <c r="V99" s="31">
        <v>5001095737</v>
      </c>
      <c r="W99" s="50">
        <v>45231</v>
      </c>
      <c r="X99" s="34">
        <v>200</v>
      </c>
      <c r="Y99" s="34">
        <v>2000</v>
      </c>
      <c r="Z99" s="34" t="s">
        <v>800</v>
      </c>
      <c r="AA99" s="34">
        <f t="shared" si="6"/>
        <v>0</v>
      </c>
      <c r="AB99" s="34">
        <f t="shared" si="7"/>
        <v>0</v>
      </c>
      <c r="AC99" s="29"/>
      <c r="AD99" s="29"/>
      <c r="AE99" s="25"/>
      <c r="AF99" s="25"/>
      <c r="AG99" s="25"/>
      <c r="AH99" s="35"/>
    </row>
    <row r="100" spans="1:34" ht="15.6">
      <c r="A100" s="83"/>
      <c r="B100" s="63"/>
      <c r="C100" s="86"/>
      <c r="D100" s="84"/>
      <c r="E100" s="29">
        <v>10</v>
      </c>
      <c r="F100" s="29">
        <v>300</v>
      </c>
      <c r="G100" s="31">
        <f t="shared" si="9"/>
        <v>3000</v>
      </c>
      <c r="H100" s="67" t="s">
        <v>46</v>
      </c>
      <c r="I100" s="37">
        <v>45211</v>
      </c>
      <c r="J100" s="33">
        <v>300</v>
      </c>
      <c r="K100" s="33">
        <f>8+3</f>
        <v>11</v>
      </c>
      <c r="L100" s="57">
        <v>45215</v>
      </c>
      <c r="M100" s="31">
        <v>3000</v>
      </c>
      <c r="N100" s="31">
        <v>30</v>
      </c>
      <c r="O100" s="31" t="s">
        <v>1768</v>
      </c>
      <c r="P100" s="74"/>
      <c r="Q100" s="33">
        <v>8500062571</v>
      </c>
      <c r="R100" s="33">
        <v>5001082517</v>
      </c>
      <c r="S100" s="33">
        <v>300</v>
      </c>
      <c r="T100" s="31" t="s">
        <v>1558</v>
      </c>
      <c r="U100" s="75">
        <v>8500062570</v>
      </c>
      <c r="V100" s="31">
        <v>5001095737</v>
      </c>
      <c r="W100" s="50">
        <v>45231</v>
      </c>
      <c r="X100" s="34">
        <v>300</v>
      </c>
      <c r="Y100" s="34">
        <v>3000</v>
      </c>
      <c r="Z100" s="34" t="s">
        <v>800</v>
      </c>
      <c r="AA100" s="34">
        <f t="shared" si="6"/>
        <v>0</v>
      </c>
      <c r="AB100" s="34">
        <f t="shared" si="7"/>
        <v>0</v>
      </c>
      <c r="AC100" s="29"/>
      <c r="AD100" s="29"/>
      <c r="AE100" s="25"/>
      <c r="AF100" s="25"/>
      <c r="AG100" s="25"/>
      <c r="AH100" s="35"/>
    </row>
    <row r="101" spans="1:34" ht="15.6">
      <c r="A101" s="83"/>
      <c r="B101" s="63"/>
      <c r="C101" s="86"/>
      <c r="D101" s="64"/>
      <c r="E101" s="29">
        <v>10</v>
      </c>
      <c r="F101" s="29">
        <v>100</v>
      </c>
      <c r="G101" s="31">
        <f t="shared" si="9"/>
        <v>1000</v>
      </c>
      <c r="H101" s="67" t="s">
        <v>37</v>
      </c>
      <c r="I101" s="37">
        <v>45215</v>
      </c>
      <c r="J101" s="33">
        <v>100</v>
      </c>
      <c r="K101" s="33">
        <f>6+3</f>
        <v>9</v>
      </c>
      <c r="L101" s="57">
        <v>45215</v>
      </c>
      <c r="M101" s="31">
        <v>1000</v>
      </c>
      <c r="N101" s="31">
        <v>10</v>
      </c>
      <c r="O101" s="31" t="s">
        <v>1768</v>
      </c>
      <c r="P101" s="74"/>
      <c r="Q101" s="33">
        <v>8500062571</v>
      </c>
      <c r="R101" s="33">
        <v>5001095731</v>
      </c>
      <c r="S101" s="33">
        <v>100</v>
      </c>
      <c r="T101" s="31" t="s">
        <v>1558</v>
      </c>
      <c r="U101" s="75">
        <v>8500062570</v>
      </c>
      <c r="V101" s="31">
        <v>5001095737</v>
      </c>
      <c r="W101" s="50">
        <v>45231</v>
      </c>
      <c r="X101" s="34">
        <v>100</v>
      </c>
      <c r="Y101" s="34">
        <v>1000</v>
      </c>
      <c r="Z101" s="34" t="s">
        <v>800</v>
      </c>
      <c r="AA101" s="34">
        <f t="shared" si="6"/>
        <v>0</v>
      </c>
      <c r="AB101" s="34">
        <f t="shared" si="7"/>
        <v>0</v>
      </c>
      <c r="AC101" s="29"/>
      <c r="AD101" s="29"/>
      <c r="AE101" s="25"/>
      <c r="AF101" s="25"/>
      <c r="AG101" s="25"/>
      <c r="AH101" s="35"/>
    </row>
    <row r="102" spans="1:34" ht="15.6">
      <c r="A102" s="83"/>
      <c r="B102" s="63"/>
      <c r="C102" s="86"/>
      <c r="D102" s="64"/>
      <c r="E102" s="29">
        <v>10</v>
      </c>
      <c r="F102" s="29">
        <v>100</v>
      </c>
      <c r="G102" s="31">
        <f t="shared" si="9"/>
        <v>1000</v>
      </c>
      <c r="H102" s="67" t="s">
        <v>146</v>
      </c>
      <c r="I102" s="37">
        <v>45215</v>
      </c>
      <c r="J102" s="33">
        <v>100</v>
      </c>
      <c r="K102" s="33">
        <f>6+2</f>
        <v>8</v>
      </c>
      <c r="L102" s="57">
        <v>45215</v>
      </c>
      <c r="M102" s="31">
        <v>1000</v>
      </c>
      <c r="N102" s="31">
        <v>10</v>
      </c>
      <c r="O102" s="31" t="s">
        <v>1768</v>
      </c>
      <c r="P102" s="74" t="s">
        <v>160</v>
      </c>
      <c r="Q102" s="33">
        <v>8500062573</v>
      </c>
      <c r="R102" s="33">
        <v>5001095730</v>
      </c>
      <c r="S102" s="33">
        <v>100</v>
      </c>
      <c r="T102" s="31" t="s">
        <v>1558</v>
      </c>
      <c r="U102" s="75">
        <v>8500062572</v>
      </c>
      <c r="V102" s="31">
        <v>5001095738</v>
      </c>
      <c r="W102" s="50">
        <v>45231</v>
      </c>
      <c r="X102" s="34">
        <v>100</v>
      </c>
      <c r="Y102" s="34">
        <v>1000</v>
      </c>
      <c r="Z102" s="34" t="s">
        <v>800</v>
      </c>
      <c r="AA102" s="34">
        <f t="shared" si="6"/>
        <v>0</v>
      </c>
      <c r="AB102" s="34">
        <f t="shared" si="7"/>
        <v>0</v>
      </c>
      <c r="AC102" s="29"/>
      <c r="AD102" s="29"/>
      <c r="AE102" s="25"/>
      <c r="AF102" s="25"/>
      <c r="AG102" s="25"/>
      <c r="AH102" s="35"/>
    </row>
    <row r="103" spans="1:34" ht="31.2">
      <c r="A103" s="83" t="s">
        <v>1610</v>
      </c>
      <c r="B103" s="63">
        <v>6000025923</v>
      </c>
      <c r="C103" s="44" t="s">
        <v>1752</v>
      </c>
      <c r="D103" s="122" t="s">
        <v>1753</v>
      </c>
      <c r="E103" s="29">
        <v>4</v>
      </c>
      <c r="F103" s="29">
        <v>5100</v>
      </c>
      <c r="G103" s="31">
        <f t="shared" si="9"/>
        <v>20400</v>
      </c>
      <c r="H103" s="67" t="s">
        <v>146</v>
      </c>
      <c r="I103" s="37" t="s">
        <v>1766</v>
      </c>
      <c r="J103" s="33">
        <v>5100</v>
      </c>
      <c r="K103" s="33">
        <f>27+31</f>
        <v>58</v>
      </c>
      <c r="L103" s="57">
        <v>45227</v>
      </c>
      <c r="M103" s="31">
        <v>2000</v>
      </c>
      <c r="N103" s="31"/>
      <c r="O103" s="31"/>
      <c r="P103" s="74" t="s">
        <v>160</v>
      </c>
      <c r="Q103" s="33">
        <v>8500062629</v>
      </c>
      <c r="R103" s="33">
        <v>5001082511</v>
      </c>
      <c r="S103" s="33">
        <v>5100</v>
      </c>
      <c r="T103" s="31" t="s">
        <v>1643</v>
      </c>
      <c r="U103" s="75">
        <v>8500062628</v>
      </c>
      <c r="V103" s="31">
        <v>5001130048</v>
      </c>
      <c r="W103" s="50" t="s">
        <v>1865</v>
      </c>
      <c r="X103" s="34">
        <f>3000+1600+400+100</f>
        <v>5100</v>
      </c>
      <c r="Y103" s="34">
        <f>1600+400</f>
        <v>2000</v>
      </c>
      <c r="Z103" s="34" t="s">
        <v>1891</v>
      </c>
      <c r="AA103" s="34">
        <f t="shared" si="6"/>
        <v>0</v>
      </c>
      <c r="AB103" s="34">
        <f t="shared" si="7"/>
        <v>0</v>
      </c>
      <c r="AC103" s="77" t="s">
        <v>1861</v>
      </c>
      <c r="AD103" s="29"/>
      <c r="AE103" s="25"/>
      <c r="AF103" s="25"/>
      <c r="AG103" s="25"/>
      <c r="AH103" s="35"/>
    </row>
    <row r="104" spans="1:34" ht="15.6">
      <c r="A104" s="83" t="s">
        <v>279</v>
      </c>
      <c r="B104" s="63">
        <v>6000026047</v>
      </c>
      <c r="C104" s="44" t="s">
        <v>414</v>
      </c>
      <c r="D104" s="122" t="s">
        <v>1771</v>
      </c>
      <c r="E104" s="29">
        <v>10</v>
      </c>
      <c r="F104" s="29">
        <v>350</v>
      </c>
      <c r="G104" s="31">
        <f t="shared" si="9"/>
        <v>3500</v>
      </c>
      <c r="H104" s="67" t="s">
        <v>27</v>
      </c>
      <c r="I104" s="37">
        <v>45219</v>
      </c>
      <c r="J104" s="33">
        <v>350</v>
      </c>
      <c r="K104" s="33">
        <f>10+6</f>
        <v>16</v>
      </c>
      <c r="L104" s="57">
        <v>45225</v>
      </c>
      <c r="M104" s="31">
        <v>3500</v>
      </c>
      <c r="N104" s="31">
        <v>50</v>
      </c>
      <c r="O104" s="31" t="s">
        <v>1613</v>
      </c>
      <c r="P104" s="74" t="s">
        <v>28</v>
      </c>
      <c r="Q104" s="33">
        <v>8500062806</v>
      </c>
      <c r="R104" s="33">
        <v>5001113424</v>
      </c>
      <c r="S104" s="33">
        <v>350</v>
      </c>
      <c r="T104" s="31" t="s">
        <v>87</v>
      </c>
      <c r="U104" s="75">
        <v>8500062805</v>
      </c>
      <c r="V104" s="31">
        <v>5001141173</v>
      </c>
      <c r="W104" s="50">
        <v>45225</v>
      </c>
      <c r="X104" s="79">
        <v>350</v>
      </c>
      <c r="Y104" s="34">
        <v>3500</v>
      </c>
      <c r="Z104" s="34" t="s">
        <v>800</v>
      </c>
      <c r="AA104" s="34">
        <f t="shared" si="6"/>
        <v>0</v>
      </c>
      <c r="AB104" s="34">
        <f t="shared" si="7"/>
        <v>0</v>
      </c>
      <c r="AC104" s="29"/>
      <c r="AD104" s="29"/>
      <c r="AE104" s="25"/>
      <c r="AF104" s="25"/>
      <c r="AG104" s="25"/>
      <c r="AH104" s="35"/>
    </row>
    <row r="105" spans="1:34" ht="15.6">
      <c r="A105" s="83"/>
      <c r="B105" s="63"/>
      <c r="C105" s="29"/>
      <c r="D105" s="64"/>
      <c r="E105" s="29">
        <v>10</v>
      </c>
      <c r="F105" s="29">
        <v>1500</v>
      </c>
      <c r="G105" s="31">
        <f t="shared" si="9"/>
        <v>15000</v>
      </c>
      <c r="H105" s="67" t="s">
        <v>46</v>
      </c>
      <c r="I105" s="37">
        <v>45219</v>
      </c>
      <c r="J105" s="33">
        <v>1500</v>
      </c>
      <c r="K105" s="33">
        <f>10+15</f>
        <v>25</v>
      </c>
      <c r="L105" s="57">
        <v>45225</v>
      </c>
      <c r="M105" s="31">
        <v>15000</v>
      </c>
      <c r="N105" s="31">
        <v>165</v>
      </c>
      <c r="O105" s="31"/>
      <c r="P105" s="74" t="s">
        <v>28</v>
      </c>
      <c r="Q105" s="33">
        <v>8500062806</v>
      </c>
      <c r="R105" s="33">
        <v>5001113424</v>
      </c>
      <c r="S105" s="33">
        <v>1500</v>
      </c>
      <c r="T105" s="31" t="s">
        <v>87</v>
      </c>
      <c r="U105" s="75">
        <v>8500062805</v>
      </c>
      <c r="V105" s="31">
        <v>5001141173</v>
      </c>
      <c r="W105" s="50">
        <v>45225</v>
      </c>
      <c r="X105" s="34">
        <v>1500</v>
      </c>
      <c r="Y105" s="34">
        <v>15000</v>
      </c>
      <c r="Z105" s="34" t="s">
        <v>267</v>
      </c>
      <c r="AA105" s="34">
        <f t="shared" si="6"/>
        <v>0</v>
      </c>
      <c r="AB105" s="34">
        <f t="shared" si="7"/>
        <v>0</v>
      </c>
      <c r="AC105" s="29"/>
      <c r="AD105" s="29"/>
      <c r="AE105" s="25"/>
      <c r="AF105" s="25"/>
      <c r="AG105" s="25"/>
      <c r="AH105" s="35"/>
    </row>
    <row r="106" spans="1:34" ht="15.6">
      <c r="A106" s="83"/>
      <c r="B106" s="63"/>
      <c r="C106" s="86"/>
      <c r="D106" s="84"/>
      <c r="E106" s="29">
        <v>10</v>
      </c>
      <c r="F106" s="29">
        <v>490</v>
      </c>
      <c r="G106" s="31">
        <f t="shared" si="9"/>
        <v>4900</v>
      </c>
      <c r="H106" s="67" t="s">
        <v>37</v>
      </c>
      <c r="I106" s="37">
        <v>45219</v>
      </c>
      <c r="J106" s="33">
        <v>490</v>
      </c>
      <c r="K106" s="33">
        <f>10+6</f>
        <v>16</v>
      </c>
      <c r="L106" s="57">
        <v>45225</v>
      </c>
      <c r="M106" s="31">
        <v>4900</v>
      </c>
      <c r="N106" s="31">
        <v>64</v>
      </c>
      <c r="O106" s="31" t="s">
        <v>1509</v>
      </c>
      <c r="P106" s="74" t="s">
        <v>28</v>
      </c>
      <c r="Q106" s="33">
        <v>8500062806</v>
      </c>
      <c r="R106" s="33">
        <v>5001113424</v>
      </c>
      <c r="S106" s="33">
        <v>490</v>
      </c>
      <c r="T106" s="31" t="s">
        <v>87</v>
      </c>
      <c r="U106" s="75">
        <v>8500062805</v>
      </c>
      <c r="V106" s="31">
        <v>5001141173</v>
      </c>
      <c r="W106" s="50">
        <v>45225</v>
      </c>
      <c r="X106" s="34">
        <v>490</v>
      </c>
      <c r="Y106" s="34">
        <v>4900</v>
      </c>
      <c r="Z106" s="34" t="s">
        <v>803</v>
      </c>
      <c r="AA106" s="34">
        <f t="shared" si="6"/>
        <v>0</v>
      </c>
      <c r="AB106" s="34">
        <f t="shared" si="7"/>
        <v>0</v>
      </c>
      <c r="AC106" s="29"/>
      <c r="AD106" s="29"/>
      <c r="AE106" s="25"/>
      <c r="AF106" s="25"/>
      <c r="AG106" s="25"/>
      <c r="AH106" s="35"/>
    </row>
    <row r="107" spans="1:34" ht="15.6">
      <c r="A107" s="83"/>
      <c r="B107" s="63"/>
      <c r="C107" s="29"/>
      <c r="D107" s="64"/>
      <c r="E107" s="29">
        <v>10</v>
      </c>
      <c r="F107" s="29">
        <v>140</v>
      </c>
      <c r="G107" s="31">
        <f t="shared" si="9"/>
        <v>1400</v>
      </c>
      <c r="H107" s="67" t="s">
        <v>146</v>
      </c>
      <c r="I107" s="37">
        <v>45219</v>
      </c>
      <c r="J107" s="33">
        <v>140</v>
      </c>
      <c r="K107" s="33">
        <f>10+4</f>
        <v>14</v>
      </c>
      <c r="L107" s="57">
        <v>45225</v>
      </c>
      <c r="M107" s="31">
        <v>1400</v>
      </c>
      <c r="N107" s="31">
        <v>29</v>
      </c>
      <c r="O107" s="31" t="s">
        <v>1509</v>
      </c>
      <c r="P107" s="74" t="s">
        <v>28</v>
      </c>
      <c r="Q107" s="33">
        <v>8500062808</v>
      </c>
      <c r="R107" s="33">
        <v>5001113425</v>
      </c>
      <c r="S107" s="33">
        <v>140</v>
      </c>
      <c r="T107" s="31" t="s">
        <v>87</v>
      </c>
      <c r="U107" s="75">
        <v>8500062807</v>
      </c>
      <c r="V107" s="31">
        <v>5001141171</v>
      </c>
      <c r="W107" s="50">
        <v>45226</v>
      </c>
      <c r="X107" s="34">
        <v>140</v>
      </c>
      <c r="Y107" s="34">
        <v>1400</v>
      </c>
      <c r="Z107" s="34" t="s">
        <v>800</v>
      </c>
      <c r="AA107" s="34">
        <f t="shared" si="6"/>
        <v>0</v>
      </c>
      <c r="AB107" s="34">
        <f t="shared" si="7"/>
        <v>0</v>
      </c>
      <c r="AC107" s="29"/>
      <c r="AD107" s="29"/>
      <c r="AE107" s="25"/>
      <c r="AF107" s="25"/>
      <c r="AG107" s="25"/>
      <c r="AH107" s="35"/>
    </row>
    <row r="108" spans="1:34" ht="31.2">
      <c r="A108" s="83" t="s">
        <v>279</v>
      </c>
      <c r="B108" s="63">
        <v>6000026048</v>
      </c>
      <c r="C108" s="44" t="s">
        <v>414</v>
      </c>
      <c r="D108" s="122" t="s">
        <v>1772</v>
      </c>
      <c r="E108" s="29">
        <v>10</v>
      </c>
      <c r="F108" s="29">
        <v>420</v>
      </c>
      <c r="G108" s="31">
        <f t="shared" si="9"/>
        <v>4200</v>
      </c>
      <c r="H108" s="67" t="s">
        <v>27</v>
      </c>
      <c r="I108" s="37">
        <v>45219</v>
      </c>
      <c r="J108" s="33">
        <v>420</v>
      </c>
      <c r="K108" s="33">
        <f>10+4</f>
        <v>14</v>
      </c>
      <c r="L108" s="57">
        <v>45225</v>
      </c>
      <c r="M108" s="31">
        <v>4200</v>
      </c>
      <c r="N108" s="31">
        <v>57</v>
      </c>
      <c r="O108" s="31" t="s">
        <v>737</v>
      </c>
      <c r="P108" s="74" t="s">
        <v>28</v>
      </c>
      <c r="Q108" s="33">
        <v>8500062893</v>
      </c>
      <c r="R108" s="33">
        <v>5001113476</v>
      </c>
      <c r="S108" s="33">
        <v>420</v>
      </c>
      <c r="T108" s="31" t="s">
        <v>87</v>
      </c>
      <c r="U108" s="75">
        <v>8500062885</v>
      </c>
      <c r="V108" s="31">
        <v>5001141178</v>
      </c>
      <c r="W108" s="50" t="s">
        <v>2096</v>
      </c>
      <c r="X108" s="34">
        <f>420</f>
        <v>420</v>
      </c>
      <c r="Y108" s="34">
        <f>4200</f>
        <v>4200</v>
      </c>
      <c r="Z108" s="34" t="s">
        <v>800</v>
      </c>
      <c r="AA108" s="34">
        <f t="shared" si="6"/>
        <v>0</v>
      </c>
      <c r="AB108" s="34">
        <f t="shared" si="7"/>
        <v>0</v>
      </c>
      <c r="AC108" s="29" t="s">
        <v>1906</v>
      </c>
      <c r="AD108" s="29"/>
      <c r="AE108" s="25"/>
      <c r="AF108" s="25"/>
      <c r="AG108" s="25"/>
      <c r="AH108" s="35"/>
    </row>
    <row r="109" spans="1:34" ht="27.75" customHeight="1">
      <c r="A109" s="83"/>
      <c r="B109" s="63"/>
      <c r="C109" s="86"/>
      <c r="D109" s="84"/>
      <c r="E109" s="29">
        <v>10</v>
      </c>
      <c r="F109" s="29">
        <v>1350</v>
      </c>
      <c r="G109" s="31">
        <f t="shared" si="9"/>
        <v>13500</v>
      </c>
      <c r="H109" s="67" t="s">
        <v>46</v>
      </c>
      <c r="I109" s="37">
        <v>45219</v>
      </c>
      <c r="J109" s="33">
        <v>1350</v>
      </c>
      <c r="K109" s="33">
        <f>10+15</f>
        <v>25</v>
      </c>
      <c r="L109" s="57">
        <v>45225</v>
      </c>
      <c r="M109" s="31">
        <v>13500</v>
      </c>
      <c r="N109" s="31">
        <v>150</v>
      </c>
      <c r="O109" s="31" t="s">
        <v>1754</v>
      </c>
      <c r="P109" s="74" t="s">
        <v>28</v>
      </c>
      <c r="Q109" s="33">
        <v>8500062893</v>
      </c>
      <c r="R109" s="33">
        <v>5001116508</v>
      </c>
      <c r="S109" s="33">
        <v>1350</v>
      </c>
      <c r="T109" s="31" t="s">
        <v>87</v>
      </c>
      <c r="U109" s="75">
        <v>8500062885</v>
      </c>
      <c r="V109" s="31">
        <v>5001141178</v>
      </c>
      <c r="W109" s="50">
        <v>45226</v>
      </c>
      <c r="X109" s="34">
        <v>1350</v>
      </c>
      <c r="Y109" s="34">
        <v>13500</v>
      </c>
      <c r="Z109" s="34" t="s">
        <v>267</v>
      </c>
      <c r="AA109" s="34">
        <f t="shared" si="6"/>
        <v>0</v>
      </c>
      <c r="AB109" s="34">
        <f t="shared" si="7"/>
        <v>0</v>
      </c>
      <c r="AC109" s="29"/>
      <c r="AD109" s="29"/>
      <c r="AE109" s="25"/>
      <c r="AF109" s="25"/>
      <c r="AG109" s="25"/>
      <c r="AH109" s="35"/>
    </row>
    <row r="110" spans="1:34" ht="19.5" customHeight="1">
      <c r="A110" s="83"/>
      <c r="B110" s="63"/>
      <c r="C110" s="86"/>
      <c r="D110" s="64"/>
      <c r="E110" s="29">
        <v>10</v>
      </c>
      <c r="F110" s="29">
        <v>600</v>
      </c>
      <c r="G110" s="31">
        <f t="shared" si="9"/>
        <v>6000</v>
      </c>
      <c r="H110" s="67" t="s">
        <v>37</v>
      </c>
      <c r="I110" s="37">
        <v>45222</v>
      </c>
      <c r="J110" s="33">
        <v>600</v>
      </c>
      <c r="K110" s="33">
        <f>10+8</f>
        <v>18</v>
      </c>
      <c r="L110" s="57">
        <v>45224</v>
      </c>
      <c r="M110" s="31">
        <v>6000</v>
      </c>
      <c r="N110" s="31">
        <v>75</v>
      </c>
      <c r="O110" s="31" t="s">
        <v>1439</v>
      </c>
      <c r="P110" s="74" t="s">
        <v>28</v>
      </c>
      <c r="Q110" s="33">
        <v>8500062893</v>
      </c>
      <c r="R110" s="33">
        <v>5001125991</v>
      </c>
      <c r="S110" s="33">
        <v>600</v>
      </c>
      <c r="T110" s="31" t="s">
        <v>87</v>
      </c>
      <c r="U110" s="75">
        <v>8500062885</v>
      </c>
      <c r="V110" s="31">
        <v>50011134407</v>
      </c>
      <c r="W110" s="50">
        <v>45226</v>
      </c>
      <c r="X110" s="34">
        <v>600</v>
      </c>
      <c r="Y110" s="34">
        <v>6000</v>
      </c>
      <c r="Z110" s="34" t="s">
        <v>803</v>
      </c>
      <c r="AA110" s="34">
        <f t="shared" si="6"/>
        <v>0</v>
      </c>
      <c r="AB110" s="34">
        <f t="shared" si="7"/>
        <v>0</v>
      </c>
      <c r="AC110" s="29"/>
      <c r="AD110" s="29"/>
      <c r="AE110" s="25"/>
      <c r="AF110" s="25"/>
      <c r="AG110" s="25"/>
      <c r="AH110" s="35"/>
    </row>
    <row r="111" spans="1:34" ht="15.6">
      <c r="A111" s="83"/>
      <c r="B111" s="63"/>
      <c r="C111" s="29"/>
      <c r="D111" s="64"/>
      <c r="E111" s="29">
        <v>10</v>
      </c>
      <c r="F111" s="29">
        <v>120</v>
      </c>
      <c r="G111" s="31">
        <f t="shared" si="9"/>
        <v>1200</v>
      </c>
      <c r="H111" s="67" t="s">
        <v>146</v>
      </c>
      <c r="I111" s="37">
        <v>45222</v>
      </c>
      <c r="J111" s="33">
        <v>120</v>
      </c>
      <c r="K111" s="33">
        <f>10+3</f>
        <v>13</v>
      </c>
      <c r="L111" s="57">
        <v>45225</v>
      </c>
      <c r="M111" s="31">
        <v>1200</v>
      </c>
      <c r="N111" s="31">
        <v>27</v>
      </c>
      <c r="O111" s="31" t="s">
        <v>736</v>
      </c>
      <c r="P111" s="74" t="s">
        <v>28</v>
      </c>
      <c r="Q111" s="33">
        <v>8500062902</v>
      </c>
      <c r="R111" s="33">
        <v>5001125994</v>
      </c>
      <c r="S111" s="33">
        <v>120</v>
      </c>
      <c r="T111" s="31" t="s">
        <v>87</v>
      </c>
      <c r="U111" s="75">
        <v>8500062899</v>
      </c>
      <c r="V111" s="31">
        <v>5001141185</v>
      </c>
      <c r="W111" s="50">
        <v>45234</v>
      </c>
      <c r="X111" s="34">
        <v>120</v>
      </c>
      <c r="Y111" s="34">
        <v>1200</v>
      </c>
      <c r="Z111" s="34" t="s">
        <v>800</v>
      </c>
      <c r="AA111" s="34">
        <f t="shared" si="6"/>
        <v>0</v>
      </c>
      <c r="AB111" s="34">
        <f t="shared" si="7"/>
        <v>0</v>
      </c>
      <c r="AC111" s="29"/>
      <c r="AD111" s="29"/>
      <c r="AE111" s="25"/>
      <c r="AF111" s="25"/>
      <c r="AG111" s="25"/>
      <c r="AH111" s="35"/>
    </row>
    <row r="112" spans="1:34" ht="31.2">
      <c r="A112" s="83" t="s">
        <v>279</v>
      </c>
      <c r="B112" s="63">
        <v>6000026049</v>
      </c>
      <c r="C112" s="44" t="s">
        <v>414</v>
      </c>
      <c r="D112" s="122" t="s">
        <v>1773</v>
      </c>
      <c r="E112" s="29">
        <v>10</v>
      </c>
      <c r="F112" s="29">
        <v>420</v>
      </c>
      <c r="G112" s="31">
        <f t="shared" si="9"/>
        <v>4200</v>
      </c>
      <c r="H112" s="67" t="s">
        <v>27</v>
      </c>
      <c r="I112" s="37">
        <v>45219</v>
      </c>
      <c r="J112" s="33">
        <v>420</v>
      </c>
      <c r="K112" s="33">
        <f>10+5</f>
        <v>15</v>
      </c>
      <c r="L112" s="57">
        <v>45225</v>
      </c>
      <c r="M112" s="31">
        <v>4200</v>
      </c>
      <c r="N112" s="31">
        <v>57</v>
      </c>
      <c r="O112" s="31" t="s">
        <v>1569</v>
      </c>
      <c r="P112" s="80" t="s">
        <v>28</v>
      </c>
      <c r="Q112" s="33">
        <v>8500062933</v>
      </c>
      <c r="R112" s="33">
        <v>5001113473</v>
      </c>
      <c r="S112" s="33">
        <v>420</v>
      </c>
      <c r="T112" s="31" t="s">
        <v>87</v>
      </c>
      <c r="U112" s="75">
        <v>8500062929</v>
      </c>
      <c r="V112" s="31">
        <v>5001141200</v>
      </c>
      <c r="W112" s="50" t="s">
        <v>2083</v>
      </c>
      <c r="X112" s="34">
        <f>200+220</f>
        <v>420</v>
      </c>
      <c r="Y112" s="34">
        <f>2000+2200</f>
        <v>4200</v>
      </c>
      <c r="Z112" s="34" t="s">
        <v>1785</v>
      </c>
      <c r="AA112" s="34">
        <f t="shared" si="6"/>
        <v>0</v>
      </c>
      <c r="AB112" s="34">
        <f t="shared" si="7"/>
        <v>0</v>
      </c>
      <c r="AC112" s="29"/>
      <c r="AD112" s="29"/>
      <c r="AE112" s="25"/>
      <c r="AF112" s="25"/>
      <c r="AG112" s="25"/>
      <c r="AH112" s="35"/>
    </row>
    <row r="113" spans="1:34" ht="15.6">
      <c r="A113" s="83"/>
      <c r="B113" s="63"/>
      <c r="C113" s="86"/>
      <c r="D113" s="64"/>
      <c r="E113" s="29">
        <v>10</v>
      </c>
      <c r="F113" s="29">
        <v>1350</v>
      </c>
      <c r="G113" s="31">
        <f t="shared" si="9"/>
        <v>13500</v>
      </c>
      <c r="H113" s="67" t="s">
        <v>46</v>
      </c>
      <c r="I113" s="37">
        <v>45219</v>
      </c>
      <c r="J113" s="33">
        <v>1350</v>
      </c>
      <c r="K113" s="33">
        <f>10+17</f>
        <v>27</v>
      </c>
      <c r="L113" s="57">
        <v>45225</v>
      </c>
      <c r="M113" s="31">
        <v>13500</v>
      </c>
      <c r="N113" s="31">
        <v>150</v>
      </c>
      <c r="O113" s="31" t="s">
        <v>1791</v>
      </c>
      <c r="P113" s="80" t="s">
        <v>28</v>
      </c>
      <c r="Q113" s="33">
        <v>8500062933</v>
      </c>
      <c r="R113" s="33">
        <v>5001113473</v>
      </c>
      <c r="S113" s="33">
        <v>1350</v>
      </c>
      <c r="T113" s="31" t="s">
        <v>87</v>
      </c>
      <c r="U113" s="75">
        <v>8500062929</v>
      </c>
      <c r="V113" s="31">
        <v>5001141200</v>
      </c>
      <c r="W113" s="50">
        <v>45229</v>
      </c>
      <c r="X113" s="34">
        <v>1350</v>
      </c>
      <c r="Y113" s="34">
        <v>13500</v>
      </c>
      <c r="Z113" s="34" t="s">
        <v>267</v>
      </c>
      <c r="AA113" s="34">
        <f t="shared" si="6"/>
        <v>0</v>
      </c>
      <c r="AB113" s="34">
        <f t="shared" si="7"/>
        <v>0</v>
      </c>
      <c r="AC113" s="29"/>
      <c r="AD113" s="29"/>
      <c r="AE113" s="25"/>
      <c r="AF113" s="25"/>
      <c r="AG113" s="25"/>
      <c r="AH113" s="35"/>
    </row>
    <row r="114" spans="1:34" ht="15.6">
      <c r="A114" s="83"/>
      <c r="B114" s="63"/>
      <c r="C114" s="29"/>
      <c r="D114" s="84"/>
      <c r="E114" s="29">
        <v>10</v>
      </c>
      <c r="F114" s="29">
        <v>600</v>
      </c>
      <c r="G114" s="31">
        <f t="shared" si="9"/>
        <v>6000</v>
      </c>
      <c r="H114" s="67" t="s">
        <v>37</v>
      </c>
      <c r="I114" s="37">
        <v>45219</v>
      </c>
      <c r="J114" s="33">
        <v>600</v>
      </c>
      <c r="K114" s="33">
        <f>10+10</f>
        <v>20</v>
      </c>
      <c r="L114" s="57">
        <v>45224</v>
      </c>
      <c r="M114" s="31">
        <v>6000</v>
      </c>
      <c r="N114" s="31">
        <v>75</v>
      </c>
      <c r="O114" s="31" t="s">
        <v>862</v>
      </c>
      <c r="P114" s="80" t="s">
        <v>28</v>
      </c>
      <c r="Q114" s="33">
        <v>8500062933</v>
      </c>
      <c r="R114" s="33">
        <v>5001113473</v>
      </c>
      <c r="S114" s="33">
        <v>600</v>
      </c>
      <c r="T114" s="31" t="s">
        <v>87</v>
      </c>
      <c r="U114" s="75">
        <v>8500062929</v>
      </c>
      <c r="V114" s="31">
        <v>5001134404</v>
      </c>
      <c r="W114" s="50">
        <v>45227</v>
      </c>
      <c r="X114" s="34">
        <v>600</v>
      </c>
      <c r="Y114" s="34">
        <v>6000</v>
      </c>
      <c r="Z114" s="34" t="s">
        <v>803</v>
      </c>
      <c r="AA114" s="34">
        <f t="shared" si="6"/>
        <v>0</v>
      </c>
      <c r="AB114" s="34">
        <f t="shared" si="7"/>
        <v>0</v>
      </c>
      <c r="AC114" s="29"/>
      <c r="AD114" s="29"/>
      <c r="AE114" s="25"/>
      <c r="AF114" s="25"/>
      <c r="AG114" s="25"/>
      <c r="AH114" s="35"/>
    </row>
    <row r="115" spans="1:34" ht="31.2">
      <c r="A115" s="83"/>
      <c r="B115" s="63"/>
      <c r="C115" s="29"/>
      <c r="D115" s="84"/>
      <c r="E115" s="29">
        <v>10</v>
      </c>
      <c r="F115" s="29">
        <v>120</v>
      </c>
      <c r="G115" s="31">
        <f t="shared" si="9"/>
        <v>1200</v>
      </c>
      <c r="H115" s="67" t="s">
        <v>146</v>
      </c>
      <c r="I115" s="37">
        <v>45222</v>
      </c>
      <c r="J115" s="33">
        <v>120</v>
      </c>
      <c r="K115" s="33">
        <f>10+4</f>
        <v>14</v>
      </c>
      <c r="L115" s="57">
        <v>45225</v>
      </c>
      <c r="M115" s="31">
        <v>1200</v>
      </c>
      <c r="N115" s="31">
        <v>27</v>
      </c>
      <c r="O115" s="31" t="s">
        <v>1363</v>
      </c>
      <c r="P115" s="74" t="s">
        <v>28</v>
      </c>
      <c r="Q115" s="33">
        <v>85000692938</v>
      </c>
      <c r="R115" s="33">
        <v>5001125978</v>
      </c>
      <c r="S115" s="33">
        <v>120</v>
      </c>
      <c r="T115" s="31" t="s">
        <v>87</v>
      </c>
      <c r="U115" s="75">
        <v>8500062935</v>
      </c>
      <c r="V115" s="31">
        <v>5001141202</v>
      </c>
      <c r="W115" s="50" t="s">
        <v>2136</v>
      </c>
      <c r="X115" s="34">
        <f>50+70</f>
        <v>120</v>
      </c>
      <c r="Y115" s="34">
        <f>500+700</f>
        <v>1200</v>
      </c>
      <c r="Z115" s="34"/>
      <c r="AA115" s="34">
        <f t="shared" si="6"/>
        <v>0</v>
      </c>
      <c r="AB115" s="34">
        <f t="shared" si="7"/>
        <v>0</v>
      </c>
      <c r="AC115" s="491"/>
      <c r="AD115" s="29"/>
      <c r="AE115" s="25"/>
      <c r="AF115" s="25"/>
      <c r="AG115" s="25"/>
      <c r="AH115" s="35"/>
    </row>
    <row r="116" spans="1:34" ht="31.5" customHeight="1">
      <c r="A116" s="83" t="s">
        <v>279</v>
      </c>
      <c r="B116" s="88">
        <v>6000026050</v>
      </c>
      <c r="C116" s="44" t="s">
        <v>907</v>
      </c>
      <c r="D116" s="122" t="s">
        <v>1774</v>
      </c>
      <c r="E116" s="29">
        <v>10</v>
      </c>
      <c r="F116" s="29">
        <v>686</v>
      </c>
      <c r="G116" s="31">
        <f t="shared" si="9"/>
        <v>6860</v>
      </c>
      <c r="H116" s="67" t="s">
        <v>27</v>
      </c>
      <c r="I116" s="37" t="s">
        <v>1819</v>
      </c>
      <c r="J116" s="33">
        <f>653+33</f>
        <v>686</v>
      </c>
      <c r="K116" s="33">
        <f>10+11</f>
        <v>21</v>
      </c>
      <c r="L116" s="57">
        <v>45222</v>
      </c>
      <c r="M116" s="31">
        <v>6860</v>
      </c>
      <c r="N116" s="31">
        <v>84</v>
      </c>
      <c r="O116" s="31" t="s">
        <v>1791</v>
      </c>
      <c r="P116" s="80" t="s">
        <v>28</v>
      </c>
      <c r="Q116" s="33">
        <v>8500062841</v>
      </c>
      <c r="R116" s="33">
        <v>5001109493</v>
      </c>
      <c r="S116" s="33">
        <f>653+33</f>
        <v>686</v>
      </c>
      <c r="T116" s="31" t="s">
        <v>761</v>
      </c>
      <c r="U116" s="75">
        <v>8500062831</v>
      </c>
      <c r="V116" s="31">
        <v>5001128743</v>
      </c>
      <c r="W116" s="50">
        <v>45227</v>
      </c>
      <c r="X116" s="34">
        <v>686</v>
      </c>
      <c r="Y116" s="34">
        <v>6860</v>
      </c>
      <c r="Z116" s="34" t="s">
        <v>1866</v>
      </c>
      <c r="AA116" s="34">
        <f t="shared" si="6"/>
        <v>0</v>
      </c>
      <c r="AB116" s="34">
        <f t="shared" si="7"/>
        <v>0</v>
      </c>
      <c r="AC116" s="492"/>
      <c r="AD116" s="29"/>
      <c r="AE116" s="25"/>
      <c r="AF116" s="25"/>
      <c r="AG116" s="25"/>
      <c r="AH116" s="35"/>
    </row>
    <row r="117" spans="1:34" ht="31.2">
      <c r="A117" s="83"/>
      <c r="B117" s="63"/>
      <c r="C117" s="29"/>
      <c r="D117" s="84"/>
      <c r="E117" s="29">
        <v>10</v>
      </c>
      <c r="F117" s="29">
        <v>1168</v>
      </c>
      <c r="G117" s="31">
        <f t="shared" si="9"/>
        <v>11680</v>
      </c>
      <c r="H117" s="67" t="s">
        <v>46</v>
      </c>
      <c r="I117" s="37">
        <v>45218</v>
      </c>
      <c r="J117" s="33">
        <v>1168</v>
      </c>
      <c r="K117" s="33">
        <f>12+4</f>
        <v>16</v>
      </c>
      <c r="L117" s="57">
        <v>45220</v>
      </c>
      <c r="M117" s="31">
        <v>11680</v>
      </c>
      <c r="N117" s="31">
        <v>132</v>
      </c>
      <c r="O117" s="31" t="s">
        <v>862</v>
      </c>
      <c r="P117" s="80" t="s">
        <v>28</v>
      </c>
      <c r="Q117" s="33">
        <v>8500062841</v>
      </c>
      <c r="R117" s="33">
        <v>5001109493</v>
      </c>
      <c r="S117" s="33">
        <v>1168</v>
      </c>
      <c r="T117" s="31" t="s">
        <v>761</v>
      </c>
      <c r="U117" s="75">
        <v>8500062831</v>
      </c>
      <c r="V117" s="31">
        <v>5001124826</v>
      </c>
      <c r="W117" s="50" t="s">
        <v>1823</v>
      </c>
      <c r="X117" s="34">
        <f>400+768</f>
        <v>1168</v>
      </c>
      <c r="Y117" s="34">
        <f>4000+7680</f>
        <v>11680</v>
      </c>
      <c r="Z117" s="34" t="s">
        <v>1824</v>
      </c>
      <c r="AA117" s="34">
        <f t="shared" si="6"/>
        <v>0</v>
      </c>
      <c r="AB117" s="34">
        <f t="shared" si="7"/>
        <v>0</v>
      </c>
      <c r="AC117" s="492"/>
      <c r="AD117" s="29"/>
      <c r="AE117" s="25"/>
      <c r="AF117" s="25"/>
      <c r="AG117" s="25"/>
      <c r="AH117" s="35"/>
    </row>
    <row r="118" spans="1:34" ht="15.6">
      <c r="A118" s="83"/>
      <c r="B118" s="63"/>
      <c r="C118" s="29"/>
      <c r="D118" s="84"/>
      <c r="E118" s="29">
        <v>10</v>
      </c>
      <c r="F118" s="29">
        <v>784</v>
      </c>
      <c r="G118" s="31">
        <f t="shared" si="9"/>
        <v>7840</v>
      </c>
      <c r="H118" s="67" t="s">
        <v>37</v>
      </c>
      <c r="I118" s="37">
        <v>45218</v>
      </c>
      <c r="J118" s="33">
        <v>784</v>
      </c>
      <c r="K118" s="33">
        <f>10+14</f>
        <v>24</v>
      </c>
      <c r="L118" s="57">
        <v>45220</v>
      </c>
      <c r="M118" s="31">
        <v>7840</v>
      </c>
      <c r="N118" s="31">
        <v>94</v>
      </c>
      <c r="O118" s="31"/>
      <c r="P118" s="80" t="s">
        <v>28</v>
      </c>
      <c r="Q118" s="33">
        <v>8500062841</v>
      </c>
      <c r="R118" s="33">
        <v>5001109493</v>
      </c>
      <c r="S118" s="33">
        <v>784</v>
      </c>
      <c r="T118" s="31" t="s">
        <v>761</v>
      </c>
      <c r="U118" s="75">
        <v>8500062831</v>
      </c>
      <c r="V118" s="31">
        <v>5001124826</v>
      </c>
      <c r="W118" s="50">
        <v>45220</v>
      </c>
      <c r="X118" s="34">
        <v>784</v>
      </c>
      <c r="Y118" s="34">
        <v>7840</v>
      </c>
      <c r="Z118" s="34" t="s">
        <v>1619</v>
      </c>
      <c r="AA118" s="34">
        <f t="shared" si="6"/>
        <v>0</v>
      </c>
      <c r="AB118" s="34">
        <f t="shared" si="7"/>
        <v>0</v>
      </c>
      <c r="AC118" s="492"/>
      <c r="AD118" s="29"/>
      <c r="AE118" s="25"/>
      <c r="AF118" s="25"/>
      <c r="AG118" s="25"/>
      <c r="AH118" s="35"/>
    </row>
    <row r="119" spans="1:34" ht="15.6">
      <c r="A119" s="83"/>
      <c r="B119" s="63"/>
      <c r="C119" s="29"/>
      <c r="D119" s="84"/>
      <c r="E119" s="29">
        <v>10</v>
      </c>
      <c r="F119" s="29">
        <v>686</v>
      </c>
      <c r="G119" s="31">
        <f t="shared" si="9"/>
        <v>6860</v>
      </c>
      <c r="H119" s="67" t="s">
        <v>146</v>
      </c>
      <c r="I119" s="37">
        <v>45218</v>
      </c>
      <c r="J119" s="33">
        <v>686</v>
      </c>
      <c r="K119" s="33">
        <f>10+7</f>
        <v>17</v>
      </c>
      <c r="L119" s="57">
        <v>45222</v>
      </c>
      <c r="M119" s="31">
        <v>6860</v>
      </c>
      <c r="N119" s="31">
        <v>84</v>
      </c>
      <c r="O119" s="31" t="s">
        <v>1743</v>
      </c>
      <c r="P119" s="80" t="s">
        <v>28</v>
      </c>
      <c r="Q119" s="33">
        <v>8500062841</v>
      </c>
      <c r="R119" s="33">
        <v>5001109493</v>
      </c>
      <c r="S119" s="33">
        <v>686</v>
      </c>
      <c r="T119" s="31" t="s">
        <v>761</v>
      </c>
      <c r="U119" s="75">
        <v>8500062831</v>
      </c>
      <c r="V119" s="31">
        <v>5001128423</v>
      </c>
      <c r="W119" s="50">
        <v>45222</v>
      </c>
      <c r="X119" s="34">
        <v>686</v>
      </c>
      <c r="Y119" s="34">
        <v>6860</v>
      </c>
      <c r="Z119" s="34" t="s">
        <v>1401</v>
      </c>
      <c r="AA119" s="34">
        <f t="shared" si="6"/>
        <v>0</v>
      </c>
      <c r="AB119" s="34">
        <f t="shared" si="7"/>
        <v>0</v>
      </c>
      <c r="AC119" s="493"/>
      <c r="AD119" s="29"/>
      <c r="AE119" s="25"/>
      <c r="AF119" s="25"/>
      <c r="AG119" s="25"/>
      <c r="AH119" s="35"/>
    </row>
    <row r="120" spans="1:34" ht="15.6">
      <c r="A120" s="83" t="s">
        <v>279</v>
      </c>
      <c r="B120" s="63">
        <v>6000026051</v>
      </c>
      <c r="C120" s="44" t="s">
        <v>280</v>
      </c>
      <c r="D120" s="122" t="s">
        <v>1775</v>
      </c>
      <c r="E120" s="29">
        <v>10</v>
      </c>
      <c r="F120" s="29">
        <v>770</v>
      </c>
      <c r="G120" s="31">
        <f t="shared" si="9"/>
        <v>7700</v>
      </c>
      <c r="H120" s="67" t="s">
        <v>27</v>
      </c>
      <c r="I120" s="37">
        <v>45218</v>
      </c>
      <c r="J120" s="33">
        <v>770</v>
      </c>
      <c r="K120" s="33">
        <f>10+16</f>
        <v>26</v>
      </c>
      <c r="L120" s="57">
        <v>45223</v>
      </c>
      <c r="M120" s="31">
        <v>7700</v>
      </c>
      <c r="N120" s="31">
        <v>102</v>
      </c>
      <c r="O120" s="31" t="s">
        <v>1439</v>
      </c>
      <c r="P120" s="80" t="s">
        <v>28</v>
      </c>
      <c r="Q120" s="33">
        <v>8500062863</v>
      </c>
      <c r="R120" s="33">
        <v>5001109553</v>
      </c>
      <c r="S120" s="33">
        <v>770</v>
      </c>
      <c r="T120" s="31" t="s">
        <v>761</v>
      </c>
      <c r="U120" s="75">
        <v>8500062853</v>
      </c>
      <c r="V120" s="31">
        <v>5001129954</v>
      </c>
      <c r="W120" s="50">
        <v>45234</v>
      </c>
      <c r="X120" s="34">
        <v>770</v>
      </c>
      <c r="Y120" s="34">
        <v>7700</v>
      </c>
      <c r="Z120" s="34" t="s">
        <v>439</v>
      </c>
      <c r="AA120" s="34">
        <f t="shared" si="6"/>
        <v>0</v>
      </c>
      <c r="AB120" s="34">
        <f t="shared" si="7"/>
        <v>0</v>
      </c>
      <c r="AC120" s="29"/>
      <c r="AD120" s="29"/>
      <c r="AE120" s="25"/>
      <c r="AF120" s="25"/>
      <c r="AG120" s="25"/>
      <c r="AH120" s="35"/>
    </row>
    <row r="121" spans="1:34" ht="15.6">
      <c r="A121" s="83"/>
      <c r="B121" s="63"/>
      <c r="C121" s="86"/>
      <c r="D121" s="84"/>
      <c r="E121" s="29">
        <v>10</v>
      </c>
      <c r="F121" s="29">
        <v>1010</v>
      </c>
      <c r="G121" s="31">
        <f t="shared" si="9"/>
        <v>10100</v>
      </c>
      <c r="H121" s="67" t="s">
        <v>46</v>
      </c>
      <c r="I121" s="37">
        <v>45218</v>
      </c>
      <c r="J121" s="33">
        <v>1010</v>
      </c>
      <c r="K121" s="33">
        <f>10+16</f>
        <v>26</v>
      </c>
      <c r="L121" s="57">
        <v>45222</v>
      </c>
      <c r="M121" s="31">
        <v>10100</v>
      </c>
      <c r="N121" s="31">
        <v>116</v>
      </c>
      <c r="O121" s="31" t="s">
        <v>1743</v>
      </c>
      <c r="P121" s="80" t="s">
        <v>28</v>
      </c>
      <c r="Q121" s="33">
        <v>8500062863</v>
      </c>
      <c r="R121" s="33">
        <v>5001109553</v>
      </c>
      <c r="S121" s="33">
        <v>1010</v>
      </c>
      <c r="T121" s="31" t="s">
        <v>761</v>
      </c>
      <c r="U121" s="75">
        <v>8500062853</v>
      </c>
      <c r="V121" s="31">
        <v>5001128429</v>
      </c>
      <c r="W121" s="50">
        <v>45224</v>
      </c>
      <c r="X121" s="34">
        <v>1010</v>
      </c>
      <c r="Y121" s="34">
        <v>10100</v>
      </c>
      <c r="Z121" s="34" t="s">
        <v>848</v>
      </c>
      <c r="AA121" s="34">
        <f t="shared" si="6"/>
        <v>0</v>
      </c>
      <c r="AB121" s="34">
        <f t="shared" si="7"/>
        <v>0</v>
      </c>
      <c r="AC121" s="29" t="s">
        <v>1895</v>
      </c>
      <c r="AD121" s="29"/>
      <c r="AE121" s="25"/>
      <c r="AF121" s="25"/>
      <c r="AG121" s="25"/>
      <c r="AH121" s="35"/>
    </row>
    <row r="122" spans="1:34" ht="15.6">
      <c r="A122" s="83"/>
      <c r="B122" s="63"/>
      <c r="C122" s="29"/>
      <c r="D122" s="64"/>
      <c r="E122" s="29">
        <v>10</v>
      </c>
      <c r="F122" s="29">
        <v>430</v>
      </c>
      <c r="G122" s="31">
        <f t="shared" si="9"/>
        <v>4300</v>
      </c>
      <c r="H122" s="67" t="s">
        <v>37</v>
      </c>
      <c r="I122" s="37">
        <v>45218</v>
      </c>
      <c r="J122" s="33">
        <v>430</v>
      </c>
      <c r="K122" s="33">
        <f>10+13</f>
        <v>23</v>
      </c>
      <c r="L122" s="57">
        <v>45222</v>
      </c>
      <c r="M122" s="31">
        <v>4300</v>
      </c>
      <c r="N122" s="31">
        <v>68</v>
      </c>
      <c r="O122" s="31"/>
      <c r="P122" s="80" t="s">
        <v>28</v>
      </c>
      <c r="Q122" s="33">
        <v>8500062863</v>
      </c>
      <c r="R122" s="33">
        <v>5001109553</v>
      </c>
      <c r="S122" s="33">
        <v>430</v>
      </c>
      <c r="T122" s="31" t="s">
        <v>761</v>
      </c>
      <c r="U122" s="75">
        <v>8500062853</v>
      </c>
      <c r="V122" s="31">
        <v>5001128724</v>
      </c>
      <c r="W122" s="50">
        <v>45222</v>
      </c>
      <c r="X122" s="34">
        <v>430</v>
      </c>
      <c r="Y122" s="34">
        <v>4300</v>
      </c>
      <c r="Z122" s="34" t="s">
        <v>849</v>
      </c>
      <c r="AA122" s="34">
        <f t="shared" si="6"/>
        <v>0</v>
      </c>
      <c r="AB122" s="34">
        <f t="shared" si="7"/>
        <v>0</v>
      </c>
      <c r="AC122" s="29"/>
      <c r="AD122" s="29"/>
      <c r="AE122" s="25"/>
      <c r="AF122" s="25"/>
      <c r="AG122" s="25"/>
      <c r="AH122" s="35"/>
    </row>
    <row r="123" spans="1:34" ht="15.6">
      <c r="A123" s="83"/>
      <c r="B123" s="63"/>
      <c r="C123" s="29"/>
      <c r="D123" s="64"/>
      <c r="E123" s="29">
        <v>10</v>
      </c>
      <c r="F123" s="29">
        <v>100</v>
      </c>
      <c r="G123" s="31">
        <f t="shared" si="9"/>
        <v>1000</v>
      </c>
      <c r="H123" s="67" t="s">
        <v>146</v>
      </c>
      <c r="I123" s="37">
        <v>45218</v>
      </c>
      <c r="J123" s="33">
        <v>100</v>
      </c>
      <c r="K123" s="33">
        <f>10+2</f>
        <v>12</v>
      </c>
      <c r="L123" s="57">
        <v>45222</v>
      </c>
      <c r="M123" s="31">
        <v>1000</v>
      </c>
      <c r="N123" s="31">
        <v>25</v>
      </c>
      <c r="O123" s="31"/>
      <c r="P123" s="80" t="s">
        <v>28</v>
      </c>
      <c r="Q123" s="33">
        <v>8500062868</v>
      </c>
      <c r="R123" s="33">
        <v>5001109556</v>
      </c>
      <c r="S123" s="33">
        <v>100</v>
      </c>
      <c r="T123" s="31" t="s">
        <v>761</v>
      </c>
      <c r="U123" s="75">
        <v>8500062864</v>
      </c>
      <c r="V123" s="31">
        <v>5001128726</v>
      </c>
      <c r="W123" s="50">
        <v>45222</v>
      </c>
      <c r="X123" s="34">
        <v>100</v>
      </c>
      <c r="Y123" s="34">
        <v>1000</v>
      </c>
      <c r="Z123" s="34" t="s">
        <v>848</v>
      </c>
      <c r="AA123" s="34">
        <f t="shared" si="6"/>
        <v>0</v>
      </c>
      <c r="AB123" s="34">
        <f t="shared" si="7"/>
        <v>0</v>
      </c>
      <c r="AC123" s="29"/>
      <c r="AD123" s="29"/>
      <c r="AE123" s="25"/>
      <c r="AF123" s="25"/>
      <c r="AG123" s="25"/>
      <c r="AH123" s="35"/>
    </row>
    <row r="124" spans="1:34" ht="15.6">
      <c r="A124" s="83" t="s">
        <v>279</v>
      </c>
      <c r="B124" s="63">
        <v>6000026052</v>
      </c>
      <c r="C124" s="44" t="s">
        <v>280</v>
      </c>
      <c r="D124" s="122" t="s">
        <v>1776</v>
      </c>
      <c r="E124" s="29">
        <v>10</v>
      </c>
      <c r="F124" s="29">
        <v>770</v>
      </c>
      <c r="G124" s="31">
        <f t="shared" si="9"/>
        <v>7700</v>
      </c>
      <c r="H124" s="67" t="s">
        <v>27</v>
      </c>
      <c r="I124" s="37">
        <v>45218</v>
      </c>
      <c r="J124" s="33">
        <v>770</v>
      </c>
      <c r="K124" s="33">
        <f>10+12</f>
        <v>22</v>
      </c>
      <c r="L124" s="57">
        <v>45223</v>
      </c>
      <c r="M124" s="31">
        <v>7700</v>
      </c>
      <c r="N124" s="31">
        <v>102</v>
      </c>
      <c r="O124" s="31" t="s">
        <v>1439</v>
      </c>
      <c r="P124" s="80" t="s">
        <v>28</v>
      </c>
      <c r="Q124" s="33">
        <v>8500062891</v>
      </c>
      <c r="R124" s="33">
        <v>5001109536</v>
      </c>
      <c r="S124" s="33">
        <v>770</v>
      </c>
      <c r="T124" s="31" t="s">
        <v>761</v>
      </c>
      <c r="U124" s="31">
        <v>8500062886</v>
      </c>
      <c r="V124" s="75">
        <v>5001129987</v>
      </c>
      <c r="W124" s="50">
        <v>45239</v>
      </c>
      <c r="X124" s="34">
        <v>770</v>
      </c>
      <c r="Y124" s="34">
        <v>7700</v>
      </c>
      <c r="Z124" s="34" t="s">
        <v>439</v>
      </c>
      <c r="AA124" s="34">
        <f t="shared" si="6"/>
        <v>0</v>
      </c>
      <c r="AB124" s="34">
        <f t="shared" si="7"/>
        <v>0</v>
      </c>
      <c r="AC124" s="29"/>
      <c r="AD124" s="29"/>
      <c r="AE124" s="25"/>
      <c r="AF124" s="25"/>
      <c r="AG124" s="25"/>
      <c r="AH124" s="35"/>
    </row>
    <row r="125" spans="1:34" ht="62.4">
      <c r="A125" s="83"/>
      <c r="B125" s="63"/>
      <c r="C125" s="29"/>
      <c r="D125" s="64"/>
      <c r="E125" s="29">
        <v>10</v>
      </c>
      <c r="F125" s="29">
        <v>1010</v>
      </c>
      <c r="G125" s="31">
        <f t="shared" si="9"/>
        <v>10100</v>
      </c>
      <c r="H125" s="67" t="s">
        <v>46</v>
      </c>
      <c r="I125" s="37">
        <v>45218</v>
      </c>
      <c r="J125" s="33">
        <v>1010</v>
      </c>
      <c r="K125" s="33">
        <f>10+12</f>
        <v>22</v>
      </c>
      <c r="L125" s="57" t="s">
        <v>1820</v>
      </c>
      <c r="M125" s="31">
        <f>1000+9100</f>
        <v>10100</v>
      </c>
      <c r="N125" s="31">
        <v>116</v>
      </c>
      <c r="O125" s="31" t="s">
        <v>1743</v>
      </c>
      <c r="P125" s="80" t="s">
        <v>28</v>
      </c>
      <c r="Q125" s="33">
        <v>8500062891</v>
      </c>
      <c r="R125" s="33">
        <v>5001109536</v>
      </c>
      <c r="S125" s="33">
        <v>1010</v>
      </c>
      <c r="T125" s="31" t="s">
        <v>761</v>
      </c>
      <c r="U125" s="31">
        <v>8500062886</v>
      </c>
      <c r="V125" s="75">
        <v>5001124829</v>
      </c>
      <c r="W125" s="50">
        <v>45227</v>
      </c>
      <c r="X125" s="34">
        <v>1010</v>
      </c>
      <c r="Y125" s="34">
        <v>10100</v>
      </c>
      <c r="Z125" s="34" t="s">
        <v>849</v>
      </c>
      <c r="AA125" s="34">
        <f t="shared" si="6"/>
        <v>0</v>
      </c>
      <c r="AB125" s="34">
        <f t="shared" si="7"/>
        <v>0</v>
      </c>
      <c r="AC125" s="29"/>
      <c r="AD125" s="29"/>
      <c r="AE125" s="25"/>
      <c r="AF125" s="25"/>
      <c r="AG125" s="25"/>
      <c r="AH125" s="35"/>
    </row>
    <row r="126" spans="1:34" ht="15.6">
      <c r="A126" s="83"/>
      <c r="B126" s="63"/>
      <c r="C126" s="86"/>
      <c r="D126" s="84"/>
      <c r="E126" s="29">
        <v>10</v>
      </c>
      <c r="F126" s="29">
        <v>430</v>
      </c>
      <c r="G126" s="31">
        <f t="shared" si="9"/>
        <v>4300</v>
      </c>
      <c r="H126" s="67" t="s">
        <v>37</v>
      </c>
      <c r="I126" s="37">
        <v>45218</v>
      </c>
      <c r="J126" s="33">
        <v>430</v>
      </c>
      <c r="K126" s="33">
        <f>10+7</f>
        <v>17</v>
      </c>
      <c r="L126" s="57">
        <v>45222</v>
      </c>
      <c r="M126" s="31">
        <v>4300</v>
      </c>
      <c r="N126" s="31">
        <v>68</v>
      </c>
      <c r="O126" s="31" t="s">
        <v>1791</v>
      </c>
      <c r="P126" s="80" t="s">
        <v>28</v>
      </c>
      <c r="Q126" s="33">
        <v>8500062891</v>
      </c>
      <c r="R126" s="33">
        <v>5001109536</v>
      </c>
      <c r="S126" s="33">
        <v>430</v>
      </c>
      <c r="T126" s="31" t="s">
        <v>761</v>
      </c>
      <c r="U126" s="31">
        <v>8500062886</v>
      </c>
      <c r="V126" s="75">
        <v>5001128744</v>
      </c>
      <c r="W126" s="50" t="s">
        <v>1831</v>
      </c>
      <c r="X126" s="34">
        <v>430</v>
      </c>
      <c r="Y126" s="34">
        <v>4300</v>
      </c>
      <c r="Z126" s="34" t="s">
        <v>849</v>
      </c>
      <c r="AA126" s="34">
        <f t="shared" si="6"/>
        <v>0</v>
      </c>
      <c r="AB126" s="34">
        <f t="shared" si="7"/>
        <v>0</v>
      </c>
      <c r="AC126" s="29" t="s">
        <v>1894</v>
      </c>
      <c r="AD126" s="29"/>
      <c r="AE126" s="25"/>
      <c r="AF126" s="25"/>
      <c r="AG126" s="25"/>
      <c r="AH126" s="35"/>
    </row>
    <row r="127" spans="1:34" ht="15.6">
      <c r="A127" s="83"/>
      <c r="B127" s="63"/>
      <c r="C127" s="29"/>
      <c r="D127" s="64"/>
      <c r="E127" s="29">
        <v>10</v>
      </c>
      <c r="F127" s="29">
        <v>100</v>
      </c>
      <c r="G127" s="31">
        <f t="shared" si="9"/>
        <v>1000</v>
      </c>
      <c r="H127" s="67" t="s">
        <v>146</v>
      </c>
      <c r="I127" s="37">
        <v>45218</v>
      </c>
      <c r="J127" s="33">
        <v>100</v>
      </c>
      <c r="K127" s="33">
        <f>10+1</f>
        <v>11</v>
      </c>
      <c r="L127" s="57">
        <v>45222</v>
      </c>
      <c r="M127" s="31">
        <v>1000</v>
      </c>
      <c r="N127" s="31">
        <v>25</v>
      </c>
      <c r="O127" s="31" t="s">
        <v>1568</v>
      </c>
      <c r="P127" s="80" t="s">
        <v>28</v>
      </c>
      <c r="Q127" s="33">
        <v>8500062901</v>
      </c>
      <c r="R127" s="33">
        <v>5001109538</v>
      </c>
      <c r="S127" s="33">
        <v>100</v>
      </c>
      <c r="T127" s="31" t="s">
        <v>761</v>
      </c>
      <c r="U127" s="31">
        <v>8500062897</v>
      </c>
      <c r="V127" s="75">
        <v>5001128745</v>
      </c>
      <c r="W127" s="50" t="s">
        <v>1831</v>
      </c>
      <c r="X127" s="34">
        <v>100</v>
      </c>
      <c r="Y127" s="34">
        <v>1000</v>
      </c>
      <c r="Z127" s="34" t="s">
        <v>1832</v>
      </c>
      <c r="AA127" s="34">
        <f t="shared" si="6"/>
        <v>0</v>
      </c>
      <c r="AB127" s="34">
        <f t="shared" si="7"/>
        <v>0</v>
      </c>
      <c r="AC127" s="29"/>
      <c r="AD127" s="29"/>
      <c r="AE127" s="25"/>
      <c r="AF127" s="25"/>
      <c r="AG127" s="25"/>
      <c r="AH127" s="35"/>
    </row>
    <row r="128" spans="1:34" ht="15.6">
      <c r="A128" s="83" t="s">
        <v>279</v>
      </c>
      <c r="B128" s="63">
        <v>6000026053</v>
      </c>
      <c r="C128" s="44" t="s">
        <v>280</v>
      </c>
      <c r="D128" s="122" t="s">
        <v>1777</v>
      </c>
      <c r="E128" s="29">
        <v>10</v>
      </c>
      <c r="F128" s="29">
        <v>770</v>
      </c>
      <c r="G128" s="31">
        <f>F128*E128</f>
        <v>7700</v>
      </c>
      <c r="H128" s="67" t="s">
        <v>27</v>
      </c>
      <c r="I128" s="37">
        <v>45218</v>
      </c>
      <c r="J128" s="33">
        <v>770</v>
      </c>
      <c r="K128" s="33">
        <f>10+10</f>
        <v>20</v>
      </c>
      <c r="L128" s="57">
        <v>45223</v>
      </c>
      <c r="M128" s="31">
        <v>7700</v>
      </c>
      <c r="N128" s="31">
        <v>102</v>
      </c>
      <c r="O128" s="31" t="s">
        <v>1754</v>
      </c>
      <c r="P128" s="80" t="s">
        <v>28</v>
      </c>
      <c r="Q128" s="33">
        <v>8500062907</v>
      </c>
      <c r="R128" s="33">
        <v>5001109654</v>
      </c>
      <c r="S128" s="33">
        <v>770</v>
      </c>
      <c r="T128" s="31" t="s">
        <v>761</v>
      </c>
      <c r="U128" s="31">
        <v>8500062904</v>
      </c>
      <c r="V128" s="75">
        <v>5001129988</v>
      </c>
      <c r="W128" s="50">
        <v>45240</v>
      </c>
      <c r="X128" s="34">
        <v>770</v>
      </c>
      <c r="Y128" s="34">
        <v>7700</v>
      </c>
      <c r="Z128" s="34" t="s">
        <v>439</v>
      </c>
      <c r="AA128" s="34">
        <f t="shared" si="6"/>
        <v>0</v>
      </c>
      <c r="AB128" s="34">
        <f t="shared" si="7"/>
        <v>0</v>
      </c>
      <c r="AC128" s="29"/>
      <c r="AD128" s="29"/>
      <c r="AE128" s="25"/>
      <c r="AF128" s="25"/>
      <c r="AG128" s="25"/>
      <c r="AH128" s="35"/>
    </row>
    <row r="129" spans="1:34" ht="15.6">
      <c r="A129" s="83"/>
      <c r="B129" s="63"/>
      <c r="C129" s="29"/>
      <c r="D129" s="64"/>
      <c r="E129" s="29">
        <v>10</v>
      </c>
      <c r="F129" s="29">
        <v>1010</v>
      </c>
      <c r="G129" s="31">
        <f>F129*E129</f>
        <v>10100</v>
      </c>
      <c r="H129" s="67" t="s">
        <v>46</v>
      </c>
      <c r="I129" s="37">
        <v>45219</v>
      </c>
      <c r="J129" s="33">
        <v>1010</v>
      </c>
      <c r="K129" s="33">
        <f>10+11</f>
        <v>21</v>
      </c>
      <c r="L129" s="57">
        <v>45222</v>
      </c>
      <c r="M129" s="31">
        <v>10100</v>
      </c>
      <c r="N129" s="31">
        <v>116</v>
      </c>
      <c r="O129" s="31" t="s">
        <v>1743</v>
      </c>
      <c r="P129" s="80" t="s">
        <v>28</v>
      </c>
      <c r="Q129" s="33">
        <v>8500062907</v>
      </c>
      <c r="R129" s="33">
        <v>5001113483</v>
      </c>
      <c r="S129" s="33">
        <v>1010</v>
      </c>
      <c r="T129" s="31" t="s">
        <v>761</v>
      </c>
      <c r="U129" s="75">
        <v>8500062904</v>
      </c>
      <c r="V129" s="31">
        <v>5001128456</v>
      </c>
      <c r="W129" s="50">
        <v>45239</v>
      </c>
      <c r="X129" s="34">
        <v>1010</v>
      </c>
      <c r="Y129" s="34">
        <v>10100</v>
      </c>
      <c r="Z129" s="34" t="s">
        <v>759</v>
      </c>
      <c r="AA129" s="34">
        <f t="shared" si="6"/>
        <v>0</v>
      </c>
      <c r="AB129" s="34">
        <f t="shared" si="7"/>
        <v>0</v>
      </c>
      <c r="AC129" s="29"/>
      <c r="AD129" s="29"/>
      <c r="AE129" s="25"/>
      <c r="AF129" s="25"/>
      <c r="AG129" s="25"/>
      <c r="AH129" s="35"/>
    </row>
    <row r="130" spans="1:34" ht="15.6">
      <c r="A130" s="83"/>
      <c r="B130" s="63"/>
      <c r="C130" s="29"/>
      <c r="D130" s="64"/>
      <c r="E130" s="29">
        <v>10</v>
      </c>
      <c r="F130" s="29">
        <v>430</v>
      </c>
      <c r="G130" s="31">
        <f>F130*E130</f>
        <v>4300</v>
      </c>
      <c r="H130" s="67" t="s">
        <v>37</v>
      </c>
      <c r="I130" s="37">
        <v>45218</v>
      </c>
      <c r="J130" s="33">
        <v>430</v>
      </c>
      <c r="K130" s="33">
        <f>10+6</f>
        <v>16</v>
      </c>
      <c r="L130" s="57">
        <v>45222</v>
      </c>
      <c r="M130" s="31">
        <v>4300</v>
      </c>
      <c r="N130" s="31">
        <v>68</v>
      </c>
      <c r="O130" s="31" t="s">
        <v>1791</v>
      </c>
      <c r="P130" s="80" t="s">
        <v>28</v>
      </c>
      <c r="Q130" s="33">
        <v>8500062907</v>
      </c>
      <c r="R130" s="33">
        <v>5001109654</v>
      </c>
      <c r="S130" s="33">
        <v>430</v>
      </c>
      <c r="T130" s="31" t="s">
        <v>761</v>
      </c>
      <c r="U130" s="75">
        <v>8500062904</v>
      </c>
      <c r="V130" s="31">
        <v>5001128746</v>
      </c>
      <c r="W130" s="50">
        <v>45227</v>
      </c>
      <c r="X130" s="34">
        <v>430</v>
      </c>
      <c r="Y130" s="34">
        <v>4300</v>
      </c>
      <c r="Z130" s="34" t="s">
        <v>848</v>
      </c>
      <c r="AA130" s="34">
        <f t="shared" si="6"/>
        <v>0</v>
      </c>
      <c r="AB130" s="34">
        <f t="shared" si="7"/>
        <v>0</v>
      </c>
      <c r="AC130" s="29"/>
      <c r="AD130" s="29"/>
      <c r="AE130" s="25"/>
      <c r="AF130" s="25"/>
      <c r="AG130" s="25"/>
      <c r="AH130" s="35"/>
    </row>
    <row r="131" spans="1:34" ht="15.6">
      <c r="A131" s="83"/>
      <c r="B131" s="63"/>
      <c r="C131" s="29"/>
      <c r="D131" s="64"/>
      <c r="E131" s="29">
        <v>10</v>
      </c>
      <c r="F131" s="29">
        <v>100</v>
      </c>
      <c r="G131" s="31">
        <f>F131*E131</f>
        <v>1000</v>
      </c>
      <c r="H131" s="67" t="s">
        <v>146</v>
      </c>
      <c r="I131" s="37">
        <v>45219</v>
      </c>
      <c r="J131" s="33">
        <v>100</v>
      </c>
      <c r="K131" s="33">
        <f>10+2</f>
        <v>12</v>
      </c>
      <c r="L131" s="57">
        <v>45222</v>
      </c>
      <c r="M131" s="31">
        <v>1000</v>
      </c>
      <c r="N131" s="31">
        <v>25</v>
      </c>
      <c r="O131" s="31" t="s">
        <v>1568</v>
      </c>
      <c r="P131" s="80" t="s">
        <v>28</v>
      </c>
      <c r="Q131" s="33">
        <v>8500062913</v>
      </c>
      <c r="R131" s="33">
        <v>5001113484</v>
      </c>
      <c r="S131" s="33">
        <v>100</v>
      </c>
      <c r="T131" s="31" t="s">
        <v>761</v>
      </c>
      <c r="U131" s="75">
        <v>8500062910</v>
      </c>
      <c r="V131" s="31">
        <v>5001128746</v>
      </c>
      <c r="W131" s="50" t="s">
        <v>1831</v>
      </c>
      <c r="X131" s="34">
        <v>100</v>
      </c>
      <c r="Y131" s="34">
        <v>1000</v>
      </c>
      <c r="Z131" s="89" t="s">
        <v>848</v>
      </c>
      <c r="AA131" s="34">
        <f t="shared" si="6"/>
        <v>0</v>
      </c>
      <c r="AB131" s="34">
        <f t="shared" si="7"/>
        <v>0</v>
      </c>
      <c r="AC131" s="29"/>
      <c r="AD131" s="29"/>
      <c r="AE131" s="25"/>
      <c r="AF131" s="25"/>
      <c r="AG131" s="25"/>
      <c r="AH131" s="35"/>
    </row>
    <row r="132" spans="1:34" ht="15.6">
      <c r="A132" s="83" t="s">
        <v>316</v>
      </c>
      <c r="B132" s="63">
        <v>6000026102</v>
      </c>
      <c r="C132" s="44" t="s">
        <v>1778</v>
      </c>
      <c r="D132" s="122" t="s">
        <v>1779</v>
      </c>
      <c r="E132" s="29">
        <v>10</v>
      </c>
      <c r="F132" s="29">
        <v>116</v>
      </c>
      <c r="G132" s="31">
        <f t="shared" si="9"/>
        <v>1160</v>
      </c>
      <c r="H132" s="67" t="s">
        <v>243</v>
      </c>
      <c r="I132" s="37">
        <v>45226</v>
      </c>
      <c r="J132" s="33">
        <v>116</v>
      </c>
      <c r="K132" s="33">
        <f>7+3</f>
        <v>10</v>
      </c>
      <c r="L132" s="57">
        <v>45229</v>
      </c>
      <c r="M132" s="31">
        <v>1160</v>
      </c>
      <c r="N132" s="31">
        <v>12</v>
      </c>
      <c r="O132" s="31" t="s">
        <v>1369</v>
      </c>
      <c r="P132" s="74" t="s">
        <v>160</v>
      </c>
      <c r="Q132" s="33">
        <v>8500063249</v>
      </c>
      <c r="R132" s="33">
        <v>5001145315</v>
      </c>
      <c r="S132" s="29">
        <v>116</v>
      </c>
      <c r="T132" s="31" t="s">
        <v>761</v>
      </c>
      <c r="U132" s="75">
        <v>8500063248</v>
      </c>
      <c r="V132" s="31">
        <v>5001157346</v>
      </c>
      <c r="W132" s="50">
        <v>45239</v>
      </c>
      <c r="X132" s="34">
        <v>116</v>
      </c>
      <c r="Y132" s="34">
        <v>1160</v>
      </c>
      <c r="Z132" s="34" t="s">
        <v>800</v>
      </c>
      <c r="AA132" s="34">
        <f t="shared" si="6"/>
        <v>0</v>
      </c>
      <c r="AB132" s="34">
        <f t="shared" si="7"/>
        <v>0</v>
      </c>
      <c r="AC132" s="29"/>
      <c r="AD132" s="29"/>
      <c r="AE132" s="25"/>
      <c r="AF132" s="25"/>
      <c r="AG132" s="25"/>
      <c r="AH132" s="35"/>
    </row>
    <row r="133" spans="1:34" ht="15.6">
      <c r="A133" s="83"/>
      <c r="B133" s="63"/>
      <c r="C133" s="29"/>
      <c r="D133" s="64"/>
      <c r="E133" s="29">
        <v>10</v>
      </c>
      <c r="F133" s="29">
        <v>448</v>
      </c>
      <c r="G133" s="31">
        <f t="shared" si="9"/>
        <v>4480</v>
      </c>
      <c r="H133" s="67" t="s">
        <v>27</v>
      </c>
      <c r="I133" s="37">
        <v>45226</v>
      </c>
      <c r="J133" s="33">
        <v>448</v>
      </c>
      <c r="K133" s="33">
        <f>10+2</f>
        <v>12</v>
      </c>
      <c r="L133" s="57">
        <v>45229</v>
      </c>
      <c r="M133" s="31">
        <v>4480</v>
      </c>
      <c r="N133" s="31">
        <v>45</v>
      </c>
      <c r="O133" s="31" t="s">
        <v>1839</v>
      </c>
      <c r="P133" s="74" t="s">
        <v>160</v>
      </c>
      <c r="Q133" s="33">
        <v>8500063249</v>
      </c>
      <c r="R133" s="33">
        <v>5001145315</v>
      </c>
      <c r="S133" s="29">
        <v>448</v>
      </c>
      <c r="T133" s="31" t="s">
        <v>761</v>
      </c>
      <c r="U133" s="75">
        <v>8500063248</v>
      </c>
      <c r="V133" s="31">
        <v>5001157346</v>
      </c>
      <c r="W133" s="50">
        <v>45230</v>
      </c>
      <c r="X133" s="34">
        <v>448</v>
      </c>
      <c r="Y133" s="34">
        <v>4480</v>
      </c>
      <c r="Z133" s="34" t="s">
        <v>1877</v>
      </c>
      <c r="AA133" s="34">
        <f t="shared" si="6"/>
        <v>0</v>
      </c>
      <c r="AB133" s="34">
        <f t="shared" si="7"/>
        <v>0</v>
      </c>
      <c r="AC133" s="29"/>
      <c r="AD133" s="29"/>
      <c r="AE133" s="25"/>
      <c r="AF133" s="25"/>
      <c r="AG133" s="25"/>
      <c r="AH133" s="35"/>
    </row>
    <row r="134" spans="1:34" ht="15.6">
      <c r="A134" s="83"/>
      <c r="B134" s="63"/>
      <c r="C134" s="29"/>
      <c r="D134" s="64"/>
      <c r="E134" s="29">
        <v>10</v>
      </c>
      <c r="F134" s="29">
        <v>896</v>
      </c>
      <c r="G134" s="31">
        <f t="shared" si="9"/>
        <v>8960</v>
      </c>
      <c r="H134" s="67" t="s">
        <v>46</v>
      </c>
      <c r="I134" s="37">
        <v>45226</v>
      </c>
      <c r="J134" s="33">
        <v>896</v>
      </c>
      <c r="K134" s="33">
        <f>14+2</f>
        <v>16</v>
      </c>
      <c r="L134" s="57">
        <v>45229</v>
      </c>
      <c r="M134" s="31">
        <v>8960</v>
      </c>
      <c r="N134" s="31">
        <v>90</v>
      </c>
      <c r="O134" s="31"/>
      <c r="P134" s="74" t="s">
        <v>160</v>
      </c>
      <c r="Q134" s="33">
        <v>8500063249</v>
      </c>
      <c r="R134" s="33">
        <v>5001145315</v>
      </c>
      <c r="S134" s="29">
        <v>896</v>
      </c>
      <c r="T134" s="31" t="s">
        <v>761</v>
      </c>
      <c r="U134" s="75">
        <v>8500063248</v>
      </c>
      <c r="V134" s="31">
        <v>5001157346</v>
      </c>
      <c r="W134" s="50">
        <v>48527</v>
      </c>
      <c r="X134" s="34">
        <v>896</v>
      </c>
      <c r="Y134" s="34">
        <v>8960</v>
      </c>
      <c r="Z134" s="34" t="s">
        <v>800</v>
      </c>
      <c r="AA134" s="34">
        <f t="shared" si="6"/>
        <v>0</v>
      </c>
      <c r="AB134" s="34">
        <f t="shared" si="7"/>
        <v>0</v>
      </c>
      <c r="AC134" s="29"/>
      <c r="AD134" s="29"/>
      <c r="AE134" s="25"/>
      <c r="AF134" s="25"/>
      <c r="AG134" s="25"/>
      <c r="AH134" s="35"/>
    </row>
    <row r="135" spans="1:34" ht="31.2">
      <c r="A135" s="83"/>
      <c r="B135" s="63"/>
      <c r="C135" s="29"/>
      <c r="D135" s="64"/>
      <c r="E135" s="29">
        <v>10</v>
      </c>
      <c r="F135" s="29">
        <v>671</v>
      </c>
      <c r="G135" s="31">
        <f t="shared" si="9"/>
        <v>6710</v>
      </c>
      <c r="H135" s="67" t="s">
        <v>37</v>
      </c>
      <c r="I135" s="37">
        <v>45226</v>
      </c>
      <c r="J135" s="33">
        <v>671</v>
      </c>
      <c r="K135" s="33">
        <v>12</v>
      </c>
      <c r="L135" s="57">
        <v>45229</v>
      </c>
      <c r="M135" s="31">
        <v>6710</v>
      </c>
      <c r="N135" s="31">
        <v>68</v>
      </c>
      <c r="O135" s="31" t="s">
        <v>822</v>
      </c>
      <c r="P135" s="74" t="s">
        <v>160</v>
      </c>
      <c r="Q135" s="33">
        <v>8500063249</v>
      </c>
      <c r="R135" s="33">
        <v>5001145315</v>
      </c>
      <c r="S135" s="29">
        <v>671</v>
      </c>
      <c r="T135" s="31" t="s">
        <v>761</v>
      </c>
      <c r="U135" s="75">
        <v>8500063248</v>
      </c>
      <c r="V135" s="31">
        <v>5001157346</v>
      </c>
      <c r="W135" s="50" t="s">
        <v>1986</v>
      </c>
      <c r="X135" s="34">
        <f>500+171</f>
        <v>671</v>
      </c>
      <c r="Y135" s="34">
        <f>5000+1710</f>
        <v>6710</v>
      </c>
      <c r="Z135" s="34" t="s">
        <v>1987</v>
      </c>
      <c r="AA135" s="34">
        <f t="shared" si="6"/>
        <v>0</v>
      </c>
      <c r="AB135" s="34">
        <f t="shared" si="7"/>
        <v>0</v>
      </c>
      <c r="AC135" s="29"/>
      <c r="AD135" s="29"/>
      <c r="AE135" s="25"/>
      <c r="AF135" s="25"/>
      <c r="AG135" s="25"/>
      <c r="AH135" s="35"/>
    </row>
    <row r="136" spans="1:34" ht="15.6">
      <c r="A136" s="83"/>
      <c r="B136" s="63"/>
      <c r="C136" s="29"/>
      <c r="D136" s="64"/>
      <c r="E136" s="29">
        <v>10</v>
      </c>
      <c r="F136" s="29">
        <v>560</v>
      </c>
      <c r="G136" s="31">
        <f t="shared" si="9"/>
        <v>5600</v>
      </c>
      <c r="H136" s="67" t="s">
        <v>146</v>
      </c>
      <c r="I136" s="37">
        <v>45226</v>
      </c>
      <c r="J136" s="33">
        <v>560</v>
      </c>
      <c r="K136" s="33">
        <v>12</v>
      </c>
      <c r="L136" s="57">
        <v>45229</v>
      </c>
      <c r="M136" s="31">
        <v>5600</v>
      </c>
      <c r="N136" s="31">
        <v>56</v>
      </c>
      <c r="O136" s="31" t="s">
        <v>1871</v>
      </c>
      <c r="P136" s="74" t="s">
        <v>160</v>
      </c>
      <c r="Q136" s="33">
        <v>8500063251</v>
      </c>
      <c r="R136" s="33">
        <v>5001145318</v>
      </c>
      <c r="S136" s="33">
        <v>560</v>
      </c>
      <c r="T136" s="31" t="s">
        <v>761</v>
      </c>
      <c r="U136" s="75">
        <v>8500063250</v>
      </c>
      <c r="V136" s="31">
        <v>5001157347</v>
      </c>
      <c r="W136" s="50">
        <v>45239</v>
      </c>
      <c r="X136" s="34">
        <v>560</v>
      </c>
      <c r="Y136" s="34">
        <v>5600</v>
      </c>
      <c r="Z136" s="34" t="s">
        <v>800</v>
      </c>
      <c r="AA136" s="34">
        <f t="shared" si="6"/>
        <v>0</v>
      </c>
      <c r="AB136" s="34">
        <f t="shared" si="7"/>
        <v>0</v>
      </c>
      <c r="AC136" s="29"/>
      <c r="AD136" s="29"/>
      <c r="AE136" s="25"/>
      <c r="AF136" s="25"/>
      <c r="AG136" s="25"/>
      <c r="AH136" s="35"/>
    </row>
    <row r="137" spans="1:34" ht="15.6">
      <c r="A137" s="83" t="s">
        <v>316</v>
      </c>
      <c r="B137" s="63">
        <v>6000026102</v>
      </c>
      <c r="C137" s="44" t="s">
        <v>1780</v>
      </c>
      <c r="D137" s="122" t="s">
        <v>1779</v>
      </c>
      <c r="E137" s="29">
        <v>10</v>
      </c>
      <c r="F137" s="29">
        <v>336</v>
      </c>
      <c r="G137" s="31">
        <f t="shared" si="9"/>
        <v>3360</v>
      </c>
      <c r="H137" s="67" t="s">
        <v>46</v>
      </c>
      <c r="I137" s="37">
        <v>45226</v>
      </c>
      <c r="J137" s="33">
        <v>336</v>
      </c>
      <c r="K137" s="33">
        <v>9</v>
      </c>
      <c r="L137" s="57">
        <v>45231</v>
      </c>
      <c r="M137" s="31">
        <v>3360</v>
      </c>
      <c r="N137" s="31">
        <v>34</v>
      </c>
      <c r="O137" s="31" t="s">
        <v>1440</v>
      </c>
      <c r="P137" s="74" t="s">
        <v>160</v>
      </c>
      <c r="Q137" s="33">
        <v>8500063253</v>
      </c>
      <c r="R137" s="33">
        <v>5001145311</v>
      </c>
      <c r="S137" s="33">
        <v>336</v>
      </c>
      <c r="T137" s="31" t="s">
        <v>761</v>
      </c>
      <c r="U137" s="75">
        <v>8500063252</v>
      </c>
      <c r="V137" s="31">
        <v>5001162495</v>
      </c>
      <c r="W137" s="50">
        <v>45241</v>
      </c>
      <c r="X137" s="34">
        <v>336</v>
      </c>
      <c r="Y137" s="34">
        <v>3360</v>
      </c>
      <c r="Z137" s="34" t="s">
        <v>800</v>
      </c>
      <c r="AA137" s="34">
        <f t="shared" si="6"/>
        <v>0</v>
      </c>
      <c r="AB137" s="34">
        <f t="shared" si="7"/>
        <v>0</v>
      </c>
      <c r="AC137" s="29"/>
      <c r="AD137" s="29"/>
      <c r="AE137" s="25"/>
      <c r="AF137" s="25"/>
      <c r="AG137" s="25"/>
      <c r="AH137" s="35"/>
    </row>
    <row r="138" spans="1:34" ht="15.6">
      <c r="A138" s="83"/>
      <c r="B138" s="63"/>
      <c r="C138" s="29"/>
      <c r="D138" s="64"/>
      <c r="E138" s="29">
        <v>10</v>
      </c>
      <c r="F138" s="29">
        <v>336</v>
      </c>
      <c r="G138" s="31">
        <f t="shared" si="9"/>
        <v>3360</v>
      </c>
      <c r="H138" s="67" t="s">
        <v>37</v>
      </c>
      <c r="I138" s="37">
        <v>45226</v>
      </c>
      <c r="J138" s="33">
        <v>336</v>
      </c>
      <c r="K138" s="33">
        <f>9+6</f>
        <v>15</v>
      </c>
      <c r="L138" s="57">
        <v>45231</v>
      </c>
      <c r="M138" s="31">
        <v>3360</v>
      </c>
      <c r="N138" s="31">
        <v>34</v>
      </c>
      <c r="O138" s="31" t="s">
        <v>1580</v>
      </c>
      <c r="P138" s="74" t="s">
        <v>160</v>
      </c>
      <c r="Q138" s="33">
        <v>8500063253</v>
      </c>
      <c r="R138" s="33">
        <v>5001145311</v>
      </c>
      <c r="S138" s="33">
        <v>336</v>
      </c>
      <c r="T138" s="31" t="s">
        <v>761</v>
      </c>
      <c r="U138" s="75">
        <v>8500063252</v>
      </c>
      <c r="V138" s="31">
        <v>5001162495</v>
      </c>
      <c r="W138" s="50">
        <v>45241</v>
      </c>
      <c r="X138" s="34">
        <v>336</v>
      </c>
      <c r="Y138" s="34">
        <v>3360</v>
      </c>
      <c r="Z138" s="34" t="s">
        <v>800</v>
      </c>
      <c r="AA138" s="34">
        <f t="shared" si="6"/>
        <v>0</v>
      </c>
      <c r="AB138" s="34">
        <f t="shared" si="7"/>
        <v>0</v>
      </c>
      <c r="AC138" s="29"/>
      <c r="AD138" s="29"/>
      <c r="AE138" s="25"/>
      <c r="AF138" s="25"/>
      <c r="AG138" s="25"/>
      <c r="AH138" s="35"/>
    </row>
    <row r="139" spans="1:34" ht="15.6">
      <c r="A139" s="83"/>
      <c r="B139" s="63"/>
      <c r="C139" s="29"/>
      <c r="D139" s="64"/>
      <c r="E139" s="29">
        <v>10</v>
      </c>
      <c r="F139" s="29">
        <v>336</v>
      </c>
      <c r="G139" s="31">
        <f t="shared" si="9"/>
        <v>3360</v>
      </c>
      <c r="H139" s="67" t="s">
        <v>146</v>
      </c>
      <c r="I139" s="37">
        <v>45244</v>
      </c>
      <c r="J139" s="33">
        <v>336</v>
      </c>
      <c r="K139" s="33">
        <f>10+1</f>
        <v>11</v>
      </c>
      <c r="L139" s="57">
        <v>45231</v>
      </c>
      <c r="M139" s="31">
        <v>3360</v>
      </c>
      <c r="N139" s="31">
        <v>34</v>
      </c>
      <c r="O139" s="31" t="s">
        <v>1412</v>
      </c>
      <c r="P139" s="74" t="s">
        <v>160</v>
      </c>
      <c r="Q139" s="33">
        <v>8500063253</v>
      </c>
      <c r="R139" s="33">
        <v>5001216105</v>
      </c>
      <c r="S139" s="33">
        <v>336</v>
      </c>
      <c r="T139" s="31" t="s">
        <v>761</v>
      </c>
      <c r="U139" s="75">
        <v>8500063254</v>
      </c>
      <c r="V139" s="31">
        <v>5001162496</v>
      </c>
      <c r="W139" s="50">
        <v>45244</v>
      </c>
      <c r="X139" s="34">
        <v>336</v>
      </c>
      <c r="Y139" s="34">
        <v>3360</v>
      </c>
      <c r="Z139" s="34" t="s">
        <v>800</v>
      </c>
      <c r="AA139" s="34">
        <f t="shared" si="6"/>
        <v>0</v>
      </c>
      <c r="AB139" s="34">
        <f t="shared" si="7"/>
        <v>0</v>
      </c>
      <c r="AC139" s="29"/>
      <c r="AD139" s="29"/>
      <c r="AE139" s="25"/>
      <c r="AF139" s="25"/>
      <c r="AG139" s="25"/>
      <c r="AH139" s="35"/>
    </row>
    <row r="140" spans="1:34" ht="15.6">
      <c r="A140" s="83" t="s">
        <v>720</v>
      </c>
      <c r="B140" s="63">
        <v>2000001203</v>
      </c>
      <c r="C140" s="44" t="s">
        <v>1781</v>
      </c>
      <c r="D140" s="122">
        <v>2000001203</v>
      </c>
      <c r="E140" s="29">
        <v>10</v>
      </c>
      <c r="F140" s="29">
        <v>100</v>
      </c>
      <c r="G140" s="31">
        <f t="shared" si="9"/>
        <v>1000</v>
      </c>
      <c r="H140" s="67" t="s">
        <v>243</v>
      </c>
      <c r="I140" s="28" t="s">
        <v>1831</v>
      </c>
      <c r="J140" s="33">
        <v>100</v>
      </c>
      <c r="K140" s="33">
        <v>4</v>
      </c>
      <c r="L140" s="57">
        <v>45225</v>
      </c>
      <c r="M140" s="31">
        <v>1000</v>
      </c>
      <c r="N140" s="31">
        <v>10</v>
      </c>
      <c r="O140" s="31" t="s">
        <v>1746</v>
      </c>
      <c r="P140" s="74" t="s">
        <v>28</v>
      </c>
      <c r="Q140" s="33">
        <v>8500063231</v>
      </c>
      <c r="R140" s="33">
        <v>5001134396</v>
      </c>
      <c r="S140" s="33">
        <v>100</v>
      </c>
      <c r="T140" s="31" t="s">
        <v>1558</v>
      </c>
      <c r="U140" s="75">
        <v>8500063250</v>
      </c>
      <c r="V140" s="31">
        <v>5001141264</v>
      </c>
      <c r="W140" s="50">
        <v>45257</v>
      </c>
      <c r="X140" s="34">
        <v>100</v>
      </c>
      <c r="Y140" s="34">
        <v>1000</v>
      </c>
      <c r="Z140" s="34" t="s">
        <v>754</v>
      </c>
      <c r="AA140" s="34">
        <f t="shared" si="6"/>
        <v>0</v>
      </c>
      <c r="AB140" s="34">
        <f t="shared" si="7"/>
        <v>0</v>
      </c>
      <c r="AC140" s="29"/>
      <c r="AD140" s="488" t="s">
        <v>2574</v>
      </c>
      <c r="AE140" s="25"/>
      <c r="AF140" s="25"/>
      <c r="AG140" s="25"/>
      <c r="AH140" s="35"/>
    </row>
    <row r="141" spans="1:34" ht="15.6">
      <c r="A141" s="83"/>
      <c r="B141" s="63"/>
      <c r="C141" s="29"/>
      <c r="D141" s="64"/>
      <c r="E141" s="29">
        <v>10</v>
      </c>
      <c r="F141" s="29">
        <v>200</v>
      </c>
      <c r="G141" s="31">
        <f t="shared" si="9"/>
        <v>2000</v>
      </c>
      <c r="H141" s="67" t="s">
        <v>37</v>
      </c>
      <c r="I141" s="28" t="s">
        <v>1831</v>
      </c>
      <c r="J141" s="33">
        <v>200</v>
      </c>
      <c r="K141" s="33">
        <v>3</v>
      </c>
      <c r="L141" s="57">
        <v>45225</v>
      </c>
      <c r="M141" s="31">
        <v>2000</v>
      </c>
      <c r="N141" s="31">
        <v>20</v>
      </c>
      <c r="O141" s="31" t="s">
        <v>1746</v>
      </c>
      <c r="P141" s="74" t="s">
        <v>28</v>
      </c>
      <c r="Q141" s="33">
        <v>8500063231</v>
      </c>
      <c r="R141" s="33">
        <v>5001134396</v>
      </c>
      <c r="S141" s="33">
        <v>200</v>
      </c>
      <c r="T141" s="31" t="s">
        <v>1558</v>
      </c>
      <c r="U141" s="75">
        <v>8500063250</v>
      </c>
      <c r="V141" s="31">
        <v>5001141264</v>
      </c>
      <c r="W141" s="50">
        <v>45232</v>
      </c>
      <c r="X141" s="34">
        <v>200</v>
      </c>
      <c r="Y141" s="34">
        <v>2000</v>
      </c>
      <c r="Z141" s="34" t="s">
        <v>1858</v>
      </c>
      <c r="AA141" s="34">
        <f t="shared" ref="AA141:AA193" si="10">J141-X141</f>
        <v>0</v>
      </c>
      <c r="AB141" s="34">
        <f t="shared" ref="AB141:AB193" si="11">M141-Y141</f>
        <v>0</v>
      </c>
      <c r="AC141" s="29"/>
      <c r="AD141" s="489"/>
      <c r="AE141" s="25"/>
      <c r="AF141" s="25"/>
      <c r="AG141" s="25"/>
      <c r="AH141" s="35"/>
    </row>
    <row r="142" spans="1:34" ht="15.6">
      <c r="A142" s="83" t="s">
        <v>720</v>
      </c>
      <c r="B142" s="63">
        <v>2000001204</v>
      </c>
      <c r="C142" s="44" t="s">
        <v>1524</v>
      </c>
      <c r="D142" s="122">
        <v>2000001204</v>
      </c>
      <c r="E142" s="29">
        <v>10</v>
      </c>
      <c r="F142" s="29">
        <v>100</v>
      </c>
      <c r="G142" s="31">
        <f t="shared" si="9"/>
        <v>1000</v>
      </c>
      <c r="H142" s="67" t="s">
        <v>27</v>
      </c>
      <c r="I142" s="37">
        <v>45222</v>
      </c>
      <c r="J142" s="33">
        <v>100</v>
      </c>
      <c r="K142" s="33">
        <f>2+3</f>
        <v>5</v>
      </c>
      <c r="L142" s="57">
        <v>48515</v>
      </c>
      <c r="M142" s="31">
        <v>1000</v>
      </c>
      <c r="N142" s="31">
        <v>10</v>
      </c>
      <c r="O142" s="31" t="s">
        <v>1580</v>
      </c>
      <c r="P142" s="74" t="s">
        <v>160</v>
      </c>
      <c r="Q142" s="33">
        <v>8500062333</v>
      </c>
      <c r="R142" s="33">
        <v>5001128512</v>
      </c>
      <c r="S142" s="33">
        <v>100</v>
      </c>
      <c r="T142" s="31" t="s">
        <v>87</v>
      </c>
      <c r="U142" s="75">
        <v>8500063232</v>
      </c>
      <c r="V142" s="31">
        <v>5001146247</v>
      </c>
      <c r="W142" s="50">
        <v>45239</v>
      </c>
      <c r="X142" s="34">
        <v>100</v>
      </c>
      <c r="Y142" s="34">
        <v>1000</v>
      </c>
      <c r="Z142" s="34" t="s">
        <v>800</v>
      </c>
      <c r="AA142" s="34">
        <f t="shared" si="10"/>
        <v>0</v>
      </c>
      <c r="AB142" s="34">
        <f t="shared" si="11"/>
        <v>0</v>
      </c>
      <c r="AC142" s="29"/>
      <c r="AD142" s="488" t="s">
        <v>2575</v>
      </c>
      <c r="AE142" s="25"/>
      <c r="AF142" s="25"/>
      <c r="AG142" s="25"/>
      <c r="AH142" s="35"/>
    </row>
    <row r="143" spans="1:34" ht="15.6">
      <c r="A143" s="83"/>
      <c r="B143" s="63"/>
      <c r="C143" s="44"/>
      <c r="D143" s="64"/>
      <c r="E143" s="29">
        <v>10</v>
      </c>
      <c r="F143" s="29">
        <v>500</v>
      </c>
      <c r="G143" s="31">
        <f t="shared" si="9"/>
        <v>5000</v>
      </c>
      <c r="H143" s="67" t="s">
        <v>37</v>
      </c>
      <c r="I143" s="37">
        <v>45222</v>
      </c>
      <c r="J143" s="33">
        <v>500</v>
      </c>
      <c r="K143" s="33">
        <v>10</v>
      </c>
      <c r="L143" s="57">
        <v>48515</v>
      </c>
      <c r="M143" s="31">
        <v>5000</v>
      </c>
      <c r="N143" s="31">
        <v>50</v>
      </c>
      <c r="O143" s="31" t="s">
        <v>1580</v>
      </c>
      <c r="P143" s="74" t="s">
        <v>160</v>
      </c>
      <c r="Q143" s="33">
        <v>8500062333</v>
      </c>
      <c r="R143" s="33">
        <v>5001128512</v>
      </c>
      <c r="S143" s="33">
        <v>500</v>
      </c>
      <c r="T143" s="31" t="s">
        <v>87</v>
      </c>
      <c r="U143" s="75">
        <v>8500063232</v>
      </c>
      <c r="V143" s="31">
        <v>5001146247</v>
      </c>
      <c r="W143" s="50">
        <v>45239</v>
      </c>
      <c r="X143" s="34">
        <v>500</v>
      </c>
      <c r="Y143" s="34">
        <v>5000</v>
      </c>
      <c r="Z143" s="34" t="s">
        <v>800</v>
      </c>
      <c r="AA143" s="34">
        <f t="shared" si="10"/>
        <v>0</v>
      </c>
      <c r="AB143" s="34">
        <f t="shared" si="11"/>
        <v>0</v>
      </c>
      <c r="AC143" s="29"/>
      <c r="AD143" s="489"/>
      <c r="AE143" s="25"/>
      <c r="AF143" s="25"/>
      <c r="AG143" s="25"/>
      <c r="AH143" s="35"/>
    </row>
    <row r="144" spans="1:34" ht="15.6">
      <c r="A144" s="83" t="s">
        <v>720</v>
      </c>
      <c r="B144" s="63">
        <v>2000001205</v>
      </c>
      <c r="C144" s="44" t="s">
        <v>721</v>
      </c>
      <c r="D144" s="174">
        <v>2000001205</v>
      </c>
      <c r="E144" s="29">
        <v>10</v>
      </c>
      <c r="F144" s="29">
        <v>100</v>
      </c>
      <c r="G144" s="31">
        <f t="shared" si="9"/>
        <v>1000</v>
      </c>
      <c r="H144" s="67" t="s">
        <v>27</v>
      </c>
      <c r="I144" s="37" t="s">
        <v>1831</v>
      </c>
      <c r="J144" s="33">
        <v>100</v>
      </c>
      <c r="K144" s="33">
        <v>3</v>
      </c>
      <c r="L144" s="57">
        <v>45225</v>
      </c>
      <c r="M144" s="31">
        <v>1000</v>
      </c>
      <c r="N144" s="31">
        <v>10</v>
      </c>
      <c r="O144" s="31" t="s">
        <v>1746</v>
      </c>
      <c r="P144" s="74" t="s">
        <v>28</v>
      </c>
      <c r="Q144" s="33">
        <v>8500063229</v>
      </c>
      <c r="R144" s="33">
        <v>5001134393</v>
      </c>
      <c r="S144" s="33">
        <v>100</v>
      </c>
      <c r="T144" s="31" t="s">
        <v>1558</v>
      </c>
      <c r="U144" s="75">
        <v>8500063228</v>
      </c>
      <c r="V144" s="31">
        <v>5001141310</v>
      </c>
      <c r="W144" s="50">
        <v>45234</v>
      </c>
      <c r="X144" s="34">
        <v>100</v>
      </c>
      <c r="Y144" s="34">
        <v>1000</v>
      </c>
      <c r="Z144" s="34" t="s">
        <v>800</v>
      </c>
      <c r="AA144" s="34">
        <f t="shared" si="10"/>
        <v>0</v>
      </c>
      <c r="AB144" s="34">
        <f t="shared" si="11"/>
        <v>0</v>
      </c>
      <c r="AC144" s="29"/>
      <c r="AD144" s="29"/>
      <c r="AE144" s="25"/>
      <c r="AF144" s="25"/>
      <c r="AG144" s="25"/>
      <c r="AH144" s="35"/>
    </row>
    <row r="145" spans="1:34" ht="15.6">
      <c r="A145" s="83"/>
      <c r="B145" s="63"/>
      <c r="C145" s="29"/>
      <c r="D145" s="64"/>
      <c r="E145" s="29">
        <v>10</v>
      </c>
      <c r="F145" s="29">
        <v>400</v>
      </c>
      <c r="G145" s="31">
        <f t="shared" si="9"/>
        <v>4000</v>
      </c>
      <c r="H145" s="67" t="s">
        <v>46</v>
      </c>
      <c r="I145" s="37" t="s">
        <v>1831</v>
      </c>
      <c r="J145" s="33">
        <v>400</v>
      </c>
      <c r="K145" s="33">
        <v>5</v>
      </c>
      <c r="L145" s="57">
        <v>45225</v>
      </c>
      <c r="M145" s="31">
        <v>4000</v>
      </c>
      <c r="N145" s="31">
        <v>40</v>
      </c>
      <c r="O145" s="31" t="s">
        <v>1746</v>
      </c>
      <c r="P145" s="74" t="s">
        <v>28</v>
      </c>
      <c r="Q145" s="33">
        <v>8500063229</v>
      </c>
      <c r="R145" s="33">
        <v>5001134393</v>
      </c>
      <c r="S145" s="33">
        <v>400</v>
      </c>
      <c r="T145" s="31" t="s">
        <v>1558</v>
      </c>
      <c r="U145" s="75">
        <v>8500063228</v>
      </c>
      <c r="V145" s="31">
        <v>5001141310</v>
      </c>
      <c r="W145" s="50">
        <v>45248</v>
      </c>
      <c r="X145" s="34">
        <f>200+200</f>
        <v>400</v>
      </c>
      <c r="Y145" s="34">
        <f>2000+2000</f>
        <v>4000</v>
      </c>
      <c r="Z145" s="34" t="s">
        <v>2040</v>
      </c>
      <c r="AA145" s="34">
        <f t="shared" si="10"/>
        <v>0</v>
      </c>
      <c r="AB145" s="34">
        <f t="shared" si="11"/>
        <v>0</v>
      </c>
      <c r="AC145" s="29"/>
      <c r="AD145" s="29"/>
      <c r="AE145" s="25"/>
      <c r="AF145" s="25"/>
      <c r="AG145" s="25"/>
      <c r="AH145" s="35"/>
    </row>
    <row r="146" spans="1:34" ht="15.6">
      <c r="A146" s="83"/>
      <c r="B146" s="63"/>
      <c r="C146" s="29"/>
      <c r="D146" s="64"/>
      <c r="E146" s="29">
        <v>10</v>
      </c>
      <c r="F146" s="29">
        <v>100</v>
      </c>
      <c r="G146" s="31">
        <f t="shared" si="9"/>
        <v>1000</v>
      </c>
      <c r="H146" s="67" t="s">
        <v>37</v>
      </c>
      <c r="I146" s="37" t="s">
        <v>1831</v>
      </c>
      <c r="J146" s="33">
        <v>100</v>
      </c>
      <c r="K146" s="33">
        <v>3</v>
      </c>
      <c r="L146" s="57">
        <v>45225</v>
      </c>
      <c r="M146" s="31">
        <v>1000</v>
      </c>
      <c r="N146" s="31">
        <v>10</v>
      </c>
      <c r="O146" s="31" t="s">
        <v>1746</v>
      </c>
      <c r="P146" s="74" t="s">
        <v>28</v>
      </c>
      <c r="Q146" s="33">
        <v>8500063229</v>
      </c>
      <c r="R146" s="33">
        <v>5001134393</v>
      </c>
      <c r="S146" s="33">
        <v>100</v>
      </c>
      <c r="T146" s="31" t="s">
        <v>1558</v>
      </c>
      <c r="U146" s="75">
        <v>8500063228</v>
      </c>
      <c r="V146" s="31">
        <v>5001141310</v>
      </c>
      <c r="W146" s="50">
        <v>45244</v>
      </c>
      <c r="X146" s="34">
        <v>100</v>
      </c>
      <c r="Y146" s="34">
        <v>1000</v>
      </c>
      <c r="Z146" s="34" t="s">
        <v>197</v>
      </c>
      <c r="AA146" s="34">
        <f t="shared" si="10"/>
        <v>0</v>
      </c>
      <c r="AB146" s="34">
        <f t="shared" si="11"/>
        <v>0</v>
      </c>
      <c r="AC146" s="29"/>
      <c r="AD146" s="29"/>
      <c r="AE146" s="25"/>
      <c r="AF146" s="25"/>
      <c r="AG146" s="25"/>
      <c r="AH146" s="35"/>
    </row>
    <row r="147" spans="1:34" ht="31.2">
      <c r="A147" s="83" t="s">
        <v>1795</v>
      </c>
      <c r="B147" s="63">
        <v>6000026092</v>
      </c>
      <c r="C147" s="44" t="s">
        <v>1794</v>
      </c>
      <c r="D147" s="122">
        <v>6000026092</v>
      </c>
      <c r="E147" s="29">
        <v>10</v>
      </c>
      <c r="F147" s="29">
        <v>600</v>
      </c>
      <c r="G147" s="31">
        <f t="shared" si="9"/>
        <v>6000</v>
      </c>
      <c r="H147" s="67" t="s">
        <v>46</v>
      </c>
      <c r="I147" s="37">
        <v>45222</v>
      </c>
      <c r="J147" s="33">
        <v>600</v>
      </c>
      <c r="K147" s="33">
        <f>8+13</f>
        <v>21</v>
      </c>
      <c r="L147" s="56" t="s">
        <v>1831</v>
      </c>
      <c r="M147" s="31">
        <v>6000</v>
      </c>
      <c r="N147" s="31">
        <v>60</v>
      </c>
      <c r="O147" s="31" t="s">
        <v>1370</v>
      </c>
      <c r="P147" s="74" t="s">
        <v>160</v>
      </c>
      <c r="Q147" s="33">
        <v>8500063213</v>
      </c>
      <c r="R147" s="33">
        <v>5001128692</v>
      </c>
      <c r="S147" s="29">
        <v>600</v>
      </c>
      <c r="T147" s="31" t="s">
        <v>152</v>
      </c>
      <c r="U147" s="75">
        <v>8500063212</v>
      </c>
      <c r="V147" s="31">
        <v>5001134107</v>
      </c>
      <c r="W147" s="50">
        <v>45225</v>
      </c>
      <c r="X147" s="34">
        <v>600</v>
      </c>
      <c r="Y147" s="34">
        <v>6000</v>
      </c>
      <c r="Z147" s="34" t="s">
        <v>927</v>
      </c>
      <c r="AA147" s="34">
        <f t="shared" si="10"/>
        <v>0</v>
      </c>
      <c r="AB147" s="34">
        <f t="shared" si="11"/>
        <v>0</v>
      </c>
      <c r="AC147" s="29"/>
      <c r="AD147" s="29"/>
      <c r="AE147" s="25"/>
      <c r="AF147" s="25"/>
      <c r="AG147" s="25"/>
      <c r="AH147" s="35"/>
    </row>
    <row r="148" spans="1:34" ht="31.2">
      <c r="A148" s="83"/>
      <c r="B148" s="63"/>
      <c r="C148" s="9"/>
      <c r="D148" s="64"/>
      <c r="E148" s="29">
        <v>10</v>
      </c>
      <c r="F148" s="29">
        <v>1000</v>
      </c>
      <c r="G148" s="31">
        <f t="shared" si="9"/>
        <v>10000</v>
      </c>
      <c r="H148" s="67" t="s">
        <v>37</v>
      </c>
      <c r="I148" s="37">
        <v>45222</v>
      </c>
      <c r="J148" s="33">
        <v>1000</v>
      </c>
      <c r="K148" s="33">
        <f>11+3</f>
        <v>14</v>
      </c>
      <c r="L148" s="56" t="s">
        <v>1831</v>
      </c>
      <c r="M148" s="31">
        <v>10000</v>
      </c>
      <c r="N148" s="31">
        <v>50</v>
      </c>
      <c r="O148" s="31" t="s">
        <v>1439</v>
      </c>
      <c r="P148" s="74" t="s">
        <v>160</v>
      </c>
      <c r="Q148" s="33">
        <v>8500063213</v>
      </c>
      <c r="R148" s="33">
        <v>5001128692</v>
      </c>
      <c r="S148" s="29">
        <v>1000</v>
      </c>
      <c r="T148" s="31" t="s">
        <v>152</v>
      </c>
      <c r="U148" s="75">
        <v>8500063212</v>
      </c>
      <c r="V148" s="31">
        <v>5001134107</v>
      </c>
      <c r="W148" s="50">
        <v>45227</v>
      </c>
      <c r="X148" s="34">
        <v>1000</v>
      </c>
      <c r="Y148" s="34">
        <v>10000</v>
      </c>
      <c r="Z148" s="34" t="s">
        <v>1858</v>
      </c>
      <c r="AA148" s="34">
        <f t="shared" si="10"/>
        <v>0</v>
      </c>
      <c r="AB148" s="34">
        <f t="shared" si="11"/>
        <v>0</v>
      </c>
      <c r="AC148" s="29"/>
      <c r="AD148" s="29"/>
      <c r="AE148" s="25"/>
      <c r="AF148" s="25"/>
      <c r="AG148" s="25"/>
      <c r="AH148" s="35"/>
    </row>
    <row r="149" spans="1:34" ht="15.6">
      <c r="A149" s="83" t="s">
        <v>1795</v>
      </c>
      <c r="B149" s="63">
        <v>6000026092</v>
      </c>
      <c r="C149" s="44" t="s">
        <v>1796</v>
      </c>
      <c r="D149" s="122">
        <v>6000026092</v>
      </c>
      <c r="E149" s="29">
        <v>10</v>
      </c>
      <c r="F149" s="29">
        <v>250</v>
      </c>
      <c r="G149" s="31">
        <f t="shared" si="9"/>
        <v>2500</v>
      </c>
      <c r="H149" s="67" t="s">
        <v>27</v>
      </c>
      <c r="I149" s="37">
        <v>45222</v>
      </c>
      <c r="J149" s="33">
        <v>250</v>
      </c>
      <c r="K149" s="33">
        <f>8+6</f>
        <v>14</v>
      </c>
      <c r="L149" s="57">
        <v>45225</v>
      </c>
      <c r="M149" s="31">
        <v>2500</v>
      </c>
      <c r="N149" s="31">
        <v>13</v>
      </c>
      <c r="O149" s="31" t="s">
        <v>1567</v>
      </c>
      <c r="P149" s="74" t="s">
        <v>160</v>
      </c>
      <c r="Q149" s="33">
        <v>8500063219</v>
      </c>
      <c r="R149" s="33">
        <v>5001128712</v>
      </c>
      <c r="S149" s="29">
        <v>250</v>
      </c>
      <c r="T149" s="31" t="s">
        <v>152</v>
      </c>
      <c r="U149" s="75">
        <v>8500063218</v>
      </c>
      <c r="V149" s="31">
        <v>5001138501</v>
      </c>
      <c r="W149" s="50">
        <v>45227</v>
      </c>
      <c r="X149" s="34">
        <v>250</v>
      </c>
      <c r="Y149" s="34">
        <v>2500</v>
      </c>
      <c r="Z149" s="34" t="s">
        <v>800</v>
      </c>
      <c r="AA149" s="34">
        <f t="shared" si="10"/>
        <v>0</v>
      </c>
      <c r="AB149" s="34">
        <f t="shared" si="11"/>
        <v>0</v>
      </c>
      <c r="AC149" s="29"/>
      <c r="AD149" s="29"/>
      <c r="AE149" s="25"/>
      <c r="AF149" s="25"/>
      <c r="AG149" s="25"/>
      <c r="AH149" s="35"/>
    </row>
    <row r="150" spans="1:34" ht="15.6">
      <c r="A150" s="31"/>
      <c r="B150" s="63"/>
      <c r="C150" s="29"/>
      <c r="D150" s="64"/>
      <c r="E150" s="29">
        <v>10</v>
      </c>
      <c r="F150" s="29">
        <v>950</v>
      </c>
      <c r="G150" s="31">
        <f t="shared" si="9"/>
        <v>9500</v>
      </c>
      <c r="H150" s="67" t="s">
        <v>46</v>
      </c>
      <c r="I150" s="37">
        <v>45222</v>
      </c>
      <c r="J150" s="33">
        <v>950</v>
      </c>
      <c r="K150" s="33">
        <f>15+2</f>
        <v>17</v>
      </c>
      <c r="L150" s="57">
        <v>45225</v>
      </c>
      <c r="M150" s="31">
        <v>9500</v>
      </c>
      <c r="N150" s="31">
        <v>48</v>
      </c>
      <c r="O150" s="31" t="s">
        <v>1791</v>
      </c>
      <c r="P150" s="74" t="s">
        <v>160</v>
      </c>
      <c r="Q150" s="33">
        <v>8500063219</v>
      </c>
      <c r="R150" s="33">
        <v>5001128678</v>
      </c>
      <c r="S150" s="29">
        <v>950</v>
      </c>
      <c r="T150" s="31" t="s">
        <v>152</v>
      </c>
      <c r="U150" s="75">
        <v>8500063218</v>
      </c>
      <c r="V150" s="31">
        <v>5001138501</v>
      </c>
      <c r="W150" s="50">
        <v>45227</v>
      </c>
      <c r="X150" s="34">
        <v>950</v>
      </c>
      <c r="Y150" s="34">
        <v>9500</v>
      </c>
      <c r="Z150" s="34" t="s">
        <v>800</v>
      </c>
      <c r="AA150" s="34">
        <f t="shared" si="10"/>
        <v>0</v>
      </c>
      <c r="AB150" s="34">
        <f t="shared" si="11"/>
        <v>0</v>
      </c>
      <c r="AC150" s="29"/>
      <c r="AD150" s="29"/>
      <c r="AE150" s="25"/>
      <c r="AF150" s="25"/>
      <c r="AG150" s="25"/>
      <c r="AH150" s="35"/>
    </row>
    <row r="151" spans="1:34" ht="46.8">
      <c r="A151" s="31"/>
      <c r="B151" s="63"/>
      <c r="C151" s="86"/>
      <c r="D151" s="175"/>
      <c r="E151" s="29">
        <v>10</v>
      </c>
      <c r="F151" s="29">
        <v>1350</v>
      </c>
      <c r="G151" s="31">
        <f t="shared" si="9"/>
        <v>13500</v>
      </c>
      <c r="H151" s="67" t="s">
        <v>37</v>
      </c>
      <c r="I151" s="37" t="s">
        <v>1991</v>
      </c>
      <c r="J151" s="33">
        <f>1209+141</f>
        <v>1350</v>
      </c>
      <c r="K151" s="33">
        <f>19+7</f>
        <v>26</v>
      </c>
      <c r="L151" s="56" t="s">
        <v>1831</v>
      </c>
      <c r="M151" s="31">
        <v>13500</v>
      </c>
      <c r="N151" s="31">
        <v>68</v>
      </c>
      <c r="O151" s="31" t="s">
        <v>1439</v>
      </c>
      <c r="P151" s="74" t="s">
        <v>160</v>
      </c>
      <c r="Q151" s="33">
        <v>8500063219</v>
      </c>
      <c r="R151" s="33">
        <v>5001128678</v>
      </c>
      <c r="S151" s="29">
        <v>1209</v>
      </c>
      <c r="T151" s="31" t="s">
        <v>152</v>
      </c>
      <c r="U151" s="75">
        <v>8500063218</v>
      </c>
      <c r="V151" s="31">
        <v>5001134124</v>
      </c>
      <c r="W151" s="50" t="s">
        <v>1995</v>
      </c>
      <c r="X151" s="34">
        <f>1200-140+167+123</f>
        <v>1350</v>
      </c>
      <c r="Y151" s="34">
        <f>12000-1400+1670+1230</f>
        <v>13500</v>
      </c>
      <c r="Z151" s="34" t="s">
        <v>1996</v>
      </c>
      <c r="AA151" s="34">
        <f t="shared" si="10"/>
        <v>0</v>
      </c>
      <c r="AB151" s="34">
        <f t="shared" si="11"/>
        <v>0</v>
      </c>
      <c r="AC151" s="29" t="s">
        <v>1907</v>
      </c>
      <c r="AD151" s="29"/>
      <c r="AE151" s="25"/>
      <c r="AF151" s="25"/>
      <c r="AG151" s="25"/>
      <c r="AH151" s="35"/>
    </row>
    <row r="152" spans="1:34" ht="15.6">
      <c r="A152" s="31"/>
      <c r="B152" s="63"/>
      <c r="C152" s="29"/>
      <c r="D152" s="64"/>
      <c r="E152" s="29">
        <v>10</v>
      </c>
      <c r="F152" s="29">
        <v>278</v>
      </c>
      <c r="G152" s="31">
        <f t="shared" si="9"/>
        <v>2780</v>
      </c>
      <c r="H152" s="67" t="s">
        <v>146</v>
      </c>
      <c r="I152" s="37">
        <v>45222</v>
      </c>
      <c r="J152" s="33">
        <v>278</v>
      </c>
      <c r="K152" s="33">
        <f>8+2</f>
        <v>10</v>
      </c>
      <c r="L152" s="57">
        <v>45225</v>
      </c>
      <c r="M152" s="31">
        <v>2780</v>
      </c>
      <c r="N152" s="31">
        <v>14</v>
      </c>
      <c r="O152" s="31" t="s">
        <v>858</v>
      </c>
      <c r="P152" s="74" t="s">
        <v>160</v>
      </c>
      <c r="Q152" s="33">
        <v>8500063221</v>
      </c>
      <c r="R152" s="33">
        <v>5001128715</v>
      </c>
      <c r="S152" s="29">
        <v>278</v>
      </c>
      <c r="T152" s="31" t="s">
        <v>152</v>
      </c>
      <c r="U152" s="75">
        <v>8500063218</v>
      </c>
      <c r="V152" s="31">
        <v>5001138543</v>
      </c>
      <c r="W152" s="50">
        <v>45236</v>
      </c>
      <c r="X152" s="34">
        <v>278</v>
      </c>
      <c r="Y152" s="34">
        <v>2780</v>
      </c>
      <c r="Z152" s="34" t="s">
        <v>800</v>
      </c>
      <c r="AA152" s="34">
        <f t="shared" si="10"/>
        <v>0</v>
      </c>
      <c r="AB152" s="34">
        <f t="shared" si="11"/>
        <v>0</v>
      </c>
      <c r="AC152" s="29"/>
      <c r="AD152" s="29"/>
      <c r="AE152" s="25"/>
      <c r="AF152" s="25"/>
      <c r="AG152" s="25"/>
      <c r="AH152" s="35"/>
    </row>
    <row r="153" spans="1:34" ht="15.6">
      <c r="A153" s="83" t="s">
        <v>1795</v>
      </c>
      <c r="B153" s="63">
        <v>6000026093</v>
      </c>
      <c r="C153" s="44" t="s">
        <v>1797</v>
      </c>
      <c r="D153" s="122" t="s">
        <v>1798</v>
      </c>
      <c r="E153" s="29">
        <v>10</v>
      </c>
      <c r="F153" s="29">
        <v>100</v>
      </c>
      <c r="G153" s="31">
        <f t="shared" si="9"/>
        <v>1000</v>
      </c>
      <c r="H153" s="67" t="s">
        <v>27</v>
      </c>
      <c r="I153" s="37">
        <v>45226</v>
      </c>
      <c r="J153" s="33">
        <v>100</v>
      </c>
      <c r="K153" s="33">
        <f>6+1</f>
        <v>7</v>
      </c>
      <c r="L153" s="57">
        <v>45226</v>
      </c>
      <c r="M153" s="31">
        <v>1000</v>
      </c>
      <c r="N153" s="31">
        <v>5</v>
      </c>
      <c r="O153" s="31" t="s">
        <v>1344</v>
      </c>
      <c r="P153" s="74" t="s">
        <v>160</v>
      </c>
      <c r="Q153" s="33">
        <v>8500063180</v>
      </c>
      <c r="R153" s="33">
        <v>5001145274</v>
      </c>
      <c r="S153" s="29">
        <v>100</v>
      </c>
      <c r="T153" s="31" t="s">
        <v>152</v>
      </c>
      <c r="U153" s="75">
        <v>8500063179</v>
      </c>
      <c r="V153" s="31">
        <v>5001142506</v>
      </c>
      <c r="W153" s="50">
        <v>45231</v>
      </c>
      <c r="X153" s="34">
        <v>100</v>
      </c>
      <c r="Y153" s="34">
        <v>1000</v>
      </c>
      <c r="Z153" s="34" t="s">
        <v>800</v>
      </c>
      <c r="AA153" s="34">
        <f t="shared" si="10"/>
        <v>0</v>
      </c>
      <c r="AB153" s="34">
        <f t="shared" si="11"/>
        <v>0</v>
      </c>
      <c r="AC153" s="29"/>
      <c r="AD153" s="29"/>
      <c r="AE153" s="25"/>
      <c r="AF153" s="25"/>
      <c r="AG153" s="25"/>
      <c r="AH153" s="35"/>
    </row>
    <row r="154" spans="1:34" ht="31.2">
      <c r="A154" s="31"/>
      <c r="B154" s="63"/>
      <c r="C154" s="86"/>
      <c r="D154" s="64"/>
      <c r="E154" s="29">
        <v>10</v>
      </c>
      <c r="F154" s="29">
        <v>400</v>
      </c>
      <c r="G154" s="31">
        <f t="shared" si="9"/>
        <v>4000</v>
      </c>
      <c r="H154" s="67" t="s">
        <v>46</v>
      </c>
      <c r="I154" s="37">
        <v>45222</v>
      </c>
      <c r="J154" s="33">
        <v>400</v>
      </c>
      <c r="K154" s="33">
        <f>9+8</f>
        <v>17</v>
      </c>
      <c r="L154" s="57">
        <v>45226</v>
      </c>
      <c r="M154" s="31">
        <v>4000</v>
      </c>
      <c r="N154" s="31">
        <v>20</v>
      </c>
      <c r="O154" s="31" t="s">
        <v>1509</v>
      </c>
      <c r="P154" s="74" t="s">
        <v>139</v>
      </c>
      <c r="Q154" s="33">
        <v>8500063180</v>
      </c>
      <c r="R154" s="33">
        <v>5001128718</v>
      </c>
      <c r="S154" s="33">
        <v>400</v>
      </c>
      <c r="T154" s="31" t="s">
        <v>152</v>
      </c>
      <c r="U154" s="75">
        <v>8500063179</v>
      </c>
      <c r="V154" s="31">
        <v>5001142506</v>
      </c>
      <c r="W154" s="50" t="s">
        <v>1946</v>
      </c>
      <c r="X154" s="34">
        <f>300+100</f>
        <v>400</v>
      </c>
      <c r="Y154" s="34">
        <f>3000+1000</f>
        <v>4000</v>
      </c>
      <c r="Z154" s="34" t="s">
        <v>1785</v>
      </c>
      <c r="AA154" s="34">
        <f t="shared" si="10"/>
        <v>0</v>
      </c>
      <c r="AB154" s="34">
        <f t="shared" si="11"/>
        <v>0</v>
      </c>
      <c r="AC154" s="29"/>
      <c r="AD154" s="29"/>
      <c r="AE154" s="25"/>
      <c r="AF154" s="25"/>
      <c r="AG154" s="25"/>
      <c r="AH154" s="35"/>
    </row>
    <row r="155" spans="1:34" ht="15.6">
      <c r="A155" s="31"/>
      <c r="B155" s="63"/>
      <c r="C155" s="29"/>
      <c r="D155" s="64"/>
      <c r="E155" s="29">
        <v>10</v>
      </c>
      <c r="F155" s="29">
        <v>1200</v>
      </c>
      <c r="G155" s="31">
        <f t="shared" si="9"/>
        <v>12000</v>
      </c>
      <c r="H155" s="67" t="s">
        <v>37</v>
      </c>
      <c r="I155" s="37">
        <v>45222</v>
      </c>
      <c r="J155" s="33">
        <v>1200</v>
      </c>
      <c r="K155" s="33">
        <f>17+2</f>
        <v>19</v>
      </c>
      <c r="L155" s="57">
        <v>45226</v>
      </c>
      <c r="M155" s="31">
        <v>12000</v>
      </c>
      <c r="N155" s="31">
        <v>60</v>
      </c>
      <c r="O155" s="31" t="s">
        <v>1784</v>
      </c>
      <c r="P155" s="74" t="s">
        <v>139</v>
      </c>
      <c r="Q155" s="33">
        <v>8500063180</v>
      </c>
      <c r="R155" s="33">
        <v>5001128695</v>
      </c>
      <c r="S155" s="33">
        <v>1200</v>
      </c>
      <c r="T155" s="31" t="s">
        <v>152</v>
      </c>
      <c r="U155" s="75">
        <v>8500063179</v>
      </c>
      <c r="V155" s="31">
        <v>5001142506</v>
      </c>
      <c r="W155" s="50">
        <v>45240</v>
      </c>
      <c r="X155" s="34">
        <v>1200</v>
      </c>
      <c r="Y155" s="34">
        <v>12000</v>
      </c>
      <c r="Z155" s="34" t="s">
        <v>197</v>
      </c>
      <c r="AA155" s="34">
        <f t="shared" si="10"/>
        <v>0</v>
      </c>
      <c r="AB155" s="34">
        <f t="shared" si="11"/>
        <v>0</v>
      </c>
      <c r="AC155" s="29"/>
      <c r="AD155" s="29"/>
      <c r="AE155" s="25"/>
      <c r="AF155" s="25"/>
      <c r="AG155" s="25"/>
      <c r="AH155" s="35"/>
    </row>
    <row r="156" spans="1:34" ht="15.6">
      <c r="A156" s="31"/>
      <c r="B156" s="63"/>
      <c r="C156" s="29"/>
      <c r="D156" s="64"/>
      <c r="E156" s="29">
        <v>10</v>
      </c>
      <c r="F156" s="29">
        <v>334</v>
      </c>
      <c r="G156" s="31">
        <f t="shared" si="9"/>
        <v>3340</v>
      </c>
      <c r="H156" s="67" t="s">
        <v>146</v>
      </c>
      <c r="I156" s="37">
        <v>45220</v>
      </c>
      <c r="J156" s="33">
        <v>334</v>
      </c>
      <c r="K156" s="33">
        <f>8+8</f>
        <v>16</v>
      </c>
      <c r="L156" s="57">
        <v>45226</v>
      </c>
      <c r="M156" s="31">
        <v>3340</v>
      </c>
      <c r="N156" s="31">
        <v>17</v>
      </c>
      <c r="O156" s="31" t="s">
        <v>1846</v>
      </c>
      <c r="P156" s="74" t="s">
        <v>139</v>
      </c>
      <c r="Q156" s="33">
        <v>8500063182</v>
      </c>
      <c r="R156" s="33">
        <v>5001124778</v>
      </c>
      <c r="S156" s="33">
        <v>334</v>
      </c>
      <c r="T156" s="31" t="s">
        <v>152</v>
      </c>
      <c r="U156" s="75">
        <v>8500063181</v>
      </c>
      <c r="V156" s="31">
        <v>5001142507</v>
      </c>
      <c r="W156" s="50">
        <v>45238</v>
      </c>
      <c r="X156" s="34">
        <v>334</v>
      </c>
      <c r="Y156" s="34">
        <v>3340</v>
      </c>
      <c r="Z156" s="34" t="s">
        <v>800</v>
      </c>
      <c r="AA156" s="34">
        <f t="shared" si="10"/>
        <v>0</v>
      </c>
      <c r="AB156" s="34">
        <f t="shared" si="11"/>
        <v>0</v>
      </c>
      <c r="AC156" s="29"/>
      <c r="AD156" s="29"/>
      <c r="AE156" s="25"/>
      <c r="AF156" s="25"/>
      <c r="AG156" s="25"/>
      <c r="AH156" s="35"/>
    </row>
    <row r="157" spans="1:34" ht="15.6">
      <c r="A157" s="83" t="s">
        <v>1795</v>
      </c>
      <c r="B157" s="63">
        <v>6000026093</v>
      </c>
      <c r="C157" s="44" t="s">
        <v>1799</v>
      </c>
      <c r="D157" s="122" t="s">
        <v>1798</v>
      </c>
      <c r="E157" s="29">
        <v>10</v>
      </c>
      <c r="F157" s="29">
        <v>200</v>
      </c>
      <c r="G157" s="31">
        <f t="shared" si="9"/>
        <v>2000</v>
      </c>
      <c r="H157" s="67" t="s">
        <v>27</v>
      </c>
      <c r="I157" s="37">
        <v>45222</v>
      </c>
      <c r="J157" s="33">
        <v>200</v>
      </c>
      <c r="K157" s="33">
        <f>7+2</f>
        <v>9</v>
      </c>
      <c r="L157" s="57">
        <v>45226</v>
      </c>
      <c r="M157" s="31">
        <v>2000</v>
      </c>
      <c r="N157" s="31">
        <v>20</v>
      </c>
      <c r="O157" s="31" t="s">
        <v>1344</v>
      </c>
      <c r="P157" s="74" t="s">
        <v>139</v>
      </c>
      <c r="Q157" s="33">
        <v>8500063184</v>
      </c>
      <c r="R157" s="33">
        <v>5001128719</v>
      </c>
      <c r="S157" s="33">
        <v>200</v>
      </c>
      <c r="T157" s="31" t="s">
        <v>152</v>
      </c>
      <c r="U157" s="75">
        <v>8500063183</v>
      </c>
      <c r="V157" s="31">
        <v>5001142508</v>
      </c>
      <c r="W157" s="50">
        <v>45231</v>
      </c>
      <c r="X157" s="34">
        <v>200</v>
      </c>
      <c r="Y157" s="34">
        <v>2000</v>
      </c>
      <c r="Z157" s="34" t="s">
        <v>1472</v>
      </c>
      <c r="AA157" s="34">
        <f t="shared" si="10"/>
        <v>0</v>
      </c>
      <c r="AB157" s="34">
        <f t="shared" si="11"/>
        <v>0</v>
      </c>
      <c r="AC157" s="29"/>
      <c r="AD157" s="29"/>
      <c r="AE157" s="25"/>
      <c r="AF157" s="25"/>
      <c r="AG157" s="25"/>
      <c r="AH157" s="35"/>
    </row>
    <row r="158" spans="1:34" ht="62.4">
      <c r="A158" s="31"/>
      <c r="B158" s="63"/>
      <c r="C158" s="29"/>
      <c r="D158" s="64"/>
      <c r="E158" s="29">
        <v>10</v>
      </c>
      <c r="F158" s="29">
        <v>800</v>
      </c>
      <c r="G158" s="31">
        <f t="shared" si="9"/>
        <v>8000</v>
      </c>
      <c r="H158" s="67" t="s">
        <v>46</v>
      </c>
      <c r="I158" s="37">
        <v>45222</v>
      </c>
      <c r="J158" s="33">
        <v>800</v>
      </c>
      <c r="K158" s="33">
        <v>15</v>
      </c>
      <c r="L158" s="57" t="s">
        <v>1869</v>
      </c>
      <c r="M158" s="31">
        <f>5800+2200</f>
        <v>8000</v>
      </c>
      <c r="N158" s="31">
        <v>40</v>
      </c>
      <c r="O158" s="31" t="s">
        <v>1870</v>
      </c>
      <c r="P158" s="74" t="s">
        <v>139</v>
      </c>
      <c r="Q158" s="33">
        <v>8500063184</v>
      </c>
      <c r="R158" s="33">
        <v>5001128698</v>
      </c>
      <c r="S158" s="33">
        <v>800</v>
      </c>
      <c r="T158" s="31" t="s">
        <v>152</v>
      </c>
      <c r="U158" s="75">
        <v>8500063183</v>
      </c>
      <c r="V158" s="31">
        <v>5001142508</v>
      </c>
      <c r="W158" s="50">
        <v>45233</v>
      </c>
      <c r="X158" s="34">
        <v>800</v>
      </c>
      <c r="Y158" s="34">
        <v>8000</v>
      </c>
      <c r="Z158" s="34" t="s">
        <v>267</v>
      </c>
      <c r="AA158" s="34">
        <f t="shared" si="10"/>
        <v>0</v>
      </c>
      <c r="AB158" s="34">
        <f t="shared" si="11"/>
        <v>0</v>
      </c>
      <c r="AC158" s="29"/>
      <c r="AD158" s="29"/>
      <c r="AE158" s="25"/>
      <c r="AF158" s="25"/>
      <c r="AG158" s="25"/>
      <c r="AH158" s="35"/>
    </row>
    <row r="159" spans="1:34" ht="62.4">
      <c r="A159" s="31"/>
      <c r="B159" s="63"/>
      <c r="C159" s="29"/>
      <c r="D159" s="64"/>
      <c r="E159" s="29">
        <v>10</v>
      </c>
      <c r="F159" s="29">
        <v>1100</v>
      </c>
      <c r="G159" s="31">
        <f t="shared" si="9"/>
        <v>11000</v>
      </c>
      <c r="H159" s="67" t="s">
        <v>37</v>
      </c>
      <c r="I159" s="37">
        <v>45222</v>
      </c>
      <c r="J159" s="33">
        <v>1100</v>
      </c>
      <c r="K159" s="33">
        <f>16+2</f>
        <v>18</v>
      </c>
      <c r="L159" s="57" t="s">
        <v>1869</v>
      </c>
      <c r="M159" s="31">
        <f>10800+200</f>
        <v>11000</v>
      </c>
      <c r="N159" s="31">
        <v>55</v>
      </c>
      <c r="O159" s="31" t="s">
        <v>1743</v>
      </c>
      <c r="P159" s="74" t="s">
        <v>139</v>
      </c>
      <c r="Q159" s="33">
        <v>8500063184</v>
      </c>
      <c r="R159" s="33">
        <v>5001128719</v>
      </c>
      <c r="S159" s="33">
        <v>1100</v>
      </c>
      <c r="T159" s="31" t="s">
        <v>152</v>
      </c>
      <c r="U159" s="75">
        <v>8500063183</v>
      </c>
      <c r="V159" s="31">
        <v>5001142508</v>
      </c>
      <c r="W159" s="50">
        <v>45231</v>
      </c>
      <c r="X159" s="34">
        <v>1100</v>
      </c>
      <c r="Y159" s="34">
        <v>11000</v>
      </c>
      <c r="Z159" s="34" t="s">
        <v>1513</v>
      </c>
      <c r="AA159" s="34">
        <f t="shared" si="10"/>
        <v>0</v>
      </c>
      <c r="AB159" s="34">
        <f t="shared" si="11"/>
        <v>0</v>
      </c>
      <c r="AC159" s="29"/>
      <c r="AD159" s="29"/>
      <c r="AE159" s="25"/>
      <c r="AF159" s="25"/>
      <c r="AG159" s="25"/>
      <c r="AH159" s="35"/>
    </row>
    <row r="160" spans="1:34" ht="15.6">
      <c r="A160" s="31"/>
      <c r="B160" s="63"/>
      <c r="C160" s="29"/>
      <c r="D160" s="64"/>
      <c r="E160" s="29">
        <v>10</v>
      </c>
      <c r="F160" s="29">
        <v>334</v>
      </c>
      <c r="G160" s="31">
        <f t="shared" ref="G160:G170" si="12">F160*E160</f>
        <v>3340</v>
      </c>
      <c r="H160" s="67" t="s">
        <v>146</v>
      </c>
      <c r="I160" s="37">
        <v>45226</v>
      </c>
      <c r="J160" s="33">
        <v>334</v>
      </c>
      <c r="K160" s="33">
        <f>8+2</f>
        <v>10</v>
      </c>
      <c r="L160" s="57">
        <v>45226</v>
      </c>
      <c r="M160" s="31">
        <v>3340</v>
      </c>
      <c r="N160" s="31">
        <v>17</v>
      </c>
      <c r="O160" s="31" t="s">
        <v>1847</v>
      </c>
      <c r="P160" s="74" t="s">
        <v>139</v>
      </c>
      <c r="Q160" s="33">
        <v>8500063186</v>
      </c>
      <c r="R160" s="33">
        <v>5001145279</v>
      </c>
      <c r="S160" s="33">
        <v>334</v>
      </c>
      <c r="T160" s="31" t="s">
        <v>152</v>
      </c>
      <c r="U160" s="75">
        <v>8500063185</v>
      </c>
      <c r="V160" s="31">
        <v>5001142509</v>
      </c>
      <c r="W160" s="50">
        <v>45239</v>
      </c>
      <c r="X160" s="34">
        <v>334</v>
      </c>
      <c r="Y160" s="34">
        <v>3340</v>
      </c>
      <c r="Z160" s="34" t="s">
        <v>800</v>
      </c>
      <c r="AA160" s="34">
        <f t="shared" si="10"/>
        <v>0</v>
      </c>
      <c r="AB160" s="34">
        <f t="shared" si="11"/>
        <v>0</v>
      </c>
      <c r="AC160" s="29"/>
      <c r="AD160" s="29"/>
      <c r="AE160" s="25"/>
      <c r="AF160" s="25"/>
      <c r="AG160" s="25"/>
      <c r="AH160" s="35"/>
    </row>
    <row r="161" spans="1:34" ht="46.8">
      <c r="A161" s="31" t="s">
        <v>1610</v>
      </c>
      <c r="B161" s="63">
        <v>6000025927</v>
      </c>
      <c r="C161" s="44" t="s">
        <v>1611</v>
      </c>
      <c r="D161" s="122" t="s">
        <v>1801</v>
      </c>
      <c r="E161" s="29">
        <v>4</v>
      </c>
      <c r="F161" s="29">
        <v>2500</v>
      </c>
      <c r="G161" s="31">
        <f t="shared" si="12"/>
        <v>10000</v>
      </c>
      <c r="H161" s="67" t="s">
        <v>27</v>
      </c>
      <c r="I161" s="37" t="s">
        <v>2022</v>
      </c>
      <c r="J161" s="33">
        <f>2459+41</f>
        <v>2500</v>
      </c>
      <c r="K161" s="33">
        <f>27+34+42</f>
        <v>103</v>
      </c>
      <c r="L161" s="57">
        <v>45223</v>
      </c>
      <c r="M161" s="31">
        <v>10000</v>
      </c>
      <c r="N161" s="31">
        <v>50</v>
      </c>
      <c r="O161" s="31"/>
      <c r="P161" s="74" t="s">
        <v>139</v>
      </c>
      <c r="Q161" s="33">
        <v>8500063272</v>
      </c>
      <c r="R161" s="33">
        <v>5001129882</v>
      </c>
      <c r="S161" s="33">
        <f>2459+41</f>
        <v>2500</v>
      </c>
      <c r="T161" s="31" t="s">
        <v>152</v>
      </c>
      <c r="U161" s="75">
        <v>8500063271</v>
      </c>
      <c r="V161" s="31">
        <v>5001130062</v>
      </c>
      <c r="W161" s="50">
        <v>45248</v>
      </c>
      <c r="X161" s="34">
        <f>350+2150</f>
        <v>2500</v>
      </c>
      <c r="Y161" s="34">
        <f>1400+8600</f>
        <v>10000</v>
      </c>
      <c r="Z161" s="34" t="s">
        <v>2039</v>
      </c>
      <c r="AA161" s="34">
        <f t="shared" si="10"/>
        <v>0</v>
      </c>
      <c r="AB161" s="34">
        <f t="shared" si="11"/>
        <v>0</v>
      </c>
      <c r="AC161" s="29"/>
      <c r="AD161" s="29"/>
      <c r="AE161" s="25"/>
      <c r="AF161" s="25"/>
      <c r="AG161" s="25"/>
      <c r="AH161" s="35"/>
    </row>
    <row r="162" spans="1:34" ht="15.6">
      <c r="A162" s="31"/>
      <c r="B162" s="63"/>
      <c r="C162" s="29"/>
      <c r="D162" s="64"/>
      <c r="E162" s="29">
        <v>4</v>
      </c>
      <c r="F162" s="29">
        <v>2600</v>
      </c>
      <c r="G162" s="31">
        <f t="shared" si="12"/>
        <v>10400</v>
      </c>
      <c r="H162" s="67" t="s">
        <v>37</v>
      </c>
      <c r="I162" s="37">
        <v>45232</v>
      </c>
      <c r="J162" s="33">
        <v>600</v>
      </c>
      <c r="K162" s="33">
        <v>6</v>
      </c>
      <c r="L162" s="57">
        <v>45227</v>
      </c>
      <c r="M162" s="31">
        <v>2400</v>
      </c>
      <c r="N162" s="31"/>
      <c r="O162" s="31"/>
      <c r="P162" s="74" t="s">
        <v>1643</v>
      </c>
      <c r="Q162" s="33">
        <v>8500063272</v>
      </c>
      <c r="R162" s="33">
        <v>5001161444</v>
      </c>
      <c r="S162" s="33">
        <v>600</v>
      </c>
      <c r="T162" s="31" t="s">
        <v>1643</v>
      </c>
      <c r="U162" s="75">
        <v>8500063271</v>
      </c>
      <c r="V162" s="31">
        <v>5001130062</v>
      </c>
      <c r="W162" s="50">
        <v>45238</v>
      </c>
      <c r="X162" s="34">
        <v>600</v>
      </c>
      <c r="Y162" s="34">
        <v>2400</v>
      </c>
      <c r="Z162" s="34" t="s">
        <v>800</v>
      </c>
      <c r="AA162" s="34">
        <f t="shared" si="10"/>
        <v>0</v>
      </c>
      <c r="AB162" s="34">
        <f t="shared" si="11"/>
        <v>0</v>
      </c>
      <c r="AC162" s="29" t="s">
        <v>1830</v>
      </c>
      <c r="AD162" s="29"/>
      <c r="AE162" s="25"/>
      <c r="AF162" s="25"/>
      <c r="AG162" s="25"/>
      <c r="AH162" s="35"/>
    </row>
    <row r="163" spans="1:34" ht="62.4">
      <c r="A163" s="31" t="s">
        <v>1610</v>
      </c>
      <c r="B163" s="63">
        <v>6000025928</v>
      </c>
      <c r="C163" s="44" t="s">
        <v>1611</v>
      </c>
      <c r="D163" s="122" t="s">
        <v>1802</v>
      </c>
      <c r="E163" s="29">
        <v>4</v>
      </c>
      <c r="F163" s="29">
        <v>5100</v>
      </c>
      <c r="G163" s="31">
        <f t="shared" si="12"/>
        <v>20400</v>
      </c>
      <c r="H163" s="67" t="s">
        <v>46</v>
      </c>
      <c r="I163" s="37" t="s">
        <v>1992</v>
      </c>
      <c r="J163" s="33">
        <f>4548+424+128</f>
        <v>5100</v>
      </c>
      <c r="K163" s="33">
        <v>52</v>
      </c>
      <c r="L163" s="57">
        <v>45223</v>
      </c>
      <c r="M163" s="31">
        <v>20400</v>
      </c>
      <c r="N163" s="31">
        <v>102</v>
      </c>
      <c r="O163" s="31"/>
      <c r="P163" s="74" t="s">
        <v>139</v>
      </c>
      <c r="Q163" s="33">
        <v>8500063274</v>
      </c>
      <c r="R163" s="33">
        <v>5001129883</v>
      </c>
      <c r="S163" s="33">
        <f>4548+424+128</f>
        <v>5100</v>
      </c>
      <c r="T163" s="31" t="s">
        <v>152</v>
      </c>
      <c r="U163" s="75">
        <v>8500063273</v>
      </c>
      <c r="V163" s="31">
        <v>5001130093</v>
      </c>
      <c r="W163" s="50" t="s">
        <v>1998</v>
      </c>
      <c r="X163" s="34">
        <f>500+500+2000+2100</f>
        <v>5100</v>
      </c>
      <c r="Y163" s="34">
        <f>2000+2000+8000+8400</f>
        <v>20400</v>
      </c>
      <c r="Z163" s="34" t="s">
        <v>1997</v>
      </c>
      <c r="AA163" s="34">
        <f t="shared" si="10"/>
        <v>0</v>
      </c>
      <c r="AB163" s="34">
        <f t="shared" si="11"/>
        <v>0</v>
      </c>
      <c r="AC163" s="29"/>
      <c r="AD163" s="29"/>
      <c r="AE163" s="25"/>
      <c r="AF163" s="25"/>
      <c r="AG163" s="25"/>
      <c r="AH163" s="35"/>
    </row>
    <row r="164" spans="1:34" ht="31.2">
      <c r="A164" s="31" t="s">
        <v>635</v>
      </c>
      <c r="B164" s="63">
        <v>6000026124</v>
      </c>
      <c r="C164" s="44" t="s">
        <v>1815</v>
      </c>
      <c r="D164" s="122" t="s">
        <v>1816</v>
      </c>
      <c r="E164" s="29">
        <v>10</v>
      </c>
      <c r="F164" s="29">
        <v>864</v>
      </c>
      <c r="G164" s="31">
        <f t="shared" si="12"/>
        <v>8640</v>
      </c>
      <c r="H164" s="67" t="s">
        <v>46</v>
      </c>
      <c r="I164" s="37">
        <v>45220</v>
      </c>
      <c r="J164" s="33">
        <v>864</v>
      </c>
      <c r="K164" s="33">
        <v>10</v>
      </c>
      <c r="L164" s="57">
        <v>45229</v>
      </c>
      <c r="M164" s="31">
        <v>8640</v>
      </c>
      <c r="N164" s="31">
        <v>86</v>
      </c>
      <c r="O164" s="31"/>
      <c r="P164" s="74" t="s">
        <v>139</v>
      </c>
      <c r="Q164" s="33">
        <v>8500063207</v>
      </c>
      <c r="R164" s="33">
        <v>5001124784</v>
      </c>
      <c r="S164" s="33">
        <v>864</v>
      </c>
      <c r="T164" s="31" t="s">
        <v>761</v>
      </c>
      <c r="U164" s="75">
        <v>8500063206</v>
      </c>
      <c r="V164" s="31">
        <v>5001154326</v>
      </c>
      <c r="W164" s="50" t="s">
        <v>1994</v>
      </c>
      <c r="X164" s="34">
        <f>500+364</f>
        <v>864</v>
      </c>
      <c r="Y164" s="34">
        <f>5000+3640</f>
        <v>8640</v>
      </c>
      <c r="Z164" s="34" t="s">
        <v>800</v>
      </c>
      <c r="AA164" s="34">
        <f t="shared" si="10"/>
        <v>0</v>
      </c>
      <c r="AB164" s="34">
        <f t="shared" si="11"/>
        <v>0</v>
      </c>
      <c r="AC164" s="29"/>
      <c r="AD164" s="29"/>
      <c r="AE164" s="25"/>
      <c r="AF164" s="25"/>
      <c r="AG164" s="25"/>
      <c r="AH164" s="35"/>
    </row>
    <row r="165" spans="1:34" ht="15.6">
      <c r="A165" s="31"/>
      <c r="B165" s="63"/>
      <c r="C165" s="44"/>
      <c r="D165" s="122"/>
      <c r="E165" s="29">
        <v>10</v>
      </c>
      <c r="F165" s="29">
        <v>1560</v>
      </c>
      <c r="G165" s="31">
        <f t="shared" si="12"/>
        <v>15600</v>
      </c>
      <c r="H165" s="67" t="s">
        <v>37</v>
      </c>
      <c r="I165" s="37">
        <v>45220</v>
      </c>
      <c r="J165" s="33">
        <v>1560</v>
      </c>
      <c r="K165" s="33">
        <f>17+6</f>
        <v>23</v>
      </c>
      <c r="L165" s="57">
        <v>45229</v>
      </c>
      <c r="M165" s="31">
        <v>15600</v>
      </c>
      <c r="N165" s="31">
        <v>156</v>
      </c>
      <c r="O165" s="31"/>
      <c r="P165" s="74" t="s">
        <v>139</v>
      </c>
      <c r="Q165" s="33">
        <v>8500063207</v>
      </c>
      <c r="R165" s="33">
        <v>5001124784</v>
      </c>
      <c r="S165" s="33">
        <v>1560</v>
      </c>
      <c r="T165" s="31" t="s">
        <v>761</v>
      </c>
      <c r="U165" s="75">
        <v>8500063206</v>
      </c>
      <c r="V165" s="31">
        <v>5001154326</v>
      </c>
      <c r="W165" s="50">
        <v>45234</v>
      </c>
      <c r="X165" s="34">
        <v>1560</v>
      </c>
      <c r="Y165" s="34">
        <v>15600</v>
      </c>
      <c r="Z165" s="34" t="s">
        <v>1460</v>
      </c>
      <c r="AA165" s="34">
        <f t="shared" si="10"/>
        <v>0</v>
      </c>
      <c r="AB165" s="34">
        <f t="shared" si="11"/>
        <v>0</v>
      </c>
      <c r="AC165" s="29"/>
      <c r="AD165" s="29"/>
      <c r="AE165" s="25"/>
      <c r="AF165" s="25"/>
      <c r="AG165" s="25"/>
      <c r="AH165" s="35"/>
    </row>
    <row r="166" spans="1:34" ht="15.6">
      <c r="A166" s="31"/>
      <c r="B166" s="63"/>
      <c r="C166" s="44"/>
      <c r="D166" s="122"/>
      <c r="E166" s="29">
        <v>10</v>
      </c>
      <c r="F166" s="29">
        <v>1536</v>
      </c>
      <c r="G166" s="31">
        <f t="shared" si="12"/>
        <v>15360</v>
      </c>
      <c r="H166" s="67" t="s">
        <v>146</v>
      </c>
      <c r="I166" s="37">
        <v>45222</v>
      </c>
      <c r="J166" s="33">
        <v>1536</v>
      </c>
      <c r="K166" s="33">
        <v>18</v>
      </c>
      <c r="L166" s="57">
        <v>45229</v>
      </c>
      <c r="M166" s="31">
        <v>15360</v>
      </c>
      <c r="N166" s="31">
        <v>154</v>
      </c>
      <c r="O166" s="31"/>
      <c r="P166" s="74" t="s">
        <v>139</v>
      </c>
      <c r="Q166" s="33">
        <v>8500063207</v>
      </c>
      <c r="R166" s="33">
        <v>5001124784</v>
      </c>
      <c r="S166" s="33">
        <v>1536</v>
      </c>
      <c r="T166" s="31" t="s">
        <v>761</v>
      </c>
      <c r="U166" s="75">
        <v>8500063206</v>
      </c>
      <c r="V166" s="31">
        <v>5001154326</v>
      </c>
      <c r="W166" s="50">
        <v>45234</v>
      </c>
      <c r="X166" s="34">
        <v>1536</v>
      </c>
      <c r="Y166" s="34">
        <v>15360</v>
      </c>
      <c r="Z166" s="34" t="s">
        <v>1619</v>
      </c>
      <c r="AA166" s="34">
        <f t="shared" si="10"/>
        <v>0</v>
      </c>
      <c r="AB166" s="34">
        <f t="shared" si="11"/>
        <v>0</v>
      </c>
      <c r="AC166" s="29"/>
      <c r="AD166" s="29"/>
      <c r="AE166" s="25"/>
      <c r="AF166" s="25"/>
      <c r="AG166" s="25"/>
      <c r="AH166" s="35"/>
    </row>
    <row r="167" spans="1:34" ht="31.2">
      <c r="A167" s="31" t="s">
        <v>707</v>
      </c>
      <c r="B167" s="63">
        <v>2000001200</v>
      </c>
      <c r="C167" s="44" t="s">
        <v>1821</v>
      </c>
      <c r="D167" s="176">
        <v>2000001200</v>
      </c>
      <c r="E167" s="29">
        <v>10</v>
      </c>
      <c r="F167" s="29">
        <v>994</v>
      </c>
      <c r="G167" s="31">
        <f t="shared" si="12"/>
        <v>9940</v>
      </c>
      <c r="H167" s="67" t="s">
        <v>27</v>
      </c>
      <c r="I167" s="37" t="s">
        <v>1991</v>
      </c>
      <c r="J167" s="33">
        <f>889+105</f>
        <v>994</v>
      </c>
      <c r="K167" s="33">
        <f>20+17</f>
        <v>37</v>
      </c>
      <c r="L167" s="57">
        <v>45227</v>
      </c>
      <c r="M167" s="31">
        <v>9940</v>
      </c>
      <c r="N167" s="31">
        <v>50</v>
      </c>
      <c r="O167" s="31" t="s">
        <v>1784</v>
      </c>
      <c r="P167" s="74" t="s">
        <v>139</v>
      </c>
      <c r="Q167" s="33">
        <v>8500063245</v>
      </c>
      <c r="R167" s="33">
        <v>5001128670</v>
      </c>
      <c r="S167" s="33">
        <f>889+105</f>
        <v>994</v>
      </c>
      <c r="T167" s="31" t="s">
        <v>152</v>
      </c>
      <c r="U167" s="75">
        <v>8500063244</v>
      </c>
      <c r="V167" s="31">
        <v>5001146517</v>
      </c>
      <c r="W167" s="50" t="s">
        <v>2020</v>
      </c>
      <c r="X167" s="34">
        <f>400+594</f>
        <v>994</v>
      </c>
      <c r="Y167" s="34">
        <f>4000+5940</f>
        <v>9940</v>
      </c>
      <c r="Z167" s="34" t="s">
        <v>1785</v>
      </c>
      <c r="AA167" s="34">
        <f t="shared" si="10"/>
        <v>0</v>
      </c>
      <c r="AB167" s="34">
        <f t="shared" si="11"/>
        <v>0</v>
      </c>
      <c r="AC167" s="29"/>
      <c r="AD167" s="29"/>
      <c r="AE167" s="25"/>
      <c r="AF167" s="25"/>
      <c r="AG167" s="25"/>
      <c r="AH167" s="35"/>
    </row>
    <row r="168" spans="1:34" ht="15.6">
      <c r="A168" s="31"/>
      <c r="B168" s="63"/>
      <c r="C168" s="44"/>
      <c r="D168" s="122" t="s">
        <v>244</v>
      </c>
      <c r="E168" s="29">
        <v>10</v>
      </c>
      <c r="F168" s="29">
        <v>20</v>
      </c>
      <c r="G168" s="31">
        <f t="shared" si="12"/>
        <v>200</v>
      </c>
      <c r="H168" s="67" t="s">
        <v>27</v>
      </c>
      <c r="I168" s="37">
        <v>45222</v>
      </c>
      <c r="J168" s="33">
        <v>20</v>
      </c>
      <c r="K168" s="33">
        <v>1</v>
      </c>
      <c r="L168" s="57">
        <v>45227</v>
      </c>
      <c r="M168" s="31">
        <v>200</v>
      </c>
      <c r="N168" s="31">
        <v>1</v>
      </c>
      <c r="O168" s="31" t="s">
        <v>1699</v>
      </c>
      <c r="P168" s="74" t="s">
        <v>139</v>
      </c>
      <c r="Q168" s="33">
        <v>8500063247</v>
      </c>
      <c r="R168" s="33">
        <v>5001128716</v>
      </c>
      <c r="S168" s="33">
        <v>20</v>
      </c>
      <c r="T168" s="31" t="s">
        <v>152</v>
      </c>
      <c r="U168" s="75">
        <v>8500063246</v>
      </c>
      <c r="V168" s="31">
        <v>5001146519</v>
      </c>
      <c r="W168" s="50">
        <v>45264</v>
      </c>
      <c r="X168" s="34">
        <v>20</v>
      </c>
      <c r="Y168" s="34">
        <v>200</v>
      </c>
      <c r="Z168" s="34" t="s">
        <v>800</v>
      </c>
      <c r="AA168" s="34">
        <f t="shared" si="10"/>
        <v>0</v>
      </c>
      <c r="AB168" s="34">
        <f t="shared" si="11"/>
        <v>0</v>
      </c>
      <c r="AC168" s="29"/>
      <c r="AD168" s="29"/>
      <c r="AE168" s="25"/>
      <c r="AF168" s="25"/>
      <c r="AG168" s="25"/>
      <c r="AH168" s="35"/>
    </row>
    <row r="169" spans="1:34" ht="31.2">
      <c r="A169" s="31" t="s">
        <v>635</v>
      </c>
      <c r="B169" s="63">
        <v>6000026125</v>
      </c>
      <c r="C169" s="44" t="s">
        <v>1815</v>
      </c>
      <c r="D169" s="117" t="s">
        <v>1825</v>
      </c>
      <c r="E169" s="29">
        <v>10</v>
      </c>
      <c r="F169" s="29">
        <v>576</v>
      </c>
      <c r="G169" s="31">
        <f t="shared" si="12"/>
        <v>5760</v>
      </c>
      <c r="H169" s="67" t="s">
        <v>46</v>
      </c>
      <c r="I169" s="37" t="s">
        <v>1854</v>
      </c>
      <c r="J169" s="33">
        <f>343+233</f>
        <v>576</v>
      </c>
      <c r="K169" s="33">
        <f>2+7</f>
        <v>9</v>
      </c>
      <c r="L169" s="57">
        <v>45229</v>
      </c>
      <c r="M169" s="31">
        <v>5760</v>
      </c>
      <c r="N169" s="31">
        <v>58</v>
      </c>
      <c r="O169" s="31" t="s">
        <v>1374</v>
      </c>
      <c r="P169" s="74" t="s">
        <v>139</v>
      </c>
      <c r="Q169" s="33">
        <v>8500063209</v>
      </c>
      <c r="R169" s="33">
        <v>5001129880</v>
      </c>
      <c r="S169" s="33">
        <f>343+233</f>
        <v>576</v>
      </c>
      <c r="T169" s="31" t="s">
        <v>761</v>
      </c>
      <c r="U169" s="75">
        <v>8500063208</v>
      </c>
      <c r="V169" s="31">
        <v>5001154321</v>
      </c>
      <c r="W169" s="50">
        <v>45247</v>
      </c>
      <c r="X169" s="34">
        <v>576</v>
      </c>
      <c r="Y169" s="34">
        <v>5760</v>
      </c>
      <c r="Z169" s="34" t="s">
        <v>800</v>
      </c>
      <c r="AA169" s="34">
        <f t="shared" si="10"/>
        <v>0</v>
      </c>
      <c r="AB169" s="34">
        <f t="shared" si="11"/>
        <v>0</v>
      </c>
      <c r="AC169" s="29"/>
      <c r="AD169" s="29"/>
      <c r="AE169" s="25"/>
      <c r="AF169" s="25"/>
      <c r="AG169" s="25"/>
      <c r="AH169" s="35"/>
    </row>
    <row r="170" spans="1:34" ht="31.2">
      <c r="A170" s="31"/>
      <c r="B170" s="63"/>
      <c r="C170" s="29"/>
      <c r="D170" s="117"/>
      <c r="E170" s="29">
        <v>10</v>
      </c>
      <c r="F170" s="29">
        <v>1176</v>
      </c>
      <c r="G170" s="31">
        <f t="shared" si="12"/>
        <v>11760</v>
      </c>
      <c r="H170" s="67" t="s">
        <v>37</v>
      </c>
      <c r="I170" s="37">
        <v>45223</v>
      </c>
      <c r="J170" s="33">
        <v>1176</v>
      </c>
      <c r="K170" s="33">
        <v>13</v>
      </c>
      <c r="L170" s="57">
        <v>45229</v>
      </c>
      <c r="M170" s="31">
        <v>11760</v>
      </c>
      <c r="N170" s="31">
        <v>118</v>
      </c>
      <c r="O170" s="31" t="s">
        <v>1848</v>
      </c>
      <c r="P170" s="74" t="s">
        <v>139</v>
      </c>
      <c r="Q170" s="33">
        <v>8500063209</v>
      </c>
      <c r="R170" s="33">
        <v>5001129880</v>
      </c>
      <c r="S170" s="33">
        <v>1176</v>
      </c>
      <c r="T170" s="31" t="s">
        <v>761</v>
      </c>
      <c r="U170" s="75">
        <v>8500063208</v>
      </c>
      <c r="V170" s="31">
        <v>5001154321</v>
      </c>
      <c r="W170" s="50" t="s">
        <v>2001</v>
      </c>
      <c r="X170" s="34">
        <f>500+150+526</f>
        <v>1176</v>
      </c>
      <c r="Y170" s="34">
        <f>5000+1500+5260</f>
        <v>11760</v>
      </c>
      <c r="Z170" s="34" t="s">
        <v>2002</v>
      </c>
      <c r="AA170" s="34">
        <f t="shared" si="10"/>
        <v>0</v>
      </c>
      <c r="AB170" s="34">
        <f t="shared" si="11"/>
        <v>0</v>
      </c>
      <c r="AC170" s="29"/>
      <c r="AD170" s="29"/>
      <c r="AE170" s="25"/>
      <c r="AF170" s="25"/>
      <c r="AG170" s="25"/>
      <c r="AH170" s="35"/>
    </row>
    <row r="171" spans="1:34" ht="34.5" customHeight="1">
      <c r="A171" s="31"/>
      <c r="B171" s="63"/>
      <c r="C171" s="29"/>
      <c r="D171" s="64"/>
      <c r="E171" s="29">
        <v>10</v>
      </c>
      <c r="F171" s="29">
        <v>2208</v>
      </c>
      <c r="G171" s="31">
        <f t="shared" ref="G171:G241" si="13">F171*E171</f>
        <v>22080</v>
      </c>
      <c r="H171" s="67" t="s">
        <v>146</v>
      </c>
      <c r="I171" s="37" t="s">
        <v>2000</v>
      </c>
      <c r="J171" s="33">
        <f>2091+100+17</f>
        <v>2208</v>
      </c>
      <c r="K171" s="33">
        <v>24</v>
      </c>
      <c r="L171" s="57">
        <v>45229</v>
      </c>
      <c r="M171" s="31">
        <v>22080</v>
      </c>
      <c r="N171" s="31">
        <v>220</v>
      </c>
      <c r="O171" s="31" t="s">
        <v>1848</v>
      </c>
      <c r="P171" s="74" t="s">
        <v>139</v>
      </c>
      <c r="Q171" s="33">
        <v>8500063209</v>
      </c>
      <c r="R171" s="33">
        <v>5001129880</v>
      </c>
      <c r="S171" s="33">
        <f>2091+100+17</f>
        <v>2208</v>
      </c>
      <c r="T171" s="31" t="s">
        <v>761</v>
      </c>
      <c r="U171" s="75">
        <v>8500063208</v>
      </c>
      <c r="V171" s="31">
        <v>5001154321</v>
      </c>
      <c r="W171" s="50" t="s">
        <v>2001</v>
      </c>
      <c r="X171" s="34">
        <f>500+300+1408</f>
        <v>2208</v>
      </c>
      <c r="Y171" s="34">
        <f>5000+3000+14080</f>
        <v>22080</v>
      </c>
      <c r="Z171" s="34" t="s">
        <v>1999</v>
      </c>
      <c r="AA171" s="34">
        <f t="shared" si="10"/>
        <v>0</v>
      </c>
      <c r="AB171" s="34">
        <f t="shared" si="11"/>
        <v>0</v>
      </c>
      <c r="AC171" s="29"/>
      <c r="AD171" s="29"/>
      <c r="AE171" s="25"/>
      <c r="AF171" s="25"/>
      <c r="AG171" s="25"/>
      <c r="AH171" s="35"/>
    </row>
    <row r="172" spans="1:34" ht="15.6">
      <c r="A172" s="31" t="s">
        <v>715</v>
      </c>
      <c r="B172" s="63">
        <v>6000025957</v>
      </c>
      <c r="C172" s="29" t="s">
        <v>1833</v>
      </c>
      <c r="D172" s="84">
        <v>6000025957</v>
      </c>
      <c r="E172" s="29">
        <v>10</v>
      </c>
      <c r="F172" s="29">
        <v>922</v>
      </c>
      <c r="G172" s="31">
        <f t="shared" si="13"/>
        <v>9220</v>
      </c>
      <c r="H172" s="67" t="s">
        <v>46</v>
      </c>
      <c r="I172" s="37">
        <v>45229</v>
      </c>
      <c r="J172" s="33">
        <v>922</v>
      </c>
      <c r="K172" s="33">
        <v>8</v>
      </c>
      <c r="L172" s="57">
        <v>45225</v>
      </c>
      <c r="M172" s="31">
        <v>9220</v>
      </c>
      <c r="N172" s="31">
        <v>92</v>
      </c>
      <c r="O172" s="31" t="s">
        <v>1791</v>
      </c>
      <c r="P172" s="74" t="s">
        <v>924</v>
      </c>
      <c r="Q172" s="33">
        <v>8500062752</v>
      </c>
      <c r="R172" s="33">
        <v>5001153056</v>
      </c>
      <c r="S172" s="33">
        <v>922</v>
      </c>
      <c r="T172" s="31" t="s">
        <v>761</v>
      </c>
      <c r="U172" s="75">
        <v>8500062751</v>
      </c>
      <c r="V172" s="31">
        <v>5001141207</v>
      </c>
      <c r="W172" s="50">
        <v>45247</v>
      </c>
      <c r="X172" s="34">
        <v>922</v>
      </c>
      <c r="Y172" s="34">
        <v>9220</v>
      </c>
      <c r="Z172" s="34" t="s">
        <v>1988</v>
      </c>
      <c r="AA172" s="34">
        <f t="shared" si="10"/>
        <v>0</v>
      </c>
      <c r="AB172" s="34">
        <f t="shared" si="11"/>
        <v>0</v>
      </c>
      <c r="AC172" s="29"/>
      <c r="AD172" s="29"/>
      <c r="AE172" s="25"/>
      <c r="AF172" s="25"/>
      <c r="AG172" s="25"/>
      <c r="AH172" s="35"/>
    </row>
    <row r="173" spans="1:34" ht="62.4">
      <c r="A173" s="31"/>
      <c r="B173" s="2"/>
      <c r="C173" s="2"/>
      <c r="D173" s="117"/>
      <c r="E173" s="29">
        <v>10</v>
      </c>
      <c r="F173" s="29">
        <v>1458</v>
      </c>
      <c r="G173" s="31">
        <f t="shared" si="13"/>
        <v>14580</v>
      </c>
      <c r="H173" s="67" t="s">
        <v>37</v>
      </c>
      <c r="I173" s="37">
        <v>45229</v>
      </c>
      <c r="J173" s="33">
        <v>1458</v>
      </c>
      <c r="K173" s="33">
        <v>12</v>
      </c>
      <c r="L173" s="57">
        <v>45224</v>
      </c>
      <c r="M173" s="31">
        <v>14580</v>
      </c>
      <c r="N173" s="31">
        <v>146</v>
      </c>
      <c r="O173" s="31" t="s">
        <v>1439</v>
      </c>
      <c r="P173" s="74" t="s">
        <v>924</v>
      </c>
      <c r="Q173" s="33">
        <v>8500062752</v>
      </c>
      <c r="R173" s="33">
        <v>5001153056</v>
      </c>
      <c r="S173" s="33">
        <v>1458</v>
      </c>
      <c r="T173" s="31" t="s">
        <v>761</v>
      </c>
      <c r="U173" s="75">
        <v>8500062751</v>
      </c>
      <c r="V173" s="31">
        <v>5001134409</v>
      </c>
      <c r="W173" s="50" t="s">
        <v>2025</v>
      </c>
      <c r="X173" s="34">
        <f>300+200+520-260+698</f>
        <v>1458</v>
      </c>
      <c r="Y173" s="34">
        <f>3000+2000+5200-2600+6980</f>
        <v>14580</v>
      </c>
      <c r="Z173" s="34" t="s">
        <v>2005</v>
      </c>
      <c r="AA173" s="34">
        <f t="shared" si="10"/>
        <v>0</v>
      </c>
      <c r="AB173" s="34">
        <f t="shared" si="11"/>
        <v>0</v>
      </c>
      <c r="AC173" s="29" t="s">
        <v>2024</v>
      </c>
      <c r="AD173" s="29"/>
      <c r="AE173" s="25"/>
      <c r="AF173" s="25"/>
      <c r="AG173" s="25"/>
      <c r="AH173" s="35"/>
    </row>
    <row r="174" spans="1:34" ht="15.6">
      <c r="A174" s="31"/>
      <c r="B174" s="2"/>
      <c r="C174" s="2"/>
      <c r="D174" s="117"/>
      <c r="E174" s="29"/>
      <c r="F174" s="29"/>
      <c r="G174" s="31"/>
      <c r="H174" s="67" t="s">
        <v>1506</v>
      </c>
      <c r="I174" s="37"/>
      <c r="J174" s="33"/>
      <c r="K174" s="33">
        <v>2400</v>
      </c>
      <c r="L174" s="57"/>
      <c r="M174" s="31"/>
      <c r="N174" s="31"/>
      <c r="O174" s="31"/>
      <c r="P174" s="74" t="s">
        <v>924</v>
      </c>
      <c r="Q174" s="33"/>
      <c r="R174" s="33"/>
      <c r="S174" s="29"/>
      <c r="T174" s="31"/>
      <c r="U174" s="75"/>
      <c r="V174" s="31"/>
      <c r="W174" s="73"/>
      <c r="X174" s="34"/>
      <c r="Y174" s="34"/>
      <c r="Z174" s="34"/>
      <c r="AA174" s="34">
        <f>J174-X174</f>
        <v>0</v>
      </c>
      <c r="AB174" s="34">
        <f>M174-Y174</f>
        <v>0</v>
      </c>
      <c r="AC174" s="29"/>
      <c r="AD174" s="29"/>
      <c r="AE174" s="25"/>
      <c r="AF174" s="25"/>
      <c r="AG174" s="25"/>
      <c r="AH174" s="35"/>
    </row>
    <row r="175" spans="1:34" ht="26.4">
      <c r="A175" s="31" t="s">
        <v>645</v>
      </c>
      <c r="B175" s="63">
        <v>6000026246</v>
      </c>
      <c r="C175" s="2" t="s">
        <v>1851</v>
      </c>
      <c r="D175" s="117" t="s">
        <v>1850</v>
      </c>
      <c r="E175" s="29">
        <v>10</v>
      </c>
      <c r="F175" s="29">
        <v>455</v>
      </c>
      <c r="G175" s="31">
        <f t="shared" si="13"/>
        <v>4550</v>
      </c>
      <c r="H175" s="67" t="s">
        <v>27</v>
      </c>
      <c r="I175" s="37">
        <v>45226</v>
      </c>
      <c r="J175" s="33">
        <f>240+215</f>
        <v>455</v>
      </c>
      <c r="K175" s="33">
        <v>5</v>
      </c>
      <c r="L175" s="57">
        <v>45230</v>
      </c>
      <c r="M175" s="31">
        <v>4550</v>
      </c>
      <c r="N175" s="31">
        <v>23</v>
      </c>
      <c r="O175" s="31" t="s">
        <v>1388</v>
      </c>
      <c r="P175" s="74" t="s">
        <v>139</v>
      </c>
      <c r="Q175" s="33">
        <v>8500063303</v>
      </c>
      <c r="R175" s="33">
        <v>5001145131</v>
      </c>
      <c r="S175" s="33">
        <f>240+215</f>
        <v>455</v>
      </c>
      <c r="T175" s="31" t="s">
        <v>152</v>
      </c>
      <c r="U175" s="75">
        <v>8500063302</v>
      </c>
      <c r="V175" s="31">
        <v>5001161489</v>
      </c>
      <c r="W175" s="50">
        <v>45240</v>
      </c>
      <c r="X175" s="34">
        <v>455</v>
      </c>
      <c r="Y175" s="34">
        <v>4550</v>
      </c>
      <c r="Z175" s="34" t="s">
        <v>1980</v>
      </c>
      <c r="AA175" s="34">
        <f t="shared" si="10"/>
        <v>0</v>
      </c>
      <c r="AB175" s="34">
        <f t="shared" si="11"/>
        <v>0</v>
      </c>
      <c r="AC175" s="29" t="s">
        <v>1982</v>
      </c>
      <c r="AD175" s="29"/>
      <c r="AE175" s="25"/>
      <c r="AF175" s="25"/>
      <c r="AG175" s="25"/>
      <c r="AH175" s="35"/>
    </row>
    <row r="176" spans="1:34" ht="31.2">
      <c r="A176" s="31"/>
      <c r="B176" s="63"/>
      <c r="C176" s="86"/>
      <c r="D176" s="84"/>
      <c r="E176" s="29">
        <v>10</v>
      </c>
      <c r="F176" s="29">
        <v>1729</v>
      </c>
      <c r="G176" s="31">
        <f t="shared" si="13"/>
        <v>17290</v>
      </c>
      <c r="H176" s="67" t="s">
        <v>46</v>
      </c>
      <c r="I176" s="37" t="s">
        <v>1868</v>
      </c>
      <c r="J176" s="33">
        <f>1609+120</f>
        <v>1729</v>
      </c>
      <c r="K176" s="33">
        <v>18</v>
      </c>
      <c r="L176" s="57">
        <v>45229</v>
      </c>
      <c r="M176" s="31">
        <v>17290</v>
      </c>
      <c r="N176" s="31">
        <v>87</v>
      </c>
      <c r="O176" s="31" t="s">
        <v>1754</v>
      </c>
      <c r="P176" s="74" t="s">
        <v>139</v>
      </c>
      <c r="Q176" s="33">
        <v>8500063303</v>
      </c>
      <c r="R176" s="33">
        <v>5001152826</v>
      </c>
      <c r="S176" s="33">
        <f>1609+120</f>
        <v>1729</v>
      </c>
      <c r="T176" s="31" t="s">
        <v>152</v>
      </c>
      <c r="U176" s="75">
        <v>8500063302</v>
      </c>
      <c r="V176" s="31">
        <v>5001154254</v>
      </c>
      <c r="W176" s="50" t="s">
        <v>2046</v>
      </c>
      <c r="X176" s="34">
        <f>790+939</f>
        <v>1729</v>
      </c>
      <c r="Y176" s="34">
        <f>7900+9390</f>
        <v>17290</v>
      </c>
      <c r="Z176" s="34" t="s">
        <v>2047</v>
      </c>
      <c r="AA176" s="34">
        <f t="shared" si="10"/>
        <v>0</v>
      </c>
      <c r="AB176" s="34">
        <f t="shared" si="11"/>
        <v>0</v>
      </c>
      <c r="AC176" s="29" t="s">
        <v>1983</v>
      </c>
      <c r="AD176" s="29"/>
      <c r="AE176" s="25"/>
      <c r="AF176" s="25"/>
      <c r="AG176" s="25"/>
      <c r="AH176" s="35"/>
    </row>
    <row r="177" spans="1:34" ht="15.6">
      <c r="A177" s="31"/>
      <c r="B177" s="63"/>
      <c r="C177" s="29"/>
      <c r="D177" s="64"/>
      <c r="E177" s="29">
        <v>10</v>
      </c>
      <c r="F177" s="29">
        <v>1488</v>
      </c>
      <c r="G177" s="31">
        <f t="shared" si="13"/>
        <v>14880</v>
      </c>
      <c r="H177" s="67" t="s">
        <v>37</v>
      </c>
      <c r="I177" s="37">
        <v>45226</v>
      </c>
      <c r="J177" s="33">
        <v>1488</v>
      </c>
      <c r="K177" s="33">
        <f>15+5</f>
        <v>20</v>
      </c>
      <c r="L177" s="57">
        <v>45230</v>
      </c>
      <c r="M177" s="31">
        <v>14880</v>
      </c>
      <c r="N177" s="31">
        <v>75</v>
      </c>
      <c r="O177" s="31"/>
      <c r="P177" s="74" t="s">
        <v>139</v>
      </c>
      <c r="Q177" s="33">
        <v>8500063303</v>
      </c>
      <c r="R177" s="33">
        <v>5001145296</v>
      </c>
      <c r="S177" s="33">
        <v>1488</v>
      </c>
      <c r="T177" s="31" t="s">
        <v>152</v>
      </c>
      <c r="U177" s="75">
        <v>8500063302</v>
      </c>
      <c r="V177" s="31">
        <v>5001161489</v>
      </c>
      <c r="W177" s="50">
        <v>45248</v>
      </c>
      <c r="X177" s="34">
        <v>1488</v>
      </c>
      <c r="Y177" s="34">
        <v>14880</v>
      </c>
      <c r="Z177" s="34" t="s">
        <v>2006</v>
      </c>
      <c r="AA177" s="34">
        <f t="shared" si="10"/>
        <v>0</v>
      </c>
      <c r="AB177" s="34">
        <f t="shared" si="11"/>
        <v>0</v>
      </c>
      <c r="AC177" s="29"/>
      <c r="AD177" s="29"/>
      <c r="AE177" s="25"/>
      <c r="AF177" s="25"/>
      <c r="AG177" s="25"/>
      <c r="AH177" s="35"/>
    </row>
    <row r="178" spans="1:34" ht="31.2">
      <c r="A178" s="31"/>
      <c r="B178" s="63"/>
      <c r="C178" s="29"/>
      <c r="D178" s="64"/>
      <c r="E178" s="29">
        <v>10</v>
      </c>
      <c r="F178" s="29">
        <v>728</v>
      </c>
      <c r="G178" s="31">
        <f t="shared" si="13"/>
        <v>7280</v>
      </c>
      <c r="H178" s="67" t="s">
        <v>146</v>
      </c>
      <c r="I178" s="37">
        <v>45226</v>
      </c>
      <c r="J178" s="33">
        <v>728</v>
      </c>
      <c r="K178" s="33">
        <f>9+3</f>
        <v>12</v>
      </c>
      <c r="L178" s="57">
        <v>45230</v>
      </c>
      <c r="M178" s="31">
        <v>7280</v>
      </c>
      <c r="N178" s="31">
        <v>37</v>
      </c>
      <c r="O178" s="31" t="s">
        <v>1784</v>
      </c>
      <c r="P178" s="74" t="s">
        <v>139</v>
      </c>
      <c r="Q178" s="33">
        <v>8500063303</v>
      </c>
      <c r="R178" s="33">
        <v>5001145131</v>
      </c>
      <c r="S178" s="33">
        <v>728</v>
      </c>
      <c r="T178" s="31" t="s">
        <v>152</v>
      </c>
      <c r="U178" s="75">
        <v>8500063302</v>
      </c>
      <c r="V178" s="31">
        <v>5001161489</v>
      </c>
      <c r="W178" s="50" t="s">
        <v>2084</v>
      </c>
      <c r="X178" s="34">
        <f>300+428</f>
        <v>728</v>
      </c>
      <c r="Y178" s="34">
        <f>3000+4280</f>
        <v>7280</v>
      </c>
      <c r="Z178" s="34" t="s">
        <v>2085</v>
      </c>
      <c r="AA178" s="34">
        <f t="shared" si="10"/>
        <v>0</v>
      </c>
      <c r="AB178" s="34">
        <f t="shared" si="11"/>
        <v>0</v>
      </c>
      <c r="AC178" s="29" t="s">
        <v>1984</v>
      </c>
      <c r="AD178" s="29"/>
      <c r="AE178" s="25"/>
      <c r="AF178" s="25"/>
      <c r="AG178" s="25"/>
      <c r="AH178" s="35"/>
    </row>
    <row r="179" spans="1:34" ht="26.4">
      <c r="A179" s="31" t="s">
        <v>645</v>
      </c>
      <c r="B179" s="63">
        <v>6000026247</v>
      </c>
      <c r="C179" s="2" t="s">
        <v>1851</v>
      </c>
      <c r="D179" s="117" t="s">
        <v>1852</v>
      </c>
      <c r="E179" s="29">
        <v>10</v>
      </c>
      <c r="F179" s="29">
        <v>455</v>
      </c>
      <c r="G179" s="31">
        <f t="shared" si="13"/>
        <v>4550</v>
      </c>
      <c r="H179" s="67" t="s">
        <v>27</v>
      </c>
      <c r="I179" s="37">
        <v>45226</v>
      </c>
      <c r="J179" s="33">
        <f>453+2</f>
        <v>455</v>
      </c>
      <c r="K179" s="33">
        <v>7</v>
      </c>
      <c r="L179" s="57">
        <v>45230</v>
      </c>
      <c r="M179" s="31">
        <v>4550</v>
      </c>
      <c r="N179" s="31">
        <v>23</v>
      </c>
      <c r="O179" s="31" t="s">
        <v>1348</v>
      </c>
      <c r="P179" s="74" t="s">
        <v>139</v>
      </c>
      <c r="Q179" s="33">
        <v>8500063301</v>
      </c>
      <c r="R179" s="33">
        <v>5001145134</v>
      </c>
      <c r="S179" s="33">
        <f>453+2</f>
        <v>455</v>
      </c>
      <c r="T179" s="31" t="s">
        <v>152</v>
      </c>
      <c r="U179" s="75">
        <v>8500063300</v>
      </c>
      <c r="V179" s="31">
        <v>5001161514</v>
      </c>
      <c r="W179" s="50">
        <v>45240</v>
      </c>
      <c r="X179" s="34">
        <v>455</v>
      </c>
      <c r="Y179" s="34">
        <v>4550</v>
      </c>
      <c r="Z179" s="34" t="s">
        <v>1980</v>
      </c>
      <c r="AA179" s="34">
        <f t="shared" si="10"/>
        <v>0</v>
      </c>
      <c r="AB179" s="34">
        <f t="shared" si="11"/>
        <v>0</v>
      </c>
      <c r="AC179" s="29" t="s">
        <v>1985</v>
      </c>
      <c r="AD179" s="29"/>
      <c r="AE179" s="25"/>
      <c r="AF179" s="25"/>
      <c r="AG179" s="25"/>
      <c r="AH179" s="35"/>
    </row>
    <row r="180" spans="1:34" ht="15.6">
      <c r="A180" s="31"/>
      <c r="B180" s="63"/>
      <c r="C180" s="86"/>
      <c r="D180" s="84"/>
      <c r="E180" s="29">
        <v>10</v>
      </c>
      <c r="F180" s="29">
        <v>1729</v>
      </c>
      <c r="G180" s="31">
        <f t="shared" si="13"/>
        <v>17290</v>
      </c>
      <c r="H180" s="67" t="s">
        <v>46</v>
      </c>
      <c r="I180" s="37">
        <v>45227</v>
      </c>
      <c r="J180" s="33">
        <v>1729</v>
      </c>
      <c r="K180" s="33">
        <f>18+10</f>
        <v>28</v>
      </c>
      <c r="L180" s="57">
        <v>45229</v>
      </c>
      <c r="M180" s="31">
        <v>17290</v>
      </c>
      <c r="N180" s="31">
        <v>87</v>
      </c>
      <c r="O180" s="31" t="s">
        <v>1784</v>
      </c>
      <c r="P180" s="74" t="s">
        <v>139</v>
      </c>
      <c r="Q180" s="33">
        <v>8500063301</v>
      </c>
      <c r="R180" s="33">
        <v>5001152827</v>
      </c>
      <c r="S180" s="33">
        <v>1729</v>
      </c>
      <c r="T180" s="31" t="s">
        <v>152</v>
      </c>
      <c r="U180" s="75">
        <v>8500063300</v>
      </c>
      <c r="V180" s="31">
        <v>5001154253</v>
      </c>
      <c r="W180" s="50">
        <v>45243</v>
      </c>
      <c r="X180" s="34">
        <v>1729</v>
      </c>
      <c r="Y180" s="34">
        <v>17290</v>
      </c>
      <c r="Z180" s="34" t="s">
        <v>1988</v>
      </c>
      <c r="AA180" s="34">
        <f t="shared" si="10"/>
        <v>0</v>
      </c>
      <c r="AB180" s="34">
        <f t="shared" si="11"/>
        <v>0</v>
      </c>
      <c r="AC180" s="29"/>
      <c r="AD180" s="29"/>
      <c r="AE180" s="25"/>
      <c r="AF180" s="25"/>
      <c r="AG180" s="25"/>
      <c r="AH180" s="35"/>
    </row>
    <row r="181" spans="1:34" ht="21" customHeight="1">
      <c r="A181" s="31"/>
      <c r="B181" s="63"/>
      <c r="C181" s="29"/>
      <c r="D181" s="64"/>
      <c r="E181" s="29">
        <v>10</v>
      </c>
      <c r="F181" s="29">
        <v>1488</v>
      </c>
      <c r="G181" s="31">
        <f t="shared" si="13"/>
        <v>14880</v>
      </c>
      <c r="H181" s="67" t="s">
        <v>37</v>
      </c>
      <c r="I181" s="37">
        <v>45226</v>
      </c>
      <c r="J181" s="33">
        <v>1488</v>
      </c>
      <c r="K181" s="33">
        <f>16+4</f>
        <v>20</v>
      </c>
      <c r="L181" s="57">
        <v>45230</v>
      </c>
      <c r="M181" s="31">
        <v>14880</v>
      </c>
      <c r="N181" s="31">
        <v>75</v>
      </c>
      <c r="O181" s="31"/>
      <c r="P181" s="74" t="s">
        <v>139</v>
      </c>
      <c r="Q181" s="33">
        <v>8500063301</v>
      </c>
      <c r="R181" s="33">
        <v>5001145132</v>
      </c>
      <c r="S181" s="33">
        <v>1488</v>
      </c>
      <c r="T181" s="31" t="s">
        <v>152</v>
      </c>
      <c r="U181" s="75">
        <v>8500063300</v>
      </c>
      <c r="V181" s="31">
        <v>5001161514</v>
      </c>
      <c r="W181" s="50">
        <v>45250</v>
      </c>
      <c r="X181" s="34">
        <v>1488</v>
      </c>
      <c r="Y181" s="34">
        <v>14880</v>
      </c>
      <c r="Z181" s="34" t="s">
        <v>2006</v>
      </c>
      <c r="AA181" s="34">
        <f t="shared" si="10"/>
        <v>0</v>
      </c>
      <c r="AB181" s="34">
        <f t="shared" si="11"/>
        <v>0</v>
      </c>
      <c r="AC181" s="29"/>
      <c r="AD181" s="29"/>
      <c r="AE181" s="25"/>
      <c r="AF181" s="25"/>
      <c r="AG181" s="25"/>
      <c r="AH181" s="35"/>
    </row>
    <row r="182" spans="1:34" ht="15.6">
      <c r="A182" s="31"/>
      <c r="B182" s="63"/>
      <c r="C182" s="29"/>
      <c r="D182" s="64"/>
      <c r="E182" s="29">
        <v>10</v>
      </c>
      <c r="F182" s="29">
        <v>728</v>
      </c>
      <c r="G182" s="31">
        <f t="shared" si="13"/>
        <v>7280</v>
      </c>
      <c r="H182" s="67" t="s">
        <v>146</v>
      </c>
      <c r="I182" s="37">
        <v>45226</v>
      </c>
      <c r="J182" s="33">
        <v>728</v>
      </c>
      <c r="K182" s="33">
        <f>9+3</f>
        <v>12</v>
      </c>
      <c r="L182" s="57">
        <v>45230</v>
      </c>
      <c r="M182" s="31">
        <v>7280</v>
      </c>
      <c r="N182" s="31">
        <v>37</v>
      </c>
      <c r="O182" s="31" t="s">
        <v>1743</v>
      </c>
      <c r="P182" s="74" t="s">
        <v>139</v>
      </c>
      <c r="Q182" s="33">
        <v>8500063301</v>
      </c>
      <c r="R182" s="33">
        <v>5001145132</v>
      </c>
      <c r="S182" s="33">
        <v>728</v>
      </c>
      <c r="T182" s="31" t="s">
        <v>152</v>
      </c>
      <c r="U182" s="75">
        <v>8500063300</v>
      </c>
      <c r="V182" s="31">
        <v>5001161514</v>
      </c>
      <c r="W182" s="50">
        <v>45239</v>
      </c>
      <c r="X182" s="34">
        <v>728</v>
      </c>
      <c r="Y182" s="34">
        <v>7280</v>
      </c>
      <c r="Z182" s="34" t="s">
        <v>1502</v>
      </c>
      <c r="AA182" s="34">
        <f t="shared" si="10"/>
        <v>0</v>
      </c>
      <c r="AB182" s="34">
        <f t="shared" si="11"/>
        <v>0</v>
      </c>
      <c r="AC182" s="29"/>
      <c r="AD182" s="29"/>
      <c r="AE182" s="25"/>
      <c r="AF182" s="25"/>
      <c r="AG182" s="25"/>
      <c r="AH182" s="35"/>
    </row>
    <row r="183" spans="1:34" ht="26.4">
      <c r="A183" s="31" t="s">
        <v>645</v>
      </c>
      <c r="B183" s="63">
        <v>6000026248</v>
      </c>
      <c r="C183" s="2" t="s">
        <v>1851</v>
      </c>
      <c r="D183" s="117" t="s">
        <v>1853</v>
      </c>
      <c r="E183" s="29">
        <v>10</v>
      </c>
      <c r="F183" s="29">
        <v>455</v>
      </c>
      <c r="G183" s="31">
        <f t="shared" si="13"/>
        <v>4550</v>
      </c>
      <c r="H183" s="67" t="s">
        <v>27</v>
      </c>
      <c r="I183" s="37">
        <v>45226</v>
      </c>
      <c r="J183" s="33">
        <v>455</v>
      </c>
      <c r="K183" s="33">
        <f>6+7</f>
        <v>13</v>
      </c>
      <c r="L183" s="57">
        <v>45230</v>
      </c>
      <c r="M183" s="31">
        <v>4550</v>
      </c>
      <c r="N183" s="31">
        <v>23</v>
      </c>
      <c r="O183" s="31" t="s">
        <v>1664</v>
      </c>
      <c r="P183" s="74" t="s">
        <v>139</v>
      </c>
      <c r="Q183" s="33">
        <v>8500063299</v>
      </c>
      <c r="R183" s="33">
        <v>5001145136</v>
      </c>
      <c r="S183" s="33">
        <v>455</v>
      </c>
      <c r="T183" s="31" t="s">
        <v>152</v>
      </c>
      <c r="U183" s="75">
        <v>8500063298</v>
      </c>
      <c r="V183" s="31">
        <v>5001161522</v>
      </c>
      <c r="W183" s="50">
        <v>45251</v>
      </c>
      <c r="X183" s="34">
        <v>455</v>
      </c>
      <c r="Y183" s="34">
        <v>4550</v>
      </c>
      <c r="Z183" s="34" t="s">
        <v>1980</v>
      </c>
      <c r="AA183" s="34">
        <f t="shared" si="10"/>
        <v>0</v>
      </c>
      <c r="AB183" s="34">
        <f t="shared" si="11"/>
        <v>0</v>
      </c>
      <c r="AC183" s="29"/>
      <c r="AD183" s="29"/>
      <c r="AE183" s="25"/>
      <c r="AF183" s="25"/>
      <c r="AG183" s="25"/>
      <c r="AH183" s="35"/>
    </row>
    <row r="184" spans="1:34" ht="15.6">
      <c r="A184" s="31"/>
      <c r="B184" s="63"/>
      <c r="C184" s="86"/>
      <c r="D184" s="84"/>
      <c r="E184" s="29">
        <v>10</v>
      </c>
      <c r="F184" s="29">
        <v>1729</v>
      </c>
      <c r="G184" s="31">
        <f t="shared" si="13"/>
        <v>17290</v>
      </c>
      <c r="H184" s="67" t="s">
        <v>46</v>
      </c>
      <c r="I184" s="37">
        <v>45229</v>
      </c>
      <c r="J184" s="33">
        <v>1729</v>
      </c>
      <c r="K184" s="33">
        <v>19</v>
      </c>
      <c r="L184" s="57">
        <v>45229</v>
      </c>
      <c r="M184" s="31">
        <v>17290</v>
      </c>
      <c r="N184" s="31">
        <v>87</v>
      </c>
      <c r="O184" s="31" t="s">
        <v>1848</v>
      </c>
      <c r="P184" s="74" t="s">
        <v>139</v>
      </c>
      <c r="Q184" s="33">
        <v>8500063299</v>
      </c>
      <c r="R184" s="33">
        <v>5001153009</v>
      </c>
      <c r="S184" s="33">
        <v>1729</v>
      </c>
      <c r="T184" s="31" t="s">
        <v>152</v>
      </c>
      <c r="U184" s="75">
        <v>8500063298</v>
      </c>
      <c r="V184" s="31">
        <v>5001154255</v>
      </c>
      <c r="W184" s="50">
        <v>45245</v>
      </c>
      <c r="X184" s="34">
        <v>1729</v>
      </c>
      <c r="Y184" s="34">
        <v>17290</v>
      </c>
      <c r="Z184" s="34" t="s">
        <v>1988</v>
      </c>
      <c r="AA184" s="34">
        <f t="shared" si="10"/>
        <v>0</v>
      </c>
      <c r="AB184" s="34">
        <f t="shared" si="11"/>
        <v>0</v>
      </c>
      <c r="AC184" s="29"/>
      <c r="AD184" s="29"/>
      <c r="AE184" s="25"/>
      <c r="AF184" s="25"/>
      <c r="AG184" s="25"/>
      <c r="AH184" s="35"/>
    </row>
    <row r="185" spans="1:34" ht="15.6">
      <c r="A185" s="31"/>
      <c r="B185" s="63"/>
      <c r="C185" s="29"/>
      <c r="D185" s="64"/>
      <c r="E185" s="29">
        <v>10</v>
      </c>
      <c r="F185" s="29">
        <v>1488</v>
      </c>
      <c r="G185" s="31">
        <f t="shared" si="13"/>
        <v>14880</v>
      </c>
      <c r="H185" s="67" t="s">
        <v>37</v>
      </c>
      <c r="I185" s="37">
        <v>45226</v>
      </c>
      <c r="J185" s="33">
        <v>1488</v>
      </c>
      <c r="K185" s="33">
        <f>16+6</f>
        <v>22</v>
      </c>
      <c r="L185" s="57">
        <v>45230</v>
      </c>
      <c r="M185" s="31">
        <v>14880</v>
      </c>
      <c r="N185" s="31">
        <v>75</v>
      </c>
      <c r="O185" s="31"/>
      <c r="P185" s="74" t="s">
        <v>139</v>
      </c>
      <c r="Q185" s="33">
        <v>8500063299</v>
      </c>
      <c r="R185" s="33">
        <v>5001145136</v>
      </c>
      <c r="S185" s="33">
        <v>1488</v>
      </c>
      <c r="T185" s="31" t="s">
        <v>152</v>
      </c>
      <c r="U185" s="75">
        <v>8500063298</v>
      </c>
      <c r="V185" s="31">
        <v>5001161522</v>
      </c>
      <c r="W185" s="50">
        <v>45251</v>
      </c>
      <c r="X185" s="34">
        <v>1488</v>
      </c>
      <c r="Y185" s="34">
        <v>14880</v>
      </c>
      <c r="Z185" s="34" t="s">
        <v>2006</v>
      </c>
      <c r="AA185" s="34">
        <f t="shared" si="10"/>
        <v>0</v>
      </c>
      <c r="AB185" s="34">
        <f t="shared" si="11"/>
        <v>0</v>
      </c>
      <c r="AC185" s="29"/>
      <c r="AD185" s="29"/>
      <c r="AE185" s="25"/>
      <c r="AF185" s="25"/>
      <c r="AG185" s="25"/>
      <c r="AH185" s="35"/>
    </row>
    <row r="186" spans="1:34" ht="15.6">
      <c r="A186" s="31"/>
      <c r="B186" s="63"/>
      <c r="C186" s="29"/>
      <c r="D186" s="64"/>
      <c r="E186" s="29">
        <v>10</v>
      </c>
      <c r="F186" s="29">
        <v>728</v>
      </c>
      <c r="G186" s="31">
        <f t="shared" si="13"/>
        <v>7280</v>
      </c>
      <c r="H186" s="67" t="s">
        <v>146</v>
      </c>
      <c r="I186" s="37">
        <v>45226</v>
      </c>
      <c r="J186" s="33">
        <v>728</v>
      </c>
      <c r="K186" s="33">
        <f>8+4</f>
        <v>12</v>
      </c>
      <c r="L186" s="57">
        <v>45230</v>
      </c>
      <c r="M186" s="31">
        <v>7280</v>
      </c>
      <c r="N186" s="31">
        <v>37</v>
      </c>
      <c r="O186" s="31"/>
      <c r="P186" s="74" t="s">
        <v>139</v>
      </c>
      <c r="Q186" s="33">
        <v>8500063299</v>
      </c>
      <c r="R186" s="33">
        <v>5001145136</v>
      </c>
      <c r="S186" s="33">
        <v>728</v>
      </c>
      <c r="T186" s="31" t="s">
        <v>152</v>
      </c>
      <c r="U186" s="75">
        <v>8500063298</v>
      </c>
      <c r="V186" s="31">
        <v>5001161522</v>
      </c>
      <c r="W186" s="50">
        <v>45240</v>
      </c>
      <c r="X186" s="34">
        <v>728</v>
      </c>
      <c r="Y186" s="34">
        <v>7280</v>
      </c>
      <c r="Z186" s="34" t="s">
        <v>1502</v>
      </c>
      <c r="AA186" s="34">
        <f t="shared" si="10"/>
        <v>0</v>
      </c>
      <c r="AB186" s="34">
        <f t="shared" si="11"/>
        <v>0</v>
      </c>
      <c r="AC186" s="29"/>
      <c r="AD186" s="29"/>
      <c r="AE186" s="25"/>
      <c r="AF186" s="25"/>
      <c r="AG186" s="25"/>
      <c r="AH186" s="35"/>
    </row>
    <row r="187" spans="1:34" ht="15.6">
      <c r="A187" s="31" t="s">
        <v>178</v>
      </c>
      <c r="B187" s="63">
        <v>6000026188</v>
      </c>
      <c r="C187" s="2" t="s">
        <v>844</v>
      </c>
      <c r="D187" s="117">
        <v>4923121001</v>
      </c>
      <c r="E187" s="29">
        <v>4</v>
      </c>
      <c r="F187" s="29">
        <v>500</v>
      </c>
      <c r="G187" s="31">
        <f t="shared" si="13"/>
        <v>2000</v>
      </c>
      <c r="H187" s="67" t="s">
        <v>37</v>
      </c>
      <c r="I187" s="37">
        <v>45229</v>
      </c>
      <c r="J187" s="33">
        <v>500</v>
      </c>
      <c r="K187" s="33">
        <v>5</v>
      </c>
      <c r="L187" s="57">
        <v>45230</v>
      </c>
      <c r="M187" s="31">
        <v>2000</v>
      </c>
      <c r="N187" s="31">
        <v>10</v>
      </c>
      <c r="O187" s="31" t="s">
        <v>1875</v>
      </c>
      <c r="P187" s="74" t="s">
        <v>1558</v>
      </c>
      <c r="Q187" s="33">
        <v>8500063338</v>
      </c>
      <c r="R187" s="33">
        <v>5001157306</v>
      </c>
      <c r="S187" s="33">
        <v>500</v>
      </c>
      <c r="T187" s="31" t="s">
        <v>152</v>
      </c>
      <c r="U187" s="75">
        <v>8500063337</v>
      </c>
      <c r="V187" s="31">
        <v>5001161527</v>
      </c>
      <c r="W187" s="50">
        <v>45259</v>
      </c>
      <c r="X187" s="34">
        <v>500</v>
      </c>
      <c r="Y187" s="34">
        <v>2000</v>
      </c>
      <c r="Z187" s="34" t="s">
        <v>800</v>
      </c>
      <c r="AA187" s="34">
        <f t="shared" si="10"/>
        <v>0</v>
      </c>
      <c r="AB187" s="34">
        <f t="shared" si="11"/>
        <v>0</v>
      </c>
      <c r="AC187" s="29"/>
      <c r="AD187" s="29"/>
      <c r="AE187" s="25"/>
      <c r="AF187" s="25"/>
      <c r="AG187" s="25"/>
      <c r="AH187" s="35"/>
    </row>
    <row r="188" spans="1:34" ht="31.2">
      <c r="A188" s="31" t="s">
        <v>178</v>
      </c>
      <c r="B188" s="63">
        <v>6000026188</v>
      </c>
      <c r="C188" s="2" t="s">
        <v>842</v>
      </c>
      <c r="D188" s="117">
        <v>4923121001</v>
      </c>
      <c r="E188" s="29">
        <v>4</v>
      </c>
      <c r="F188" s="29">
        <v>2540</v>
      </c>
      <c r="G188" s="31">
        <f t="shared" si="13"/>
        <v>10160</v>
      </c>
      <c r="H188" s="67" t="s">
        <v>37</v>
      </c>
      <c r="I188" s="37" t="s">
        <v>1897</v>
      </c>
      <c r="J188" s="33">
        <f>1000+1540</f>
        <v>2540</v>
      </c>
      <c r="K188" s="33">
        <v>25</v>
      </c>
      <c r="L188" s="57">
        <v>45231</v>
      </c>
      <c r="M188" s="31">
        <v>10160</v>
      </c>
      <c r="N188" s="31">
        <v>102</v>
      </c>
      <c r="O188" s="31" t="s">
        <v>1878</v>
      </c>
      <c r="P188" s="74" t="s">
        <v>1558</v>
      </c>
      <c r="Q188" s="33">
        <v>8500063340</v>
      </c>
      <c r="R188" s="33">
        <v>5001157937</v>
      </c>
      <c r="S188" s="33">
        <f>1000+1540</f>
        <v>2540</v>
      </c>
      <c r="T188" s="31" t="s">
        <v>87</v>
      </c>
      <c r="U188" s="75">
        <v>8500063339</v>
      </c>
      <c r="V188" s="31">
        <v>5001162497</v>
      </c>
      <c r="W188" s="50">
        <v>45245</v>
      </c>
      <c r="X188" s="34">
        <v>2540</v>
      </c>
      <c r="Y188" s="34">
        <v>10160</v>
      </c>
      <c r="Z188" s="34" t="s">
        <v>2006</v>
      </c>
      <c r="AA188" s="34">
        <f t="shared" si="10"/>
        <v>0</v>
      </c>
      <c r="AB188" s="34">
        <f t="shared" si="11"/>
        <v>0</v>
      </c>
      <c r="AC188" s="29"/>
      <c r="AD188" s="29"/>
      <c r="AE188" s="25"/>
      <c r="AF188" s="25"/>
      <c r="AG188" s="25"/>
      <c r="AH188" s="35"/>
    </row>
    <row r="189" spans="1:34" ht="31.2">
      <c r="A189" s="31"/>
      <c r="B189" s="63"/>
      <c r="C189" s="29"/>
      <c r="D189" s="64"/>
      <c r="E189" s="29">
        <v>4</v>
      </c>
      <c r="F189" s="29">
        <v>630</v>
      </c>
      <c r="G189" s="31">
        <f t="shared" si="13"/>
        <v>2520</v>
      </c>
      <c r="H189" s="67" t="s">
        <v>146</v>
      </c>
      <c r="I189" s="37">
        <v>45229</v>
      </c>
      <c r="J189" s="33">
        <v>630</v>
      </c>
      <c r="K189" s="33">
        <v>10</v>
      </c>
      <c r="L189" s="57">
        <v>45231</v>
      </c>
      <c r="M189" s="31">
        <v>2520</v>
      </c>
      <c r="N189" s="31">
        <v>25</v>
      </c>
      <c r="O189" s="31" t="s">
        <v>1555</v>
      </c>
      <c r="P189" s="74" t="s">
        <v>1558</v>
      </c>
      <c r="Q189" s="33">
        <v>8500063340</v>
      </c>
      <c r="R189" s="33">
        <v>5001157344</v>
      </c>
      <c r="S189" s="33">
        <v>630</v>
      </c>
      <c r="T189" s="31" t="s">
        <v>87</v>
      </c>
      <c r="U189" s="75">
        <v>8500063339</v>
      </c>
      <c r="V189" s="31">
        <v>5001162497</v>
      </c>
      <c r="W189" s="50" t="s">
        <v>2128</v>
      </c>
      <c r="X189" s="34">
        <f>500+130</f>
        <v>630</v>
      </c>
      <c r="Y189" s="34">
        <f>2000+520</f>
        <v>2520</v>
      </c>
      <c r="Z189" s="34" t="s">
        <v>800</v>
      </c>
      <c r="AA189" s="34">
        <f t="shared" si="10"/>
        <v>0</v>
      </c>
      <c r="AB189" s="34">
        <f t="shared" si="11"/>
        <v>0</v>
      </c>
      <c r="AC189" s="29"/>
      <c r="AD189" s="29"/>
      <c r="AE189" s="25"/>
      <c r="AF189" s="25"/>
      <c r="AG189" s="25"/>
      <c r="AH189" s="35"/>
    </row>
    <row r="190" spans="1:34" ht="15.6">
      <c r="A190" s="31" t="s">
        <v>178</v>
      </c>
      <c r="B190" s="63">
        <v>6000026188</v>
      </c>
      <c r="C190" s="2" t="s">
        <v>843</v>
      </c>
      <c r="D190" s="117">
        <v>4923121001</v>
      </c>
      <c r="E190" s="29">
        <v>4</v>
      </c>
      <c r="F190" s="29">
        <v>500</v>
      </c>
      <c r="G190" s="31">
        <f t="shared" si="13"/>
        <v>2000</v>
      </c>
      <c r="H190" s="67" t="s">
        <v>46</v>
      </c>
      <c r="I190" s="37">
        <v>45229</v>
      </c>
      <c r="J190" s="33">
        <v>500</v>
      </c>
      <c r="K190" s="33">
        <v>5</v>
      </c>
      <c r="L190" s="57">
        <v>45232</v>
      </c>
      <c r="M190" s="31">
        <v>2000</v>
      </c>
      <c r="N190" s="31">
        <v>20</v>
      </c>
      <c r="O190" s="31" t="s">
        <v>1553</v>
      </c>
      <c r="P190" s="74" t="s">
        <v>1558</v>
      </c>
      <c r="Q190" s="33">
        <v>8500063342</v>
      </c>
      <c r="R190" s="33">
        <v>5001157345</v>
      </c>
      <c r="S190" s="33">
        <v>500</v>
      </c>
      <c r="T190" s="31" t="s">
        <v>87</v>
      </c>
      <c r="U190" s="75">
        <v>8500063341</v>
      </c>
      <c r="V190" s="31">
        <v>5001167247</v>
      </c>
      <c r="W190" s="50">
        <v>45255</v>
      </c>
      <c r="X190" s="34">
        <v>500</v>
      </c>
      <c r="Y190" s="34">
        <v>2000</v>
      </c>
      <c r="Z190" s="34" t="s">
        <v>1609</v>
      </c>
      <c r="AA190" s="34">
        <f t="shared" si="10"/>
        <v>0</v>
      </c>
      <c r="AB190" s="34">
        <f t="shared" si="11"/>
        <v>0</v>
      </c>
      <c r="AC190" s="29"/>
      <c r="AD190" s="29"/>
      <c r="AE190" s="25"/>
      <c r="AF190" s="25"/>
      <c r="AG190" s="25"/>
      <c r="AH190" s="35"/>
    </row>
    <row r="191" spans="1:34" ht="15.6">
      <c r="A191" s="86"/>
      <c r="B191" s="63"/>
      <c r="C191" s="86"/>
      <c r="D191" s="84"/>
      <c r="E191" s="29">
        <v>4</v>
      </c>
      <c r="F191" s="29">
        <v>500</v>
      </c>
      <c r="G191" s="31">
        <f t="shared" si="13"/>
        <v>2000</v>
      </c>
      <c r="H191" s="67" t="s">
        <v>37</v>
      </c>
      <c r="I191" s="37">
        <v>45229</v>
      </c>
      <c r="J191" s="33">
        <v>500</v>
      </c>
      <c r="K191" s="33">
        <v>5</v>
      </c>
      <c r="L191" s="57">
        <v>45232</v>
      </c>
      <c r="M191" s="31">
        <v>2000</v>
      </c>
      <c r="N191" s="31">
        <v>20</v>
      </c>
      <c r="O191" s="31" t="s">
        <v>1569</v>
      </c>
      <c r="P191" s="74" t="s">
        <v>1558</v>
      </c>
      <c r="Q191" s="33">
        <v>8500063342</v>
      </c>
      <c r="R191" s="33">
        <v>5001157345</v>
      </c>
      <c r="S191" s="33">
        <v>500</v>
      </c>
      <c r="T191" s="31" t="s">
        <v>87</v>
      </c>
      <c r="U191" s="75">
        <v>8500063341</v>
      </c>
      <c r="V191" s="31">
        <v>5001167247</v>
      </c>
      <c r="W191" s="50">
        <v>45248</v>
      </c>
      <c r="X191" s="34">
        <v>500</v>
      </c>
      <c r="Y191" s="34">
        <v>2000</v>
      </c>
      <c r="Z191" s="34" t="s">
        <v>1619</v>
      </c>
      <c r="AA191" s="34">
        <f t="shared" si="10"/>
        <v>0</v>
      </c>
      <c r="AB191" s="34">
        <f t="shared" si="11"/>
        <v>0</v>
      </c>
      <c r="AC191" s="29"/>
      <c r="AD191" s="29"/>
      <c r="AE191" s="25"/>
      <c r="AF191" s="25"/>
      <c r="AG191" s="25"/>
      <c r="AH191" s="35"/>
    </row>
    <row r="192" spans="1:34" ht="31.2">
      <c r="A192" s="31"/>
      <c r="B192" s="63"/>
      <c r="C192" s="29"/>
      <c r="D192" s="64"/>
      <c r="E192" s="29">
        <v>4</v>
      </c>
      <c r="F192" s="29">
        <v>1530</v>
      </c>
      <c r="G192" s="31">
        <f t="shared" si="13"/>
        <v>6120</v>
      </c>
      <c r="H192" s="67" t="s">
        <v>146</v>
      </c>
      <c r="I192" s="37" t="s">
        <v>1901</v>
      </c>
      <c r="J192" s="33">
        <f>1480+50</f>
        <v>1530</v>
      </c>
      <c r="K192" s="33">
        <v>15</v>
      </c>
      <c r="L192" s="57">
        <v>45232</v>
      </c>
      <c r="M192" s="31">
        <v>6120</v>
      </c>
      <c r="N192" s="31">
        <v>61</v>
      </c>
      <c r="O192" s="31" t="s">
        <v>1880</v>
      </c>
      <c r="P192" s="74" t="s">
        <v>1558</v>
      </c>
      <c r="Q192" s="33">
        <v>8500063342</v>
      </c>
      <c r="R192" s="33">
        <v>5001157345</v>
      </c>
      <c r="S192" s="33">
        <f>1480+50</f>
        <v>1530</v>
      </c>
      <c r="T192" s="31" t="s">
        <v>87</v>
      </c>
      <c r="U192" s="75">
        <v>8500063341</v>
      </c>
      <c r="V192" s="31">
        <v>5001167247</v>
      </c>
      <c r="W192" s="50">
        <v>45248</v>
      </c>
      <c r="X192" s="34">
        <v>1530</v>
      </c>
      <c r="Y192" s="34">
        <v>6120</v>
      </c>
      <c r="Z192" s="34" t="s">
        <v>1401</v>
      </c>
      <c r="AA192" s="34">
        <f t="shared" si="10"/>
        <v>0</v>
      </c>
      <c r="AB192" s="34">
        <f t="shared" si="11"/>
        <v>0</v>
      </c>
      <c r="AC192" s="29"/>
      <c r="AD192" s="29"/>
      <c r="AE192" s="25"/>
      <c r="AF192" s="25"/>
      <c r="AG192" s="25"/>
      <c r="AH192" s="35"/>
    </row>
    <row r="193" spans="1:34" ht="15.6">
      <c r="A193" s="31" t="s">
        <v>178</v>
      </c>
      <c r="B193" s="63">
        <v>6000026189</v>
      </c>
      <c r="C193" s="2" t="s">
        <v>844</v>
      </c>
      <c r="D193" s="117">
        <v>4923125001</v>
      </c>
      <c r="E193" s="29">
        <v>4</v>
      </c>
      <c r="F193" s="29">
        <v>105</v>
      </c>
      <c r="G193" s="31">
        <f t="shared" si="13"/>
        <v>420</v>
      </c>
      <c r="H193" s="67" t="s">
        <v>27</v>
      </c>
      <c r="I193" s="37">
        <v>45229</v>
      </c>
      <c r="J193" s="33">
        <v>105</v>
      </c>
      <c r="K193" s="33">
        <v>1</v>
      </c>
      <c r="L193" s="57">
        <v>45230</v>
      </c>
      <c r="M193" s="31">
        <v>420</v>
      </c>
      <c r="N193" s="31">
        <v>3</v>
      </c>
      <c r="O193" s="31" t="s">
        <v>1389</v>
      </c>
      <c r="P193" s="74" t="s">
        <v>1558</v>
      </c>
      <c r="Q193" s="33">
        <v>8500063332</v>
      </c>
      <c r="R193" s="33">
        <v>5001157935</v>
      </c>
      <c r="S193" s="29">
        <v>105</v>
      </c>
      <c r="T193" s="31" t="s">
        <v>152</v>
      </c>
      <c r="U193" s="75">
        <v>8500063331</v>
      </c>
      <c r="V193" s="31">
        <v>5001161555</v>
      </c>
      <c r="W193" s="50">
        <v>45261</v>
      </c>
      <c r="X193" s="34">
        <v>105</v>
      </c>
      <c r="Y193" s="34">
        <v>420</v>
      </c>
      <c r="Z193" s="34" t="s">
        <v>800</v>
      </c>
      <c r="AA193" s="34">
        <f t="shared" si="10"/>
        <v>0</v>
      </c>
      <c r="AB193" s="34">
        <f t="shared" si="11"/>
        <v>0</v>
      </c>
      <c r="AC193" s="29"/>
      <c r="AD193" s="482"/>
      <c r="AE193" s="27"/>
      <c r="AF193" s="25"/>
      <c r="AG193" s="25"/>
      <c r="AH193" s="35"/>
    </row>
    <row r="194" spans="1:34" ht="15.6">
      <c r="A194" s="31"/>
      <c r="B194" s="63"/>
      <c r="C194" s="86"/>
      <c r="D194" s="64"/>
      <c r="E194" s="29">
        <v>4</v>
      </c>
      <c r="F194" s="29">
        <v>150</v>
      </c>
      <c r="G194" s="31">
        <f t="shared" si="13"/>
        <v>600</v>
      </c>
      <c r="H194" s="67" t="s">
        <v>46</v>
      </c>
      <c r="I194" s="37">
        <v>45229</v>
      </c>
      <c r="J194" s="33">
        <v>150</v>
      </c>
      <c r="K194" s="33">
        <v>2</v>
      </c>
      <c r="L194" s="57">
        <v>45230</v>
      </c>
      <c r="M194" s="31">
        <v>600</v>
      </c>
      <c r="N194" s="31" t="s">
        <v>2137</v>
      </c>
      <c r="O194" s="31" t="s">
        <v>1875</v>
      </c>
      <c r="P194" s="74" t="s">
        <v>1558</v>
      </c>
      <c r="Q194" s="33">
        <v>8500063332</v>
      </c>
      <c r="R194" s="33">
        <v>5001157935</v>
      </c>
      <c r="S194" s="29">
        <v>150</v>
      </c>
      <c r="T194" s="31" t="s">
        <v>152</v>
      </c>
      <c r="U194" s="75">
        <v>8500063331</v>
      </c>
      <c r="V194" s="31">
        <v>5001161555</v>
      </c>
      <c r="W194" s="50">
        <v>45253</v>
      </c>
      <c r="X194" s="34">
        <v>150</v>
      </c>
      <c r="Y194" s="34">
        <v>600</v>
      </c>
      <c r="Z194" s="34" t="s">
        <v>800</v>
      </c>
      <c r="AA194" s="34">
        <f t="shared" ref="AA194:AA226" si="14">J194-X194</f>
        <v>0</v>
      </c>
      <c r="AB194" s="34">
        <f t="shared" ref="AB194:AB226" si="15">M194-Y194</f>
        <v>0</v>
      </c>
      <c r="AC194" s="29"/>
      <c r="AD194" s="483"/>
      <c r="AE194" s="27"/>
      <c r="AF194" s="25"/>
      <c r="AG194" s="25"/>
      <c r="AH194" s="35"/>
    </row>
    <row r="195" spans="1:34" ht="24.75" customHeight="1">
      <c r="A195" s="31"/>
      <c r="B195" s="63">
        <v>6000026189</v>
      </c>
      <c r="C195" s="2" t="s">
        <v>843</v>
      </c>
      <c r="D195" s="117">
        <v>4923125001</v>
      </c>
      <c r="E195" s="29">
        <v>4</v>
      </c>
      <c r="F195" s="29">
        <v>500</v>
      </c>
      <c r="G195" s="31">
        <f t="shared" si="13"/>
        <v>2000</v>
      </c>
      <c r="H195" s="67" t="s">
        <v>27</v>
      </c>
      <c r="I195" s="37">
        <v>45230</v>
      </c>
      <c r="J195" s="33">
        <v>500</v>
      </c>
      <c r="K195" s="33">
        <v>5</v>
      </c>
      <c r="L195" s="57">
        <v>45232</v>
      </c>
      <c r="M195" s="31">
        <v>2000</v>
      </c>
      <c r="N195" s="31">
        <v>20</v>
      </c>
      <c r="O195" s="31" t="s">
        <v>814</v>
      </c>
      <c r="P195" s="74" t="s">
        <v>1558</v>
      </c>
      <c r="Q195" s="33">
        <v>8500063336</v>
      </c>
      <c r="R195" s="33">
        <v>5001157936</v>
      </c>
      <c r="S195" s="29">
        <v>500</v>
      </c>
      <c r="T195" s="31" t="s">
        <v>87</v>
      </c>
      <c r="U195" s="75">
        <v>8500063334</v>
      </c>
      <c r="V195" s="31">
        <v>5001167246</v>
      </c>
      <c r="W195" s="50">
        <v>45236</v>
      </c>
      <c r="X195" s="34">
        <v>500</v>
      </c>
      <c r="Y195" s="34">
        <v>2000</v>
      </c>
      <c r="Z195" s="34" t="s">
        <v>800</v>
      </c>
      <c r="AA195" s="34">
        <f t="shared" si="14"/>
        <v>0</v>
      </c>
      <c r="AB195" s="34">
        <f t="shared" si="15"/>
        <v>0</v>
      </c>
      <c r="AC195" s="29"/>
      <c r="AD195" s="484"/>
      <c r="AE195" s="27"/>
      <c r="AF195" s="25"/>
      <c r="AG195" s="25"/>
      <c r="AH195" s="35"/>
    </row>
    <row r="196" spans="1:34" ht="15.6">
      <c r="A196" s="31"/>
      <c r="B196" s="63"/>
      <c r="C196" s="29"/>
      <c r="D196" s="64"/>
      <c r="E196" s="29">
        <v>4</v>
      </c>
      <c r="F196" s="29">
        <v>1500</v>
      </c>
      <c r="G196" s="31">
        <f t="shared" si="13"/>
        <v>6000</v>
      </c>
      <c r="H196" s="67" t="s">
        <v>46</v>
      </c>
      <c r="I196" s="37">
        <v>45230</v>
      </c>
      <c r="J196" s="33">
        <v>1500</v>
      </c>
      <c r="K196" s="33">
        <v>15</v>
      </c>
      <c r="L196" s="57">
        <v>45232</v>
      </c>
      <c r="M196" s="31">
        <v>6000</v>
      </c>
      <c r="N196" s="31">
        <v>60</v>
      </c>
      <c r="O196" s="31" t="s">
        <v>1848</v>
      </c>
      <c r="P196" s="74" t="s">
        <v>1558</v>
      </c>
      <c r="Q196" s="33">
        <v>8500063336</v>
      </c>
      <c r="R196" s="33">
        <v>5001157936</v>
      </c>
      <c r="S196" s="29">
        <v>1500</v>
      </c>
      <c r="T196" s="31" t="s">
        <v>87</v>
      </c>
      <c r="U196" s="75">
        <v>8500063334</v>
      </c>
      <c r="V196" s="31">
        <v>5001167246</v>
      </c>
      <c r="W196" s="50">
        <v>45255</v>
      </c>
      <c r="X196" s="34">
        <v>1500</v>
      </c>
      <c r="Y196" s="34">
        <v>6000</v>
      </c>
      <c r="Z196" s="34" t="s">
        <v>1609</v>
      </c>
      <c r="AA196" s="34">
        <f t="shared" si="14"/>
        <v>0</v>
      </c>
      <c r="AB196" s="34">
        <f t="shared" si="15"/>
        <v>0</v>
      </c>
      <c r="AC196" s="29"/>
      <c r="AD196" s="29"/>
      <c r="AE196" s="25"/>
      <c r="AF196" s="25"/>
      <c r="AG196" s="25"/>
      <c r="AH196" s="35"/>
    </row>
    <row r="197" spans="1:34" ht="24" customHeight="1">
      <c r="A197" s="31"/>
      <c r="B197" s="63"/>
      <c r="C197" s="86"/>
      <c r="D197" s="64"/>
      <c r="E197" s="29">
        <v>4</v>
      </c>
      <c r="F197" s="29">
        <v>2000</v>
      </c>
      <c r="G197" s="31">
        <f t="shared" si="13"/>
        <v>8000</v>
      </c>
      <c r="H197" s="67" t="s">
        <v>37</v>
      </c>
      <c r="I197" s="37">
        <v>45230</v>
      </c>
      <c r="J197" s="33">
        <v>2000</v>
      </c>
      <c r="K197" s="33">
        <v>20</v>
      </c>
      <c r="L197" s="57">
        <v>45232</v>
      </c>
      <c r="M197" s="31">
        <v>8000</v>
      </c>
      <c r="N197" s="31">
        <v>80</v>
      </c>
      <c r="O197" s="31" t="s">
        <v>1848</v>
      </c>
      <c r="P197" s="74" t="s">
        <v>1558</v>
      </c>
      <c r="Q197" s="33">
        <v>8500063336</v>
      </c>
      <c r="R197" s="33">
        <v>5001157936</v>
      </c>
      <c r="S197" s="29">
        <v>2000</v>
      </c>
      <c r="T197" s="31" t="s">
        <v>87</v>
      </c>
      <c r="U197" s="75">
        <v>8500063334</v>
      </c>
      <c r="V197" s="31">
        <v>5001167246</v>
      </c>
      <c r="W197" s="50">
        <v>45248</v>
      </c>
      <c r="X197" s="34">
        <v>2000</v>
      </c>
      <c r="Y197" s="34">
        <v>8000</v>
      </c>
      <c r="Z197" s="34" t="s">
        <v>1619</v>
      </c>
      <c r="AA197" s="34">
        <f t="shared" si="14"/>
        <v>0</v>
      </c>
      <c r="AB197" s="34">
        <f t="shared" si="15"/>
        <v>0</v>
      </c>
      <c r="AC197" s="29"/>
      <c r="AD197" s="29"/>
      <c r="AE197" s="25"/>
      <c r="AF197" s="25"/>
      <c r="AG197" s="25"/>
      <c r="AH197" s="35"/>
    </row>
    <row r="198" spans="1:34" ht="15.6">
      <c r="A198" s="31"/>
      <c r="B198" s="63"/>
      <c r="C198" s="29"/>
      <c r="D198" s="64"/>
      <c r="E198" s="29">
        <v>4</v>
      </c>
      <c r="F198" s="29">
        <v>2000</v>
      </c>
      <c r="G198" s="31">
        <f t="shared" si="13"/>
        <v>8000</v>
      </c>
      <c r="H198" s="67" t="s">
        <v>146</v>
      </c>
      <c r="I198" s="37">
        <v>45230</v>
      </c>
      <c r="J198" s="33">
        <v>2000</v>
      </c>
      <c r="K198" s="33">
        <v>20</v>
      </c>
      <c r="L198" s="57">
        <v>45232</v>
      </c>
      <c r="M198" s="31">
        <v>8000</v>
      </c>
      <c r="N198" s="31">
        <v>80</v>
      </c>
      <c r="O198" s="31" t="s">
        <v>1848</v>
      </c>
      <c r="P198" s="74" t="s">
        <v>1558</v>
      </c>
      <c r="Q198" s="33">
        <v>8500063336</v>
      </c>
      <c r="R198" s="33">
        <v>5001157936</v>
      </c>
      <c r="S198" s="29">
        <v>2000</v>
      </c>
      <c r="T198" s="31" t="s">
        <v>87</v>
      </c>
      <c r="U198" s="75">
        <v>8500063334</v>
      </c>
      <c r="V198" s="31">
        <v>5001167246</v>
      </c>
      <c r="W198" s="50">
        <v>45251</v>
      </c>
      <c r="X198" s="34">
        <v>2000</v>
      </c>
      <c r="Y198" s="34">
        <v>8000</v>
      </c>
      <c r="Z198" s="34" t="s">
        <v>1401</v>
      </c>
      <c r="AA198" s="34">
        <f t="shared" si="14"/>
        <v>0</v>
      </c>
      <c r="AB198" s="34">
        <f t="shared" si="15"/>
        <v>0</v>
      </c>
      <c r="AC198" s="29"/>
      <c r="AD198" s="29"/>
      <c r="AE198" s="25"/>
      <c r="AF198" s="25"/>
      <c r="AG198" s="25"/>
      <c r="AH198" s="35"/>
    </row>
    <row r="199" spans="1:34" ht="26.4">
      <c r="A199" s="31" t="s">
        <v>1872</v>
      </c>
      <c r="B199" s="63">
        <v>6000026346</v>
      </c>
      <c r="C199" s="2" t="s">
        <v>1335</v>
      </c>
      <c r="D199" s="117" t="s">
        <v>1873</v>
      </c>
      <c r="E199" s="29">
        <v>10</v>
      </c>
      <c r="F199" s="29">
        <v>108</v>
      </c>
      <c r="G199" s="31">
        <f t="shared" si="13"/>
        <v>1080</v>
      </c>
      <c r="H199" s="67" t="s">
        <v>27</v>
      </c>
      <c r="I199" s="37">
        <v>45244</v>
      </c>
      <c r="J199" s="33">
        <v>108</v>
      </c>
      <c r="K199" s="33">
        <f>2+3</f>
        <v>5</v>
      </c>
      <c r="L199" s="57">
        <v>45230</v>
      </c>
      <c r="M199" s="31">
        <v>1080</v>
      </c>
      <c r="N199" s="31">
        <v>11</v>
      </c>
      <c r="O199" s="31" t="s">
        <v>1574</v>
      </c>
      <c r="P199" s="74" t="s">
        <v>160</v>
      </c>
      <c r="Q199" s="33">
        <v>8500063503</v>
      </c>
      <c r="R199" s="33">
        <v>5001215032</v>
      </c>
      <c r="S199" s="33">
        <v>108</v>
      </c>
      <c r="T199" s="31" t="s">
        <v>1558</v>
      </c>
      <c r="U199" s="75">
        <v>8500063520</v>
      </c>
      <c r="V199" s="31">
        <v>5001158951</v>
      </c>
      <c r="W199" s="50">
        <v>45251</v>
      </c>
      <c r="X199" s="34">
        <v>108</v>
      </c>
      <c r="Y199" s="34">
        <v>1080</v>
      </c>
      <c r="Z199" s="34" t="s">
        <v>1980</v>
      </c>
      <c r="AA199" s="34">
        <f t="shared" si="14"/>
        <v>0</v>
      </c>
      <c r="AB199" s="34">
        <f t="shared" si="15"/>
        <v>0</v>
      </c>
      <c r="AC199" s="29"/>
      <c r="AD199" s="29"/>
      <c r="AE199" s="25"/>
      <c r="AF199" s="25"/>
      <c r="AG199" s="25"/>
      <c r="AH199" s="35"/>
    </row>
    <row r="200" spans="1:34" ht="15.6">
      <c r="A200" s="31"/>
      <c r="B200" s="63"/>
      <c r="C200" s="29"/>
      <c r="D200" s="64"/>
      <c r="E200" s="29">
        <v>10</v>
      </c>
      <c r="F200" s="29">
        <v>456</v>
      </c>
      <c r="G200" s="31">
        <f t="shared" si="13"/>
        <v>4560</v>
      </c>
      <c r="H200" s="67" t="s">
        <v>46</v>
      </c>
      <c r="I200" s="37">
        <v>45244</v>
      </c>
      <c r="J200" s="33">
        <v>456</v>
      </c>
      <c r="K200" s="33">
        <f>6+7</f>
        <v>13</v>
      </c>
      <c r="L200" s="57">
        <v>45230</v>
      </c>
      <c r="M200" s="31">
        <v>4560</v>
      </c>
      <c r="N200" s="31">
        <v>46</v>
      </c>
      <c r="O200" s="31" t="s">
        <v>1574</v>
      </c>
      <c r="P200" s="74" t="s">
        <v>160</v>
      </c>
      <c r="Q200" s="33">
        <v>8500063503</v>
      </c>
      <c r="R200" s="33">
        <v>5001216146</v>
      </c>
      <c r="S200" s="29">
        <v>456</v>
      </c>
      <c r="T200" s="31" t="s">
        <v>1558</v>
      </c>
      <c r="U200" s="75">
        <v>8500063520</v>
      </c>
      <c r="V200" s="31">
        <v>5001158951</v>
      </c>
      <c r="W200" s="50">
        <v>45250</v>
      </c>
      <c r="X200" s="34">
        <v>456</v>
      </c>
      <c r="Y200" s="34">
        <v>4560</v>
      </c>
      <c r="Z200" s="34" t="s">
        <v>1988</v>
      </c>
      <c r="AA200" s="34">
        <f t="shared" si="14"/>
        <v>0</v>
      </c>
      <c r="AB200" s="34">
        <f t="shared" si="15"/>
        <v>0</v>
      </c>
      <c r="AC200" s="29"/>
      <c r="AD200" s="29"/>
      <c r="AE200" s="25"/>
      <c r="AF200" s="25"/>
      <c r="AG200" s="25"/>
      <c r="AH200" s="35"/>
    </row>
    <row r="201" spans="1:34" ht="15.6">
      <c r="A201" s="86"/>
      <c r="B201" s="63"/>
      <c r="C201" s="86"/>
      <c r="D201" s="136"/>
      <c r="E201" s="29">
        <v>10</v>
      </c>
      <c r="F201" s="29">
        <v>402</v>
      </c>
      <c r="G201" s="31">
        <f t="shared" si="13"/>
        <v>4020</v>
      </c>
      <c r="H201" s="67" t="s">
        <v>37</v>
      </c>
      <c r="I201" s="37">
        <v>45244</v>
      </c>
      <c r="J201" s="33">
        <v>402</v>
      </c>
      <c r="K201" s="33">
        <v>5</v>
      </c>
      <c r="L201" s="57">
        <v>45230</v>
      </c>
      <c r="M201" s="31">
        <v>4020</v>
      </c>
      <c r="N201" s="31">
        <v>40</v>
      </c>
      <c r="O201" s="31" t="s">
        <v>1574</v>
      </c>
      <c r="P201" s="74" t="s">
        <v>160</v>
      </c>
      <c r="Q201" s="33">
        <v>8500063503</v>
      </c>
      <c r="R201" s="33">
        <v>5001216146</v>
      </c>
      <c r="S201" s="29">
        <v>402</v>
      </c>
      <c r="T201" s="31" t="s">
        <v>1558</v>
      </c>
      <c r="U201" s="75">
        <v>8500063520</v>
      </c>
      <c r="V201" s="31">
        <v>5001158951</v>
      </c>
      <c r="W201" s="50">
        <v>45252</v>
      </c>
      <c r="X201" s="34">
        <v>402</v>
      </c>
      <c r="Y201" s="34">
        <v>4020</v>
      </c>
      <c r="Z201" s="34" t="s">
        <v>2006</v>
      </c>
      <c r="AA201" s="34">
        <f t="shared" si="14"/>
        <v>0</v>
      </c>
      <c r="AB201" s="34">
        <f t="shared" si="15"/>
        <v>0</v>
      </c>
      <c r="AC201" s="29"/>
      <c r="AD201" s="29"/>
      <c r="AE201" s="25"/>
      <c r="AF201" s="25"/>
      <c r="AG201" s="25"/>
      <c r="AH201" s="35"/>
    </row>
    <row r="202" spans="1:34" ht="15.6">
      <c r="A202" s="31"/>
      <c r="B202" s="63"/>
      <c r="C202" s="29"/>
      <c r="D202" s="64"/>
      <c r="E202" s="29">
        <v>10</v>
      </c>
      <c r="F202" s="29">
        <v>216</v>
      </c>
      <c r="G202" s="31">
        <f t="shared" si="13"/>
        <v>2160</v>
      </c>
      <c r="H202" s="67" t="s">
        <v>146</v>
      </c>
      <c r="I202" s="37">
        <v>45244</v>
      </c>
      <c r="J202" s="33">
        <v>216</v>
      </c>
      <c r="K202" s="33">
        <v>3</v>
      </c>
      <c r="L202" s="57">
        <v>45230</v>
      </c>
      <c r="M202" s="31">
        <v>2160</v>
      </c>
      <c r="N202" s="31">
        <v>22</v>
      </c>
      <c r="O202" s="31" t="s">
        <v>1574</v>
      </c>
      <c r="P202" s="74" t="s">
        <v>160</v>
      </c>
      <c r="Q202" s="33">
        <v>8500063503</v>
      </c>
      <c r="R202" s="33">
        <v>5001216146</v>
      </c>
      <c r="S202" s="29">
        <v>216</v>
      </c>
      <c r="T202" s="31" t="s">
        <v>1558</v>
      </c>
      <c r="U202" s="75">
        <v>8500063520</v>
      </c>
      <c r="V202" s="31">
        <v>5001158951</v>
      </c>
      <c r="W202" s="50">
        <v>45244</v>
      </c>
      <c r="X202" s="34">
        <v>216</v>
      </c>
      <c r="Y202" s="34">
        <v>2160</v>
      </c>
      <c r="Z202" s="34" t="s">
        <v>1502</v>
      </c>
      <c r="AA202" s="34">
        <f t="shared" si="14"/>
        <v>0</v>
      </c>
      <c r="AB202" s="34">
        <f t="shared" si="15"/>
        <v>0</v>
      </c>
      <c r="AC202" s="29"/>
      <c r="AD202" s="29"/>
      <c r="AE202" s="25"/>
      <c r="AF202" s="25"/>
      <c r="AG202" s="25"/>
      <c r="AH202" s="35"/>
    </row>
    <row r="203" spans="1:34" ht="26.4">
      <c r="A203" s="31" t="s">
        <v>1872</v>
      </c>
      <c r="B203" s="63">
        <v>6000026346</v>
      </c>
      <c r="C203" s="2" t="s">
        <v>1874</v>
      </c>
      <c r="D203" s="117" t="s">
        <v>1873</v>
      </c>
      <c r="E203" s="29">
        <v>10</v>
      </c>
      <c r="F203" s="29">
        <v>336</v>
      </c>
      <c r="G203" s="31">
        <f t="shared" si="13"/>
        <v>3360</v>
      </c>
      <c r="H203" s="67" t="s">
        <v>27</v>
      </c>
      <c r="I203" s="37">
        <v>45244</v>
      </c>
      <c r="J203" s="33">
        <v>336</v>
      </c>
      <c r="K203" s="33">
        <v>4</v>
      </c>
      <c r="L203" s="57">
        <v>45237</v>
      </c>
      <c r="M203" s="31">
        <v>3360</v>
      </c>
      <c r="N203" s="31">
        <v>40</v>
      </c>
      <c r="O203" s="31" t="s">
        <v>1902</v>
      </c>
      <c r="P203" s="74" t="s">
        <v>160</v>
      </c>
      <c r="Q203" s="33">
        <v>8500063505</v>
      </c>
      <c r="R203" s="33">
        <v>5001215039</v>
      </c>
      <c r="S203" s="29">
        <v>336</v>
      </c>
      <c r="T203" s="31" t="s">
        <v>1418</v>
      </c>
      <c r="U203" s="75">
        <v>8500063506</v>
      </c>
      <c r="V203" s="31">
        <v>5001187350</v>
      </c>
      <c r="W203" s="50">
        <v>45245</v>
      </c>
      <c r="X203" s="34">
        <v>336</v>
      </c>
      <c r="Y203" s="34">
        <v>3360</v>
      </c>
      <c r="Z203" s="34" t="s">
        <v>800</v>
      </c>
      <c r="AA203" s="34">
        <f t="shared" si="14"/>
        <v>0</v>
      </c>
      <c r="AB203" s="34">
        <f t="shared" si="15"/>
        <v>0</v>
      </c>
      <c r="AC203" s="29"/>
      <c r="AD203" s="29"/>
      <c r="AE203" s="25"/>
      <c r="AF203" s="25"/>
      <c r="AG203" s="25"/>
      <c r="AH203" s="35"/>
    </row>
    <row r="204" spans="1:34" ht="15.6">
      <c r="A204" s="31"/>
      <c r="B204" s="63"/>
      <c r="C204" s="29"/>
      <c r="D204" s="64"/>
      <c r="E204" s="29">
        <v>10</v>
      </c>
      <c r="F204" s="29">
        <v>198</v>
      </c>
      <c r="G204" s="31">
        <f t="shared" si="13"/>
        <v>1980</v>
      </c>
      <c r="H204" s="67" t="s">
        <v>37</v>
      </c>
      <c r="I204" s="37">
        <v>45244</v>
      </c>
      <c r="J204" s="33">
        <v>198</v>
      </c>
      <c r="K204" s="33">
        <v>3</v>
      </c>
      <c r="L204" s="57">
        <v>45237</v>
      </c>
      <c r="M204" s="31">
        <v>1980</v>
      </c>
      <c r="N204" s="31">
        <v>20</v>
      </c>
      <c r="O204" s="31" t="s">
        <v>1902</v>
      </c>
      <c r="P204" s="74" t="s">
        <v>160</v>
      </c>
      <c r="Q204" s="33">
        <v>8500063505</v>
      </c>
      <c r="R204" s="33">
        <v>5001215039</v>
      </c>
      <c r="S204" s="29">
        <v>198</v>
      </c>
      <c r="T204" s="31" t="s">
        <v>1418</v>
      </c>
      <c r="U204" s="75">
        <v>8500063506</v>
      </c>
      <c r="V204" s="31">
        <v>5001187350</v>
      </c>
      <c r="W204" s="50">
        <v>45245</v>
      </c>
      <c r="X204" s="34">
        <v>198</v>
      </c>
      <c r="Y204" s="34">
        <v>1980</v>
      </c>
      <c r="Z204" s="34" t="s">
        <v>800</v>
      </c>
      <c r="AA204" s="34">
        <f t="shared" si="14"/>
        <v>0</v>
      </c>
      <c r="AB204" s="34">
        <f t="shared" si="15"/>
        <v>0</v>
      </c>
      <c r="AC204" s="29"/>
      <c r="AD204" s="29"/>
      <c r="AE204" s="25"/>
      <c r="AF204" s="25"/>
      <c r="AG204" s="25"/>
      <c r="AH204" s="35"/>
    </row>
    <row r="205" spans="1:34" ht="15.6">
      <c r="A205" s="31"/>
      <c r="B205" s="63"/>
      <c r="C205" s="29"/>
      <c r="D205" s="64"/>
      <c r="E205" s="29">
        <v>10</v>
      </c>
      <c r="F205" s="29">
        <v>252</v>
      </c>
      <c r="G205" s="31">
        <f t="shared" si="13"/>
        <v>2520</v>
      </c>
      <c r="H205" s="67" t="s">
        <v>146</v>
      </c>
      <c r="I205" s="37">
        <v>45244</v>
      </c>
      <c r="J205" s="33">
        <v>252</v>
      </c>
      <c r="K205" s="33">
        <v>4</v>
      </c>
      <c r="L205" s="57">
        <v>45237</v>
      </c>
      <c r="M205" s="31">
        <v>2520</v>
      </c>
      <c r="N205" s="31">
        <v>30</v>
      </c>
      <c r="O205" s="31" t="s">
        <v>1902</v>
      </c>
      <c r="P205" s="74" t="s">
        <v>160</v>
      </c>
      <c r="Q205" s="33">
        <v>8500063505</v>
      </c>
      <c r="R205" s="33">
        <v>5001215039</v>
      </c>
      <c r="S205" s="29">
        <v>252</v>
      </c>
      <c r="T205" s="31" t="s">
        <v>1418</v>
      </c>
      <c r="U205" s="75">
        <v>8500063506</v>
      </c>
      <c r="V205" s="31">
        <v>5001187350</v>
      </c>
      <c r="W205" s="50">
        <v>45251</v>
      </c>
      <c r="X205" s="34">
        <v>252</v>
      </c>
      <c r="Y205" s="34">
        <v>2520</v>
      </c>
      <c r="Z205" s="34" t="s">
        <v>800</v>
      </c>
      <c r="AA205" s="34">
        <f t="shared" si="14"/>
        <v>0</v>
      </c>
      <c r="AB205" s="34">
        <f t="shared" si="15"/>
        <v>0</v>
      </c>
      <c r="AC205" s="29"/>
      <c r="AD205" s="29"/>
      <c r="AE205" s="25"/>
      <c r="AF205" s="25"/>
      <c r="AG205" s="25"/>
      <c r="AH205" s="35"/>
    </row>
    <row r="206" spans="1:34" ht="15.6">
      <c r="A206" s="31" t="s">
        <v>178</v>
      </c>
      <c r="B206" s="63">
        <v>6000026280</v>
      </c>
      <c r="C206" s="2" t="s">
        <v>844</v>
      </c>
      <c r="D206" s="117">
        <v>4923125002</v>
      </c>
      <c r="E206" s="29">
        <v>4</v>
      </c>
      <c r="F206" s="29">
        <v>150</v>
      </c>
      <c r="G206" s="31">
        <f t="shared" si="13"/>
        <v>600</v>
      </c>
      <c r="H206" s="67" t="s">
        <v>46</v>
      </c>
      <c r="I206" s="37">
        <v>45233</v>
      </c>
      <c r="J206" s="33">
        <v>150</v>
      </c>
      <c r="K206" s="33">
        <v>1</v>
      </c>
      <c r="L206" s="57">
        <v>45230</v>
      </c>
      <c r="M206" s="31">
        <v>600</v>
      </c>
      <c r="N206" s="31">
        <v>3</v>
      </c>
      <c r="O206" s="31" t="s">
        <v>735</v>
      </c>
      <c r="P206" s="74" t="s">
        <v>1557</v>
      </c>
      <c r="Q206" s="33">
        <v>8500063385</v>
      </c>
      <c r="R206" s="33">
        <v>5001170974</v>
      </c>
      <c r="S206" s="33">
        <v>150</v>
      </c>
      <c r="T206" s="31" t="s">
        <v>152</v>
      </c>
      <c r="U206" s="75">
        <v>8500063384</v>
      </c>
      <c r="V206" s="31">
        <v>5001161598</v>
      </c>
      <c r="W206" s="50">
        <v>45253</v>
      </c>
      <c r="X206" s="34">
        <v>150</v>
      </c>
      <c r="Y206" s="34">
        <v>600</v>
      </c>
      <c r="Z206" s="34" t="s">
        <v>800</v>
      </c>
      <c r="AA206" s="34">
        <f t="shared" si="14"/>
        <v>0</v>
      </c>
      <c r="AB206" s="34">
        <f t="shared" si="15"/>
        <v>0</v>
      </c>
      <c r="AC206" s="29"/>
      <c r="AD206" s="29"/>
      <c r="AE206" s="25"/>
      <c r="AF206" s="25"/>
      <c r="AG206" s="25"/>
      <c r="AH206" s="35"/>
    </row>
    <row r="207" spans="1:34" ht="15.6">
      <c r="A207" s="31"/>
      <c r="B207" s="63"/>
      <c r="C207" s="29"/>
      <c r="D207" s="64"/>
      <c r="E207" s="29">
        <v>4</v>
      </c>
      <c r="F207" s="29">
        <v>150</v>
      </c>
      <c r="G207" s="31">
        <f t="shared" si="13"/>
        <v>600</v>
      </c>
      <c r="H207" s="67" t="s">
        <v>146</v>
      </c>
      <c r="I207" s="37">
        <v>45233</v>
      </c>
      <c r="J207" s="33">
        <v>150</v>
      </c>
      <c r="K207" s="33">
        <f>1+1</f>
        <v>2</v>
      </c>
      <c r="L207" s="57">
        <v>45230</v>
      </c>
      <c r="M207" s="31">
        <v>600</v>
      </c>
      <c r="N207" s="31">
        <v>3</v>
      </c>
      <c r="O207" s="31" t="s">
        <v>824</v>
      </c>
      <c r="P207" s="74" t="s">
        <v>1558</v>
      </c>
      <c r="Q207" s="33">
        <v>8500063385</v>
      </c>
      <c r="R207" s="33">
        <v>5001170974</v>
      </c>
      <c r="S207" s="33">
        <v>150</v>
      </c>
      <c r="T207" s="31" t="s">
        <v>152</v>
      </c>
      <c r="U207" s="75">
        <v>8500063384</v>
      </c>
      <c r="V207" s="31">
        <v>5001161598</v>
      </c>
      <c r="W207" s="50">
        <v>45261</v>
      </c>
      <c r="X207" s="34">
        <v>150</v>
      </c>
      <c r="Y207" s="34">
        <v>600</v>
      </c>
      <c r="Z207" s="34" t="s">
        <v>800</v>
      </c>
      <c r="AA207" s="34">
        <f t="shared" si="14"/>
        <v>0</v>
      </c>
      <c r="AB207" s="34">
        <f t="shared" si="15"/>
        <v>0</v>
      </c>
      <c r="AC207" s="29"/>
      <c r="AD207" s="29"/>
      <c r="AE207" s="25"/>
      <c r="AF207" s="25"/>
      <c r="AG207" s="25"/>
      <c r="AH207" s="35"/>
    </row>
    <row r="208" spans="1:34" ht="15.6">
      <c r="A208" s="31" t="s">
        <v>178</v>
      </c>
      <c r="B208" s="63">
        <v>6000026280</v>
      </c>
      <c r="C208" s="2" t="s">
        <v>843</v>
      </c>
      <c r="D208" s="117">
        <v>4923125002</v>
      </c>
      <c r="E208" s="29">
        <v>4</v>
      </c>
      <c r="F208" s="29">
        <v>250</v>
      </c>
      <c r="G208" s="31">
        <f t="shared" si="13"/>
        <v>1000</v>
      </c>
      <c r="H208" s="67" t="s">
        <v>27</v>
      </c>
      <c r="I208" s="37">
        <v>45233</v>
      </c>
      <c r="J208" s="33">
        <v>250</v>
      </c>
      <c r="K208" s="33">
        <v>2</v>
      </c>
      <c r="L208" s="57">
        <v>45232</v>
      </c>
      <c r="M208" s="31">
        <v>1000</v>
      </c>
      <c r="N208" s="31">
        <v>10</v>
      </c>
      <c r="O208" s="31" t="s">
        <v>814</v>
      </c>
      <c r="P208" s="74" t="s">
        <v>1558</v>
      </c>
      <c r="Q208" s="33">
        <v>8500063383</v>
      </c>
      <c r="R208" s="33">
        <v>5001170971</v>
      </c>
      <c r="S208" s="33">
        <v>250</v>
      </c>
      <c r="T208" s="31" t="s">
        <v>87</v>
      </c>
      <c r="U208" s="75">
        <v>8500063382</v>
      </c>
      <c r="V208" s="31">
        <v>5001167244</v>
      </c>
      <c r="W208" s="50">
        <v>45239</v>
      </c>
      <c r="X208" s="34">
        <v>250</v>
      </c>
      <c r="Y208" s="34">
        <v>1000</v>
      </c>
      <c r="Z208" s="34" t="s">
        <v>800</v>
      </c>
      <c r="AA208" s="34">
        <f t="shared" si="14"/>
        <v>0</v>
      </c>
      <c r="AB208" s="34">
        <f t="shared" si="15"/>
        <v>0</v>
      </c>
      <c r="AC208" s="29"/>
      <c r="AD208" s="29"/>
      <c r="AE208" s="25"/>
      <c r="AF208" s="25"/>
      <c r="AG208" s="25"/>
      <c r="AH208" s="35"/>
    </row>
    <row r="209" spans="1:34" ht="15.6">
      <c r="A209" s="31"/>
      <c r="B209" s="63"/>
      <c r="C209" s="29"/>
      <c r="D209" s="64"/>
      <c r="E209" s="29">
        <v>4</v>
      </c>
      <c r="F209" s="29">
        <v>1800</v>
      </c>
      <c r="G209" s="31">
        <f t="shared" si="13"/>
        <v>7200</v>
      </c>
      <c r="H209" s="67" t="s">
        <v>46</v>
      </c>
      <c r="I209" s="37">
        <v>45236</v>
      </c>
      <c r="J209" s="33">
        <v>1800</v>
      </c>
      <c r="K209" s="33">
        <v>18</v>
      </c>
      <c r="L209" s="57">
        <v>45232</v>
      </c>
      <c r="M209" s="31">
        <v>7200</v>
      </c>
      <c r="N209" s="31">
        <v>72</v>
      </c>
      <c r="O209" s="31" t="s">
        <v>1848</v>
      </c>
      <c r="P209" s="74" t="s">
        <v>1558</v>
      </c>
      <c r="Q209" s="33">
        <v>8500063383</v>
      </c>
      <c r="R209" s="33">
        <v>5001182271</v>
      </c>
      <c r="S209" s="29">
        <v>1800</v>
      </c>
      <c r="T209" s="31" t="s">
        <v>87</v>
      </c>
      <c r="U209" s="75">
        <v>8500063382</v>
      </c>
      <c r="V209" s="31">
        <v>5001167244</v>
      </c>
      <c r="W209" s="50">
        <v>45257</v>
      </c>
      <c r="X209" s="34">
        <v>1800</v>
      </c>
      <c r="Y209" s="34">
        <v>7200</v>
      </c>
      <c r="Z209" s="34" t="s">
        <v>1609</v>
      </c>
      <c r="AA209" s="34">
        <f t="shared" si="14"/>
        <v>0</v>
      </c>
      <c r="AB209" s="34">
        <f t="shared" si="15"/>
        <v>0</v>
      </c>
      <c r="AC209" s="29"/>
      <c r="AD209" s="29"/>
      <c r="AE209" s="25"/>
      <c r="AF209" s="25"/>
      <c r="AG209" s="25"/>
      <c r="AH209" s="35"/>
    </row>
    <row r="210" spans="1:34" ht="15.6">
      <c r="A210" s="86"/>
      <c r="B210" s="63"/>
      <c r="C210" s="86"/>
      <c r="D210" s="136"/>
      <c r="E210" s="29">
        <v>4</v>
      </c>
      <c r="F210" s="29">
        <v>1600</v>
      </c>
      <c r="G210" s="31">
        <f t="shared" si="13"/>
        <v>6400</v>
      </c>
      <c r="H210" s="67" t="s">
        <v>37</v>
      </c>
      <c r="I210" s="37">
        <v>45236</v>
      </c>
      <c r="J210" s="33">
        <v>1600</v>
      </c>
      <c r="K210" s="33">
        <v>16</v>
      </c>
      <c r="L210" s="57">
        <v>45232</v>
      </c>
      <c r="M210" s="31">
        <v>6400</v>
      </c>
      <c r="N210" s="31">
        <v>64</v>
      </c>
      <c r="O210" s="31" t="s">
        <v>1848</v>
      </c>
      <c r="P210" s="74" t="s">
        <v>1558</v>
      </c>
      <c r="Q210" s="33">
        <v>8500063383</v>
      </c>
      <c r="R210" s="33">
        <v>5001182271</v>
      </c>
      <c r="S210" s="29">
        <v>1600</v>
      </c>
      <c r="T210" s="31" t="s">
        <v>87</v>
      </c>
      <c r="U210" s="75">
        <v>8500063382</v>
      </c>
      <c r="V210" s="31">
        <v>5001167244</v>
      </c>
      <c r="W210" s="50">
        <v>45251</v>
      </c>
      <c r="X210" s="34">
        <v>1600</v>
      </c>
      <c r="Y210" s="34">
        <v>6400</v>
      </c>
      <c r="Z210" s="34" t="s">
        <v>1619</v>
      </c>
      <c r="AA210" s="34">
        <f t="shared" si="14"/>
        <v>0</v>
      </c>
      <c r="AB210" s="34">
        <f t="shared" si="15"/>
        <v>0</v>
      </c>
      <c r="AC210" s="29"/>
      <c r="AD210" s="29"/>
      <c r="AE210" s="25"/>
      <c r="AF210" s="25"/>
      <c r="AG210" s="25"/>
      <c r="AH210" s="35"/>
    </row>
    <row r="211" spans="1:34" ht="15.6">
      <c r="A211" s="31"/>
      <c r="B211" s="63"/>
      <c r="C211" s="29"/>
      <c r="D211" s="64"/>
      <c r="E211" s="29">
        <v>4</v>
      </c>
      <c r="F211" s="29">
        <v>2400</v>
      </c>
      <c r="G211" s="31">
        <f t="shared" si="13"/>
        <v>9600</v>
      </c>
      <c r="H211" s="67" t="s">
        <v>146</v>
      </c>
      <c r="I211" s="37">
        <v>45236</v>
      </c>
      <c r="J211" s="33">
        <v>2400</v>
      </c>
      <c r="K211" s="33">
        <v>24</v>
      </c>
      <c r="L211" s="57">
        <v>45232</v>
      </c>
      <c r="M211" s="31">
        <v>9600</v>
      </c>
      <c r="N211" s="31">
        <v>96</v>
      </c>
      <c r="O211" s="31" t="s">
        <v>1784</v>
      </c>
      <c r="P211" s="74" t="s">
        <v>1558</v>
      </c>
      <c r="Q211" s="33">
        <v>8500063383</v>
      </c>
      <c r="R211" s="33">
        <v>5001182271</v>
      </c>
      <c r="S211" s="29">
        <v>2400</v>
      </c>
      <c r="T211" s="31" t="s">
        <v>87</v>
      </c>
      <c r="U211" s="75">
        <v>8500063382</v>
      </c>
      <c r="V211" s="31">
        <v>5001167244</v>
      </c>
      <c r="W211" s="50">
        <v>45255</v>
      </c>
      <c r="X211" s="34">
        <v>2400</v>
      </c>
      <c r="Y211" s="34">
        <v>9600</v>
      </c>
      <c r="Z211" s="34" t="s">
        <v>870</v>
      </c>
      <c r="AA211" s="34">
        <f t="shared" si="14"/>
        <v>0</v>
      </c>
      <c r="AB211" s="34">
        <f t="shared" si="15"/>
        <v>0</v>
      </c>
      <c r="AC211" s="29"/>
      <c r="AD211" s="29"/>
      <c r="AE211" s="25"/>
      <c r="AF211" s="25"/>
      <c r="AG211" s="25"/>
      <c r="AH211" s="35"/>
    </row>
    <row r="212" spans="1:34" ht="31.2">
      <c r="A212" s="31" t="s">
        <v>652</v>
      </c>
      <c r="B212" s="88">
        <v>6000026227</v>
      </c>
      <c r="C212" s="2" t="s">
        <v>701</v>
      </c>
      <c r="D212" s="117" t="s">
        <v>1876</v>
      </c>
      <c r="E212" s="29">
        <v>20</v>
      </c>
      <c r="F212" s="29">
        <v>286</v>
      </c>
      <c r="G212" s="31">
        <f t="shared" si="13"/>
        <v>5720</v>
      </c>
      <c r="H212" s="67" t="s">
        <v>37</v>
      </c>
      <c r="I212" s="37" t="s">
        <v>2021</v>
      </c>
      <c r="J212" s="33">
        <v>286</v>
      </c>
      <c r="K212" s="33">
        <f>1+4</f>
        <v>5</v>
      </c>
      <c r="L212" s="57">
        <v>45230</v>
      </c>
      <c r="M212" s="31">
        <v>5720</v>
      </c>
      <c r="N212" s="31">
        <v>29</v>
      </c>
      <c r="O212" s="31" t="s">
        <v>1761</v>
      </c>
      <c r="P212" s="74" t="s">
        <v>160</v>
      </c>
      <c r="Q212" s="33">
        <v>8500063466</v>
      </c>
      <c r="R212" s="33">
        <v>5001203190</v>
      </c>
      <c r="S212" s="29">
        <v>286</v>
      </c>
      <c r="T212" s="31" t="s">
        <v>152</v>
      </c>
      <c r="U212" s="75">
        <v>8500063465</v>
      </c>
      <c r="V212" s="31">
        <v>5001161615</v>
      </c>
      <c r="W212" s="50">
        <v>45243</v>
      </c>
      <c r="X212" s="34">
        <v>286</v>
      </c>
      <c r="Y212" s="34">
        <v>5720</v>
      </c>
      <c r="Z212" s="34" t="s">
        <v>800</v>
      </c>
      <c r="AA212" s="34">
        <f t="shared" si="14"/>
        <v>0</v>
      </c>
      <c r="AB212" s="34">
        <f t="shared" si="15"/>
        <v>0</v>
      </c>
      <c r="AC212" s="29"/>
      <c r="AD212" s="29"/>
      <c r="AE212" s="25"/>
      <c r="AF212" s="25"/>
      <c r="AG212" s="25"/>
      <c r="AH212" s="35"/>
    </row>
    <row r="213" spans="1:34" ht="15.6">
      <c r="A213" s="31"/>
      <c r="B213" s="63"/>
      <c r="C213" s="29"/>
      <c r="D213" s="64"/>
      <c r="E213" s="29">
        <v>20</v>
      </c>
      <c r="F213" s="29">
        <v>164</v>
      </c>
      <c r="G213" s="31">
        <f t="shared" si="13"/>
        <v>3280</v>
      </c>
      <c r="H213" s="67" t="s">
        <v>146</v>
      </c>
      <c r="I213" s="37">
        <v>45241</v>
      </c>
      <c r="J213" s="33">
        <v>164</v>
      </c>
      <c r="K213" s="33">
        <f>3+1</f>
        <v>4</v>
      </c>
      <c r="L213" s="57">
        <v>45230</v>
      </c>
      <c r="M213" s="31">
        <v>3280</v>
      </c>
      <c r="N213" s="31">
        <v>17</v>
      </c>
      <c r="O213" s="31" t="s">
        <v>824</v>
      </c>
      <c r="P213" s="74" t="s">
        <v>160</v>
      </c>
      <c r="Q213" s="33">
        <v>8500063466</v>
      </c>
      <c r="R213" s="33">
        <v>5001203190</v>
      </c>
      <c r="S213" s="29">
        <v>164</v>
      </c>
      <c r="T213" s="31" t="s">
        <v>152</v>
      </c>
      <c r="U213" s="75">
        <v>8500063465</v>
      </c>
      <c r="V213" s="31">
        <v>5001161615</v>
      </c>
      <c r="W213" s="50">
        <v>45243</v>
      </c>
      <c r="X213" s="34">
        <v>164</v>
      </c>
      <c r="Y213" s="34">
        <v>3280</v>
      </c>
      <c r="Z213" s="34" t="s">
        <v>800</v>
      </c>
      <c r="AA213" s="34">
        <f t="shared" si="14"/>
        <v>0</v>
      </c>
      <c r="AB213" s="34">
        <f t="shared" si="15"/>
        <v>0</v>
      </c>
      <c r="AC213" s="29"/>
      <c r="AD213" s="29"/>
      <c r="AE213" s="25"/>
      <c r="AF213" s="25"/>
      <c r="AG213" s="25"/>
      <c r="AH213" s="35"/>
    </row>
    <row r="214" spans="1:34" ht="15.6">
      <c r="A214" s="31" t="s">
        <v>178</v>
      </c>
      <c r="B214" s="63">
        <v>6000026281</v>
      </c>
      <c r="C214" s="2" t="s">
        <v>843</v>
      </c>
      <c r="D214" s="117">
        <v>4923125003</v>
      </c>
      <c r="E214" s="29">
        <v>4</v>
      </c>
      <c r="F214" s="29">
        <v>250</v>
      </c>
      <c r="G214" s="31">
        <f t="shared" si="13"/>
        <v>1000</v>
      </c>
      <c r="H214" s="67" t="s">
        <v>27</v>
      </c>
      <c r="I214" s="37">
        <v>45233</v>
      </c>
      <c r="J214" s="33">
        <v>250</v>
      </c>
      <c r="K214" s="33">
        <v>2</v>
      </c>
      <c r="L214" s="57">
        <v>45232</v>
      </c>
      <c r="M214" s="31">
        <v>1000</v>
      </c>
      <c r="N214" s="31">
        <v>10</v>
      </c>
      <c r="O214" s="31" t="s">
        <v>1351</v>
      </c>
      <c r="P214" s="74" t="s">
        <v>1558</v>
      </c>
      <c r="Q214" s="33">
        <v>8500063381</v>
      </c>
      <c r="R214" s="33">
        <v>5001171037</v>
      </c>
      <c r="S214" s="33">
        <v>250</v>
      </c>
      <c r="T214" s="31" t="s">
        <v>87</v>
      </c>
      <c r="U214" s="75">
        <v>8500063380</v>
      </c>
      <c r="V214" s="31">
        <v>5001167245</v>
      </c>
      <c r="W214" s="50">
        <v>45241</v>
      </c>
      <c r="X214" s="34">
        <v>250</v>
      </c>
      <c r="Y214" s="34">
        <v>1000</v>
      </c>
      <c r="Z214" s="34" t="s">
        <v>800</v>
      </c>
      <c r="AA214" s="34">
        <f t="shared" si="14"/>
        <v>0</v>
      </c>
      <c r="AB214" s="34">
        <f t="shared" si="15"/>
        <v>0</v>
      </c>
      <c r="AC214" s="29"/>
      <c r="AD214" s="29"/>
      <c r="AE214" s="25"/>
      <c r="AF214" s="25"/>
      <c r="AG214" s="25"/>
      <c r="AH214" s="35"/>
    </row>
    <row r="215" spans="1:34" ht="15.6">
      <c r="A215" s="31"/>
      <c r="B215" s="63"/>
      <c r="C215" s="29"/>
      <c r="D215" s="64"/>
      <c r="E215" s="29">
        <v>4</v>
      </c>
      <c r="F215" s="29">
        <v>2000</v>
      </c>
      <c r="G215" s="31">
        <f t="shared" si="13"/>
        <v>8000</v>
      </c>
      <c r="H215" s="67" t="s">
        <v>46</v>
      </c>
      <c r="I215" s="37">
        <v>45236</v>
      </c>
      <c r="J215" s="33">
        <v>2000</v>
      </c>
      <c r="K215" s="33">
        <v>20</v>
      </c>
      <c r="L215" s="57">
        <v>45232</v>
      </c>
      <c r="M215" s="31">
        <v>8000</v>
      </c>
      <c r="N215" s="31">
        <v>80</v>
      </c>
      <c r="O215" s="31" t="s">
        <v>1754</v>
      </c>
      <c r="P215" s="74" t="s">
        <v>1558</v>
      </c>
      <c r="Q215" s="33">
        <v>8500063381</v>
      </c>
      <c r="R215" s="33">
        <v>5001182845</v>
      </c>
      <c r="S215" s="33">
        <v>2000</v>
      </c>
      <c r="T215" s="31" t="s">
        <v>87</v>
      </c>
      <c r="U215" s="75">
        <v>8500063380</v>
      </c>
      <c r="V215" s="31">
        <v>5001167245</v>
      </c>
      <c r="W215" s="50">
        <v>45260</v>
      </c>
      <c r="X215" s="34">
        <v>2000</v>
      </c>
      <c r="Y215" s="34">
        <v>8000</v>
      </c>
      <c r="Z215" s="34" t="s">
        <v>1609</v>
      </c>
      <c r="AA215" s="34">
        <f t="shared" si="14"/>
        <v>0</v>
      </c>
      <c r="AB215" s="34">
        <f t="shared" si="15"/>
        <v>0</v>
      </c>
      <c r="AC215" s="29"/>
      <c r="AD215" s="29"/>
      <c r="AE215" s="25"/>
      <c r="AF215" s="25"/>
      <c r="AG215" s="25"/>
      <c r="AH215" s="35"/>
    </row>
    <row r="216" spans="1:34" ht="15.6">
      <c r="A216" s="31"/>
      <c r="B216" s="63"/>
      <c r="C216" s="29"/>
      <c r="D216" s="64"/>
      <c r="E216" s="29">
        <v>4</v>
      </c>
      <c r="F216" s="29">
        <v>1600</v>
      </c>
      <c r="G216" s="31">
        <f t="shared" si="13"/>
        <v>6400</v>
      </c>
      <c r="H216" s="67" t="s">
        <v>37</v>
      </c>
      <c r="I216" s="37">
        <v>45233</v>
      </c>
      <c r="J216" s="33">
        <v>1600</v>
      </c>
      <c r="K216" s="33">
        <v>16</v>
      </c>
      <c r="L216" s="57">
        <v>45232</v>
      </c>
      <c r="M216" s="31">
        <v>6400</v>
      </c>
      <c r="N216" s="31">
        <v>64</v>
      </c>
      <c r="O216" s="31" t="s">
        <v>1879</v>
      </c>
      <c r="P216" s="74" t="s">
        <v>1558</v>
      </c>
      <c r="Q216" s="33">
        <v>8500063381</v>
      </c>
      <c r="R216" s="33">
        <v>5001171037</v>
      </c>
      <c r="S216" s="33">
        <v>1600</v>
      </c>
      <c r="T216" s="31" t="s">
        <v>87</v>
      </c>
      <c r="U216" s="75">
        <v>8500063380</v>
      </c>
      <c r="V216" s="31">
        <v>5001167245</v>
      </c>
      <c r="W216" s="50"/>
      <c r="X216" s="34">
        <v>1600</v>
      </c>
      <c r="Y216" s="34">
        <v>6400</v>
      </c>
      <c r="Z216" s="34" t="s">
        <v>1619</v>
      </c>
      <c r="AA216" s="34">
        <f t="shared" si="14"/>
        <v>0</v>
      </c>
      <c r="AB216" s="34">
        <f t="shared" si="15"/>
        <v>0</v>
      </c>
      <c r="AC216" s="29"/>
      <c r="AD216" s="29"/>
      <c r="AE216" s="25"/>
      <c r="AF216" s="25"/>
      <c r="AG216" s="25"/>
      <c r="AH216" s="35"/>
    </row>
    <row r="217" spans="1:34" ht="15.6">
      <c r="A217" s="31"/>
      <c r="B217" s="63"/>
      <c r="C217" s="29"/>
      <c r="D217" s="64"/>
      <c r="E217" s="29">
        <v>4</v>
      </c>
      <c r="F217" s="29">
        <v>2600</v>
      </c>
      <c r="G217" s="31">
        <f t="shared" si="13"/>
        <v>10400</v>
      </c>
      <c r="H217" s="67" t="s">
        <v>146</v>
      </c>
      <c r="I217" s="37">
        <v>45236</v>
      </c>
      <c r="J217" s="33">
        <v>2600</v>
      </c>
      <c r="K217" s="33">
        <v>26</v>
      </c>
      <c r="L217" s="57">
        <v>45232</v>
      </c>
      <c r="M217" s="31">
        <v>10400</v>
      </c>
      <c r="N217" s="31">
        <v>104</v>
      </c>
      <c r="O217" s="31" t="s">
        <v>1754</v>
      </c>
      <c r="P217" s="74" t="s">
        <v>1558</v>
      </c>
      <c r="Q217" s="33">
        <v>8500063381</v>
      </c>
      <c r="R217" s="33">
        <v>5001182845</v>
      </c>
      <c r="S217" s="33">
        <v>2600</v>
      </c>
      <c r="T217" s="31" t="s">
        <v>87</v>
      </c>
      <c r="U217" s="75">
        <v>8500063380</v>
      </c>
      <c r="V217" s="31">
        <v>5001167245</v>
      </c>
      <c r="W217" s="50">
        <v>45257</v>
      </c>
      <c r="X217" s="34">
        <v>2600</v>
      </c>
      <c r="Y217" s="34">
        <v>10400</v>
      </c>
      <c r="Z217" s="34" t="s">
        <v>1401</v>
      </c>
      <c r="AA217" s="34">
        <f t="shared" si="14"/>
        <v>0</v>
      </c>
      <c r="AB217" s="34">
        <f t="shared" si="15"/>
        <v>0</v>
      </c>
      <c r="AC217" s="29"/>
      <c r="AD217" s="29"/>
      <c r="AE217" s="25"/>
      <c r="AF217" s="25"/>
      <c r="AG217" s="25"/>
      <c r="AH217" s="35"/>
    </row>
    <row r="218" spans="1:34" ht="15.6">
      <c r="A218" s="31" t="s">
        <v>868</v>
      </c>
      <c r="B218" s="63">
        <v>6000025968</v>
      </c>
      <c r="C218" s="2" t="s">
        <v>1882</v>
      </c>
      <c r="D218" s="117">
        <v>6000025968</v>
      </c>
      <c r="E218" s="29">
        <v>20</v>
      </c>
      <c r="F218" s="29">
        <v>125</v>
      </c>
      <c r="G218" s="31">
        <f t="shared" si="13"/>
        <v>2500</v>
      </c>
      <c r="H218" s="67" t="s">
        <v>243</v>
      </c>
      <c r="I218" s="37">
        <v>45232</v>
      </c>
      <c r="J218" s="33">
        <v>125</v>
      </c>
      <c r="K218" s="33">
        <v>8</v>
      </c>
      <c r="L218" s="57">
        <v>45236</v>
      </c>
      <c r="M218" s="31">
        <v>2500</v>
      </c>
      <c r="N218" s="31">
        <v>50</v>
      </c>
      <c r="O218" s="31" t="s">
        <v>1657</v>
      </c>
      <c r="P218" s="74" t="s">
        <v>28</v>
      </c>
      <c r="Q218" s="33">
        <v>8500063324</v>
      </c>
      <c r="R218" s="33">
        <v>5001167433</v>
      </c>
      <c r="S218" s="29">
        <v>125</v>
      </c>
      <c r="T218" s="31" t="s">
        <v>655</v>
      </c>
      <c r="U218" s="75">
        <v>8500063343</v>
      </c>
      <c r="V218" s="31">
        <v>5001182261</v>
      </c>
      <c r="W218" s="50">
        <v>45275</v>
      </c>
      <c r="X218" s="34">
        <v>125</v>
      </c>
      <c r="Y218" s="34">
        <v>2500</v>
      </c>
      <c r="Z218" s="34" t="s">
        <v>800</v>
      </c>
      <c r="AA218" s="34">
        <f t="shared" si="14"/>
        <v>0</v>
      </c>
      <c r="AB218" s="34">
        <f t="shared" si="15"/>
        <v>0</v>
      </c>
      <c r="AC218" s="29"/>
      <c r="AD218" s="29"/>
      <c r="AE218" s="25"/>
      <c r="AF218" s="25"/>
      <c r="AG218" s="25"/>
      <c r="AH218" s="35"/>
    </row>
    <row r="219" spans="1:34" ht="15.6">
      <c r="A219" s="31"/>
      <c r="B219" s="63"/>
      <c r="C219" s="29"/>
      <c r="D219" s="64"/>
      <c r="E219" s="29">
        <v>20</v>
      </c>
      <c r="F219" s="29">
        <v>249</v>
      </c>
      <c r="G219" s="31">
        <f t="shared" si="13"/>
        <v>4980</v>
      </c>
      <c r="H219" s="67" t="s">
        <v>27</v>
      </c>
      <c r="I219" s="37">
        <v>45232</v>
      </c>
      <c r="J219" s="33">
        <v>249</v>
      </c>
      <c r="K219" s="33">
        <v>9</v>
      </c>
      <c r="L219" s="57">
        <v>45236</v>
      </c>
      <c r="M219" s="31">
        <v>4980</v>
      </c>
      <c r="N219" s="31">
        <v>50</v>
      </c>
      <c r="O219" s="31" t="s">
        <v>1567</v>
      </c>
      <c r="P219" s="74" t="s">
        <v>28</v>
      </c>
      <c r="Q219" s="33">
        <v>8500063324</v>
      </c>
      <c r="R219" s="33">
        <v>5001167433</v>
      </c>
      <c r="S219" s="29">
        <v>249</v>
      </c>
      <c r="T219" s="31" t="s">
        <v>655</v>
      </c>
      <c r="U219" s="75">
        <v>8500063343</v>
      </c>
      <c r="V219" s="31">
        <v>5001182261</v>
      </c>
      <c r="W219" s="50">
        <v>45240</v>
      </c>
      <c r="X219" s="34">
        <v>249</v>
      </c>
      <c r="Y219" s="34">
        <v>4980</v>
      </c>
      <c r="Z219" s="34" t="s">
        <v>1980</v>
      </c>
      <c r="AA219" s="34">
        <f t="shared" si="14"/>
        <v>0</v>
      </c>
      <c r="AB219" s="34">
        <f t="shared" si="15"/>
        <v>0</v>
      </c>
      <c r="AC219" s="29"/>
      <c r="AD219" s="29"/>
      <c r="AE219" s="25"/>
      <c r="AF219" s="25"/>
      <c r="AG219" s="25"/>
      <c r="AH219" s="35"/>
    </row>
    <row r="220" spans="1:34" ht="62.4">
      <c r="A220" s="31"/>
      <c r="B220" s="63"/>
      <c r="C220" s="29"/>
      <c r="D220" s="64"/>
      <c r="E220" s="29">
        <v>20</v>
      </c>
      <c r="F220" s="29">
        <v>436</v>
      </c>
      <c r="G220" s="31">
        <f t="shared" si="13"/>
        <v>8720</v>
      </c>
      <c r="H220" s="67" t="s">
        <v>46</v>
      </c>
      <c r="I220" s="37">
        <v>45232</v>
      </c>
      <c r="J220" s="33">
        <v>436</v>
      </c>
      <c r="K220" s="33">
        <v>11</v>
      </c>
      <c r="L220" s="57" t="s">
        <v>2019</v>
      </c>
      <c r="M220" s="31">
        <f>8500+220</f>
        <v>8720</v>
      </c>
      <c r="N220" s="31">
        <v>119</v>
      </c>
      <c r="O220" s="31" t="s">
        <v>2018</v>
      </c>
      <c r="P220" s="74" t="s">
        <v>28</v>
      </c>
      <c r="Q220" s="33">
        <v>8500063324</v>
      </c>
      <c r="R220" s="33">
        <v>5001167433</v>
      </c>
      <c r="S220" s="29">
        <v>436</v>
      </c>
      <c r="T220" s="31" t="s">
        <v>655</v>
      </c>
      <c r="U220" s="75">
        <v>8500063343</v>
      </c>
      <c r="V220" s="31">
        <v>5001175440</v>
      </c>
      <c r="W220" s="50">
        <v>45252</v>
      </c>
      <c r="X220" s="34">
        <v>436</v>
      </c>
      <c r="Y220" s="34">
        <v>8720</v>
      </c>
      <c r="Z220" s="34" t="s">
        <v>1988</v>
      </c>
      <c r="AA220" s="34">
        <f t="shared" si="14"/>
        <v>0</v>
      </c>
      <c r="AB220" s="34">
        <f t="shared" si="15"/>
        <v>0</v>
      </c>
      <c r="AC220" s="29"/>
      <c r="AD220" s="29"/>
      <c r="AE220" s="25"/>
      <c r="AF220" s="25"/>
      <c r="AG220" s="25"/>
      <c r="AH220" s="35"/>
    </row>
    <row r="221" spans="1:34" ht="62.4">
      <c r="A221" s="31"/>
      <c r="B221" s="63"/>
      <c r="C221" s="29"/>
      <c r="D221" s="64"/>
      <c r="E221" s="29">
        <v>20</v>
      </c>
      <c r="F221" s="29">
        <v>436</v>
      </c>
      <c r="G221" s="31">
        <f t="shared" si="13"/>
        <v>8720</v>
      </c>
      <c r="H221" s="67" t="s">
        <v>37</v>
      </c>
      <c r="I221" s="37">
        <v>45232</v>
      </c>
      <c r="J221" s="33">
        <v>436</v>
      </c>
      <c r="K221" s="33">
        <v>10</v>
      </c>
      <c r="L221" s="57" t="s">
        <v>1893</v>
      </c>
      <c r="M221" s="31">
        <f>3000+5720</f>
        <v>8720</v>
      </c>
      <c r="N221" s="31">
        <v>79</v>
      </c>
      <c r="O221" s="31" t="s">
        <v>1892</v>
      </c>
      <c r="P221" s="74" t="s">
        <v>28</v>
      </c>
      <c r="Q221" s="33">
        <v>8500063324</v>
      </c>
      <c r="R221" s="33">
        <v>5001167433</v>
      </c>
      <c r="S221" s="29">
        <v>436</v>
      </c>
      <c r="T221" s="31" t="s">
        <v>655</v>
      </c>
      <c r="U221" s="75">
        <v>8500063343</v>
      </c>
      <c r="V221" s="31">
        <v>5001175440</v>
      </c>
      <c r="W221" s="50">
        <v>45254</v>
      </c>
      <c r="X221" s="34">
        <v>436</v>
      </c>
      <c r="Y221" s="34">
        <v>8720</v>
      </c>
      <c r="Z221" s="34" t="s">
        <v>2006</v>
      </c>
      <c r="AA221" s="34">
        <f t="shared" si="14"/>
        <v>0</v>
      </c>
      <c r="AB221" s="34">
        <f t="shared" si="15"/>
        <v>0</v>
      </c>
      <c r="AC221" s="29"/>
      <c r="AD221" s="29"/>
      <c r="AE221" s="25"/>
      <c r="AF221" s="25"/>
      <c r="AG221" s="25"/>
      <c r="AH221" s="35"/>
    </row>
    <row r="222" spans="1:34" ht="15.6">
      <c r="A222" s="31" t="s">
        <v>868</v>
      </c>
      <c r="B222" s="63">
        <v>6000025968</v>
      </c>
      <c r="C222" s="2" t="s">
        <v>1883</v>
      </c>
      <c r="D222" s="117">
        <v>6000025968</v>
      </c>
      <c r="E222" s="29">
        <v>20</v>
      </c>
      <c r="F222" s="29">
        <v>214</v>
      </c>
      <c r="G222" s="31">
        <f t="shared" si="13"/>
        <v>4280</v>
      </c>
      <c r="H222" s="67" t="s">
        <v>243</v>
      </c>
      <c r="I222" s="37">
        <v>45232</v>
      </c>
      <c r="J222" s="33">
        <v>214</v>
      </c>
      <c r="K222" s="33">
        <v>7</v>
      </c>
      <c r="L222" s="57">
        <v>45234</v>
      </c>
      <c r="M222" s="31">
        <v>4280</v>
      </c>
      <c r="N222" s="31">
        <f>50</f>
        <v>50</v>
      </c>
      <c r="O222" s="31" t="s">
        <v>1890</v>
      </c>
      <c r="P222" s="74" t="s">
        <v>28</v>
      </c>
      <c r="Q222" s="33">
        <v>8500063326</v>
      </c>
      <c r="R222" s="33">
        <v>5001167434</v>
      </c>
      <c r="S222" s="29">
        <v>214</v>
      </c>
      <c r="T222" s="31" t="s">
        <v>655</v>
      </c>
      <c r="U222" s="75">
        <v>8500063344</v>
      </c>
      <c r="V222" s="31">
        <v>5001175419</v>
      </c>
      <c r="W222" s="50">
        <v>45248</v>
      </c>
      <c r="X222" s="34">
        <v>214</v>
      </c>
      <c r="Y222" s="34">
        <v>4280</v>
      </c>
      <c r="Z222" s="34" t="s">
        <v>800</v>
      </c>
      <c r="AA222" s="34">
        <f t="shared" si="14"/>
        <v>0</v>
      </c>
      <c r="AB222" s="34">
        <f t="shared" si="15"/>
        <v>0</v>
      </c>
      <c r="AC222" s="29"/>
      <c r="AD222" s="29"/>
      <c r="AE222" s="25"/>
      <c r="AF222" s="25"/>
      <c r="AG222" s="25"/>
      <c r="AH222" s="35"/>
    </row>
    <row r="223" spans="1:34" ht="15.6">
      <c r="A223" s="31"/>
      <c r="B223" s="63"/>
      <c r="C223" s="29"/>
      <c r="D223" s="64"/>
      <c r="E223" s="29">
        <v>20</v>
      </c>
      <c r="F223" s="29">
        <v>160</v>
      </c>
      <c r="G223" s="31">
        <f t="shared" si="13"/>
        <v>3200</v>
      </c>
      <c r="H223" s="67" t="s">
        <v>27</v>
      </c>
      <c r="I223" s="37">
        <v>45232</v>
      </c>
      <c r="J223" s="33">
        <v>160</v>
      </c>
      <c r="K223" s="33">
        <v>9</v>
      </c>
      <c r="L223" s="57">
        <v>45234</v>
      </c>
      <c r="M223" s="31">
        <v>3200</v>
      </c>
      <c r="N223" s="31">
        <f>50</f>
        <v>50</v>
      </c>
      <c r="O223" s="31" t="s">
        <v>1890</v>
      </c>
      <c r="P223" s="74" t="s">
        <v>28</v>
      </c>
      <c r="Q223" s="33">
        <v>8500063330</v>
      </c>
      <c r="R223" s="33">
        <v>5001167435</v>
      </c>
      <c r="S223" s="29">
        <v>160</v>
      </c>
      <c r="T223" s="31" t="s">
        <v>655</v>
      </c>
      <c r="U223" s="75">
        <v>8500063345</v>
      </c>
      <c r="V223" s="31">
        <v>5001175423</v>
      </c>
      <c r="W223" s="50">
        <v>45237</v>
      </c>
      <c r="X223" s="34">
        <v>160</v>
      </c>
      <c r="Y223" s="34">
        <v>3200</v>
      </c>
      <c r="Z223" s="34" t="s">
        <v>1472</v>
      </c>
      <c r="AA223" s="34">
        <f t="shared" si="14"/>
        <v>0</v>
      </c>
      <c r="AB223" s="34">
        <f t="shared" si="15"/>
        <v>0</v>
      </c>
      <c r="AC223" s="29"/>
      <c r="AD223" s="29"/>
      <c r="AE223" s="25"/>
      <c r="AF223" s="25"/>
      <c r="AG223" s="25"/>
      <c r="AH223" s="35"/>
    </row>
    <row r="224" spans="1:34" ht="20.25" customHeight="1">
      <c r="A224" s="31"/>
      <c r="B224" s="63"/>
      <c r="C224" s="29"/>
      <c r="D224" s="64"/>
      <c r="E224" s="29">
        <v>20</v>
      </c>
      <c r="F224" s="29">
        <v>160</v>
      </c>
      <c r="G224" s="31">
        <f t="shared" si="13"/>
        <v>3200</v>
      </c>
      <c r="H224" s="67" t="s">
        <v>46</v>
      </c>
      <c r="I224" s="37">
        <v>45232</v>
      </c>
      <c r="J224" s="33">
        <v>160</v>
      </c>
      <c r="K224" s="33">
        <v>8</v>
      </c>
      <c r="L224" s="57">
        <v>45234</v>
      </c>
      <c r="M224" s="31">
        <v>3200</v>
      </c>
      <c r="N224" s="31">
        <f>50</f>
        <v>50</v>
      </c>
      <c r="O224" s="31" t="s">
        <v>1890</v>
      </c>
      <c r="P224" s="74" t="s">
        <v>28</v>
      </c>
      <c r="Q224" s="33">
        <v>8500063330</v>
      </c>
      <c r="R224" s="33">
        <v>5001167435</v>
      </c>
      <c r="S224" s="29">
        <v>160</v>
      </c>
      <c r="T224" s="31" t="s">
        <v>655</v>
      </c>
      <c r="U224" s="75">
        <v>8500063345</v>
      </c>
      <c r="V224" s="31">
        <v>5001175423</v>
      </c>
      <c r="W224" s="50">
        <v>45237</v>
      </c>
      <c r="X224" s="34">
        <v>160</v>
      </c>
      <c r="Y224" s="34">
        <v>3200</v>
      </c>
      <c r="Z224" s="34" t="s">
        <v>267</v>
      </c>
      <c r="AA224" s="34">
        <f t="shared" si="14"/>
        <v>0</v>
      </c>
      <c r="AB224" s="34">
        <f t="shared" si="15"/>
        <v>0</v>
      </c>
      <c r="AC224" s="29"/>
      <c r="AD224" s="29"/>
      <c r="AE224" s="25"/>
      <c r="AF224" s="25"/>
      <c r="AG224" s="25"/>
      <c r="AH224" s="35"/>
    </row>
    <row r="225" spans="1:34" ht="19.5" customHeight="1">
      <c r="A225" s="31" t="s">
        <v>254</v>
      </c>
      <c r="B225" s="63">
        <v>6000026004</v>
      </c>
      <c r="C225" s="29" t="s">
        <v>255</v>
      </c>
      <c r="D225" s="2" t="s">
        <v>1967</v>
      </c>
      <c r="E225" s="29"/>
      <c r="F225" s="29"/>
      <c r="G225" s="31">
        <f t="shared" si="13"/>
        <v>0</v>
      </c>
      <c r="H225" s="67" t="s">
        <v>37</v>
      </c>
      <c r="I225" s="37">
        <v>45237</v>
      </c>
      <c r="J225" s="33">
        <v>20</v>
      </c>
      <c r="K225" s="33">
        <v>2</v>
      </c>
      <c r="L225" s="57">
        <v>45237</v>
      </c>
      <c r="M225" s="31">
        <v>600</v>
      </c>
      <c r="N225" s="31"/>
      <c r="O225" s="31"/>
      <c r="P225" s="485" t="s">
        <v>1643</v>
      </c>
      <c r="Q225" s="33"/>
      <c r="R225" s="33"/>
      <c r="S225" s="33">
        <v>20</v>
      </c>
      <c r="T225" s="30" t="s">
        <v>1954</v>
      </c>
      <c r="U225" s="75"/>
      <c r="V225" s="31"/>
      <c r="W225" s="50">
        <v>45240</v>
      </c>
      <c r="X225" s="34">
        <v>20</v>
      </c>
      <c r="Y225" s="34">
        <v>600</v>
      </c>
      <c r="Z225" s="34" t="s">
        <v>800</v>
      </c>
      <c r="AA225" s="34">
        <f t="shared" si="14"/>
        <v>0</v>
      </c>
      <c r="AB225" s="34">
        <f t="shared" si="15"/>
        <v>0</v>
      </c>
      <c r="AC225" s="29"/>
      <c r="AD225" s="29"/>
      <c r="AE225" s="25"/>
      <c r="AF225" s="25"/>
      <c r="AG225" s="25"/>
      <c r="AH225" s="35"/>
    </row>
    <row r="226" spans="1:34" ht="18.75" customHeight="1">
      <c r="A226" s="31" t="s">
        <v>254</v>
      </c>
      <c r="B226" s="63">
        <v>6000026014</v>
      </c>
      <c r="C226" s="29" t="s">
        <v>255</v>
      </c>
      <c r="D226" s="186" t="s">
        <v>1966</v>
      </c>
      <c r="E226" s="29"/>
      <c r="F226" s="29"/>
      <c r="G226" s="31">
        <f t="shared" si="13"/>
        <v>0</v>
      </c>
      <c r="H226" s="67" t="s">
        <v>37</v>
      </c>
      <c r="I226" s="37">
        <v>45237</v>
      </c>
      <c r="J226" s="33">
        <v>20</v>
      </c>
      <c r="K226" s="33"/>
      <c r="L226" s="57">
        <v>45237</v>
      </c>
      <c r="M226" s="31">
        <v>600</v>
      </c>
      <c r="N226" s="31"/>
      <c r="O226" s="31"/>
      <c r="P226" s="486"/>
      <c r="Q226" s="33"/>
      <c r="R226" s="33"/>
      <c r="S226" s="33">
        <v>20</v>
      </c>
      <c r="T226" s="30" t="s">
        <v>1954</v>
      </c>
      <c r="U226" s="75"/>
      <c r="V226" s="31"/>
      <c r="W226" s="50">
        <v>45240</v>
      </c>
      <c r="X226" s="34">
        <v>20</v>
      </c>
      <c r="Y226" s="34">
        <v>600</v>
      </c>
      <c r="Z226" s="34" t="s">
        <v>754</v>
      </c>
      <c r="AA226" s="34">
        <f t="shared" si="14"/>
        <v>0</v>
      </c>
      <c r="AB226" s="34">
        <f t="shared" si="15"/>
        <v>0</v>
      </c>
      <c r="AC226" s="29"/>
      <c r="AD226" s="29"/>
      <c r="AE226" s="25"/>
      <c r="AF226" s="25"/>
      <c r="AG226" s="25"/>
      <c r="AH226" s="35"/>
    </row>
    <row r="227" spans="1:34" ht="15.6">
      <c r="A227" s="31" t="s">
        <v>254</v>
      </c>
      <c r="B227" s="63">
        <v>6000026019</v>
      </c>
      <c r="C227" s="29" t="s">
        <v>255</v>
      </c>
      <c r="D227" s="2" t="s">
        <v>1965</v>
      </c>
      <c r="E227" s="29"/>
      <c r="F227" s="29"/>
      <c r="G227" s="31">
        <f t="shared" si="13"/>
        <v>0</v>
      </c>
      <c r="H227" s="67" t="s">
        <v>37</v>
      </c>
      <c r="I227" s="37">
        <v>45237</v>
      </c>
      <c r="J227" s="33">
        <v>70</v>
      </c>
      <c r="K227" s="33">
        <v>1</v>
      </c>
      <c r="L227" s="57">
        <v>45239</v>
      </c>
      <c r="M227" s="31">
        <v>2100</v>
      </c>
      <c r="N227" s="31">
        <v>11</v>
      </c>
      <c r="O227" s="31" t="s">
        <v>853</v>
      </c>
      <c r="P227" s="486"/>
      <c r="Q227" s="33"/>
      <c r="R227" s="33"/>
      <c r="S227" s="33">
        <v>70</v>
      </c>
      <c r="T227" s="30" t="s">
        <v>152</v>
      </c>
      <c r="U227" s="75"/>
      <c r="V227" s="31"/>
      <c r="W227" s="50">
        <v>45251</v>
      </c>
      <c r="X227" s="34">
        <v>70</v>
      </c>
      <c r="Y227" s="34">
        <v>2100</v>
      </c>
      <c r="Z227" s="34" t="s">
        <v>800</v>
      </c>
      <c r="AA227" s="34">
        <f t="shared" ref="AA227:AA242" si="16">J227-X227</f>
        <v>0</v>
      </c>
      <c r="AB227" s="34">
        <f t="shared" ref="AB227:AB242" si="17">M227-Y227</f>
        <v>0</v>
      </c>
      <c r="AC227" s="29"/>
      <c r="AD227" s="29"/>
      <c r="AE227" s="25"/>
      <c r="AF227" s="25"/>
      <c r="AG227" s="25"/>
      <c r="AH227" s="35"/>
    </row>
    <row r="228" spans="1:34" ht="31.2">
      <c r="A228" s="31" t="s">
        <v>240</v>
      </c>
      <c r="B228" s="63">
        <v>6000025259</v>
      </c>
      <c r="C228" s="29" t="s">
        <v>241</v>
      </c>
      <c r="D228" s="64"/>
      <c r="E228" s="29"/>
      <c r="F228" s="29"/>
      <c r="G228" s="31">
        <f t="shared" si="13"/>
        <v>0</v>
      </c>
      <c r="H228" s="67" t="s">
        <v>37</v>
      </c>
      <c r="I228" s="37">
        <v>45237</v>
      </c>
      <c r="J228" s="33">
        <v>110</v>
      </c>
      <c r="K228" s="33"/>
      <c r="L228" s="57">
        <v>45237</v>
      </c>
      <c r="M228" s="31">
        <v>3300</v>
      </c>
      <c r="N228" s="31"/>
      <c r="O228" s="31"/>
      <c r="P228" s="487"/>
      <c r="Q228" s="33"/>
      <c r="R228" s="33"/>
      <c r="S228" s="33">
        <v>110</v>
      </c>
      <c r="T228" s="30" t="s">
        <v>1954</v>
      </c>
      <c r="U228" s="75"/>
      <c r="V228" s="31"/>
      <c r="W228" s="50">
        <v>45247</v>
      </c>
      <c r="X228" s="34">
        <v>110</v>
      </c>
      <c r="Y228" s="34">
        <v>3300</v>
      </c>
      <c r="Z228" s="34" t="s">
        <v>800</v>
      </c>
      <c r="AA228" s="34">
        <f t="shared" si="16"/>
        <v>0</v>
      </c>
      <c r="AB228" s="34">
        <f t="shared" si="17"/>
        <v>0</v>
      </c>
      <c r="AC228" s="29"/>
      <c r="AD228" s="29"/>
      <c r="AE228" s="25"/>
      <c r="AF228" s="25"/>
      <c r="AG228" s="25"/>
      <c r="AH228" s="35"/>
    </row>
    <row r="229" spans="1:34" ht="15.6">
      <c r="A229" s="31" t="s">
        <v>692</v>
      </c>
      <c r="B229" s="63">
        <v>6000026436</v>
      </c>
      <c r="C229" s="2" t="s">
        <v>1399</v>
      </c>
      <c r="D229" s="117" t="s">
        <v>1935</v>
      </c>
      <c r="E229" s="29">
        <v>10</v>
      </c>
      <c r="F229" s="29">
        <v>1050</v>
      </c>
      <c r="G229" s="31">
        <f t="shared" si="13"/>
        <v>10500</v>
      </c>
      <c r="H229" s="67" t="s">
        <v>27</v>
      </c>
      <c r="I229" s="37">
        <v>45244</v>
      </c>
      <c r="J229" s="33">
        <v>1050</v>
      </c>
      <c r="K229" s="33">
        <f>21+9</f>
        <v>30</v>
      </c>
      <c r="L229" s="57">
        <v>45238</v>
      </c>
      <c r="M229" s="31">
        <v>10500</v>
      </c>
      <c r="N229" s="31">
        <v>105</v>
      </c>
      <c r="O229" s="31" t="s">
        <v>862</v>
      </c>
      <c r="P229" s="74" t="s">
        <v>160</v>
      </c>
      <c r="Q229" s="33">
        <v>8500063602</v>
      </c>
      <c r="R229" s="33">
        <v>5001214993</v>
      </c>
      <c r="S229" s="33">
        <v>1050</v>
      </c>
      <c r="T229" s="31" t="s">
        <v>1558</v>
      </c>
      <c r="U229" s="75">
        <v>8500063601</v>
      </c>
      <c r="V229" s="31">
        <v>5001191130</v>
      </c>
      <c r="W229" s="50">
        <v>45255</v>
      </c>
      <c r="X229" s="34">
        <v>1050</v>
      </c>
      <c r="Y229" s="34">
        <v>10500</v>
      </c>
      <c r="Z229" s="34" t="s">
        <v>439</v>
      </c>
      <c r="AA229" s="34">
        <f t="shared" si="16"/>
        <v>0</v>
      </c>
      <c r="AB229" s="34">
        <f t="shared" si="17"/>
        <v>0</v>
      </c>
      <c r="AC229" s="29"/>
      <c r="AD229" s="29"/>
      <c r="AE229" s="25"/>
      <c r="AF229" s="25"/>
      <c r="AG229" s="25"/>
      <c r="AH229" s="35"/>
    </row>
    <row r="230" spans="1:34" ht="31.2">
      <c r="A230" s="31"/>
      <c r="B230" s="63"/>
      <c r="C230" s="2"/>
      <c r="D230" s="117" t="s">
        <v>1936</v>
      </c>
      <c r="E230" s="29">
        <v>10</v>
      </c>
      <c r="F230" s="29">
        <v>1322</v>
      </c>
      <c r="G230" s="31">
        <f t="shared" si="13"/>
        <v>13220</v>
      </c>
      <c r="H230" s="67" t="s">
        <v>46</v>
      </c>
      <c r="I230" s="37" t="s">
        <v>1990</v>
      </c>
      <c r="J230" s="33">
        <f>802+520</f>
        <v>1322</v>
      </c>
      <c r="K230" s="33">
        <f>26+12</f>
        <v>38</v>
      </c>
      <c r="L230" s="57">
        <v>45238</v>
      </c>
      <c r="M230" s="31">
        <v>13220</v>
      </c>
      <c r="N230" s="31">
        <v>132</v>
      </c>
      <c r="O230" s="31" t="s">
        <v>1754</v>
      </c>
      <c r="P230" s="74" t="s">
        <v>160</v>
      </c>
      <c r="Q230" s="33">
        <v>8500063600</v>
      </c>
      <c r="R230" s="33">
        <v>5001203165</v>
      </c>
      <c r="S230" s="33">
        <f>802+520</f>
        <v>1322</v>
      </c>
      <c r="T230" s="31" t="s">
        <v>1558</v>
      </c>
      <c r="U230" s="75">
        <v>8500063599</v>
      </c>
      <c r="V230" s="31">
        <v>5001191131</v>
      </c>
      <c r="W230" s="50">
        <v>45255</v>
      </c>
      <c r="X230" s="34">
        <v>1322</v>
      </c>
      <c r="Y230" s="34">
        <v>13220</v>
      </c>
      <c r="Z230" s="34" t="s">
        <v>423</v>
      </c>
      <c r="AA230" s="34">
        <f t="shared" si="16"/>
        <v>0</v>
      </c>
      <c r="AB230" s="34">
        <f t="shared" si="17"/>
        <v>0</v>
      </c>
      <c r="AC230" s="29"/>
      <c r="AD230" s="29"/>
      <c r="AE230" s="25"/>
      <c r="AF230" s="25"/>
      <c r="AG230" s="25"/>
      <c r="AH230" s="35"/>
    </row>
    <row r="231" spans="1:34" ht="15.6">
      <c r="A231" s="31"/>
      <c r="B231" s="63"/>
      <c r="C231" s="2"/>
      <c r="D231" s="117" t="s">
        <v>1937</v>
      </c>
      <c r="E231" s="29">
        <v>10</v>
      </c>
      <c r="F231" s="29">
        <v>400</v>
      </c>
      <c r="G231" s="31">
        <f t="shared" si="13"/>
        <v>4000</v>
      </c>
      <c r="H231" s="67" t="s">
        <v>37</v>
      </c>
      <c r="I231" s="37">
        <v>45244</v>
      </c>
      <c r="J231" s="33">
        <v>400</v>
      </c>
      <c r="K231" s="33">
        <f>8+3</f>
        <v>11</v>
      </c>
      <c r="L231" s="57">
        <v>45238</v>
      </c>
      <c r="M231" s="31">
        <v>4000</v>
      </c>
      <c r="N231" s="31">
        <v>40</v>
      </c>
      <c r="O231" s="31" t="s">
        <v>1942</v>
      </c>
      <c r="P231" s="74" t="s">
        <v>160</v>
      </c>
      <c r="Q231" s="33">
        <v>8500063598</v>
      </c>
      <c r="R231" s="33">
        <v>5001215001</v>
      </c>
      <c r="S231" s="33">
        <v>400</v>
      </c>
      <c r="T231" s="31" t="s">
        <v>1558</v>
      </c>
      <c r="U231" s="75">
        <v>8500063597</v>
      </c>
      <c r="V231" s="31">
        <v>5001191132</v>
      </c>
      <c r="W231" s="50">
        <v>45247</v>
      </c>
      <c r="X231" s="34">
        <v>400</v>
      </c>
      <c r="Y231" s="34">
        <v>4000</v>
      </c>
      <c r="Z231" s="34" t="s">
        <v>800</v>
      </c>
      <c r="AA231" s="34">
        <f t="shared" si="16"/>
        <v>0</v>
      </c>
      <c r="AB231" s="34">
        <f t="shared" si="17"/>
        <v>0</v>
      </c>
      <c r="AC231" s="29"/>
      <c r="AD231" s="29"/>
      <c r="AE231" s="25"/>
      <c r="AF231" s="25"/>
      <c r="AG231" s="25"/>
      <c r="AH231" s="35"/>
    </row>
    <row r="232" spans="1:34" ht="15.6">
      <c r="A232" s="31" t="s">
        <v>692</v>
      </c>
      <c r="B232" s="63">
        <v>6000026397</v>
      </c>
      <c r="C232" s="2" t="s">
        <v>1529</v>
      </c>
      <c r="D232" s="117" t="s">
        <v>1938</v>
      </c>
      <c r="E232" s="29">
        <v>20</v>
      </c>
      <c r="F232" s="29">
        <v>350</v>
      </c>
      <c r="G232" s="31">
        <f t="shared" si="13"/>
        <v>7000</v>
      </c>
      <c r="H232" s="67" t="s">
        <v>27</v>
      </c>
      <c r="I232" s="37">
        <v>45241</v>
      </c>
      <c r="J232" s="33">
        <v>350</v>
      </c>
      <c r="K232" s="33">
        <f>5+2</f>
        <v>7</v>
      </c>
      <c r="L232" s="57">
        <v>45238</v>
      </c>
      <c r="M232" s="31">
        <v>7000</v>
      </c>
      <c r="N232" s="31">
        <v>70</v>
      </c>
      <c r="O232" s="31" t="s">
        <v>1743</v>
      </c>
      <c r="P232" s="74" t="s">
        <v>160</v>
      </c>
      <c r="Q232" s="33">
        <v>8500063573</v>
      </c>
      <c r="R232" s="33">
        <v>5001203087</v>
      </c>
      <c r="S232" s="33">
        <v>350</v>
      </c>
      <c r="T232" s="31" t="s">
        <v>1558</v>
      </c>
      <c r="U232" s="75">
        <v>8500063572</v>
      </c>
      <c r="V232" s="31">
        <v>5001195599</v>
      </c>
      <c r="W232" s="50">
        <v>45240</v>
      </c>
      <c r="X232" s="34">
        <v>350</v>
      </c>
      <c r="Y232" s="34">
        <v>7000</v>
      </c>
      <c r="Z232" s="34" t="s">
        <v>1783</v>
      </c>
      <c r="AA232" s="34">
        <f t="shared" si="16"/>
        <v>0</v>
      </c>
      <c r="AB232" s="34">
        <f t="shared" si="17"/>
        <v>0</v>
      </c>
      <c r="AC232" s="29"/>
      <c r="AD232" s="29"/>
      <c r="AE232" s="25"/>
      <c r="AF232" s="25"/>
      <c r="AG232" s="25"/>
      <c r="AH232" s="35"/>
    </row>
    <row r="233" spans="1:34" ht="15.6">
      <c r="A233" s="31"/>
      <c r="B233" s="63"/>
      <c r="C233" s="2"/>
      <c r="D233" s="117" t="s">
        <v>1939</v>
      </c>
      <c r="E233" s="29">
        <v>20</v>
      </c>
      <c r="F233" s="29">
        <v>640</v>
      </c>
      <c r="G233" s="31">
        <f t="shared" si="13"/>
        <v>12800</v>
      </c>
      <c r="H233" s="67" t="s">
        <v>46</v>
      </c>
      <c r="I233" s="37">
        <v>45241</v>
      </c>
      <c r="J233" s="33">
        <v>640</v>
      </c>
      <c r="K233" s="33">
        <f>8+2</f>
        <v>10</v>
      </c>
      <c r="L233" s="57">
        <v>45238</v>
      </c>
      <c r="M233" s="31">
        <v>12800</v>
      </c>
      <c r="N233" s="31">
        <v>128</v>
      </c>
      <c r="O233" s="31" t="s">
        <v>1743</v>
      </c>
      <c r="P233" s="74" t="s">
        <v>160</v>
      </c>
      <c r="Q233" s="33">
        <v>8500063571</v>
      </c>
      <c r="R233" s="33">
        <v>5001203088</v>
      </c>
      <c r="S233" s="33">
        <v>640</v>
      </c>
      <c r="T233" s="31" t="s">
        <v>1558</v>
      </c>
      <c r="U233" s="75">
        <v>8500063570</v>
      </c>
      <c r="V233" s="31">
        <v>5001195660</v>
      </c>
      <c r="W233" s="50">
        <v>45240</v>
      </c>
      <c r="X233" s="34">
        <v>640</v>
      </c>
      <c r="Y233" s="34">
        <v>12800</v>
      </c>
      <c r="Z233" s="34" t="s">
        <v>1958</v>
      </c>
      <c r="AA233" s="34">
        <f t="shared" si="16"/>
        <v>0</v>
      </c>
      <c r="AB233" s="34">
        <f t="shared" si="17"/>
        <v>0</v>
      </c>
      <c r="AC233" s="29"/>
      <c r="AD233" s="29"/>
      <c r="AE233" s="25"/>
      <c r="AF233" s="25"/>
      <c r="AG233" s="25"/>
      <c r="AH233" s="35"/>
    </row>
    <row r="234" spans="1:34" ht="15.6">
      <c r="A234" s="31"/>
      <c r="B234" s="63"/>
      <c r="C234" s="2"/>
      <c r="D234" s="117" t="s">
        <v>1940</v>
      </c>
      <c r="E234" s="29">
        <v>20</v>
      </c>
      <c r="F234" s="29">
        <v>450</v>
      </c>
      <c r="G234" s="31">
        <f t="shared" si="13"/>
        <v>9000</v>
      </c>
      <c r="H234" s="67" t="s">
        <v>37</v>
      </c>
      <c r="I234" s="37">
        <v>45241</v>
      </c>
      <c r="J234" s="33">
        <v>450</v>
      </c>
      <c r="K234" s="33">
        <f>6+1</f>
        <v>7</v>
      </c>
      <c r="L234" s="57">
        <v>45239</v>
      </c>
      <c r="M234" s="31">
        <v>9000</v>
      </c>
      <c r="N234" s="31">
        <v>90</v>
      </c>
      <c r="O234" s="31" t="s">
        <v>1439</v>
      </c>
      <c r="P234" s="74" t="s">
        <v>160</v>
      </c>
      <c r="Q234" s="33">
        <v>8500063569</v>
      </c>
      <c r="R234" s="33">
        <v>5001203120</v>
      </c>
      <c r="S234" s="33">
        <v>450</v>
      </c>
      <c r="T234" s="31" t="s">
        <v>1558</v>
      </c>
      <c r="U234" s="75">
        <v>8500063568</v>
      </c>
      <c r="V234" s="31">
        <v>5001195663</v>
      </c>
      <c r="W234" s="50">
        <v>45247</v>
      </c>
      <c r="X234" s="34">
        <v>450</v>
      </c>
      <c r="Y234" s="34">
        <v>9000</v>
      </c>
      <c r="Z234" s="34" t="s">
        <v>800</v>
      </c>
      <c r="AA234" s="34">
        <f t="shared" si="16"/>
        <v>0</v>
      </c>
      <c r="AB234" s="34">
        <f t="shared" si="17"/>
        <v>0</v>
      </c>
      <c r="AC234" s="29"/>
      <c r="AD234" s="29"/>
      <c r="AE234" s="25"/>
      <c r="AF234" s="25"/>
      <c r="AG234" s="25"/>
      <c r="AH234" s="35"/>
    </row>
    <row r="235" spans="1:34" ht="15.6">
      <c r="A235" s="31"/>
      <c r="B235" s="63"/>
      <c r="C235" s="2"/>
      <c r="D235" s="117" t="s">
        <v>1941</v>
      </c>
      <c r="E235" s="29">
        <v>20</v>
      </c>
      <c r="F235" s="29">
        <v>100</v>
      </c>
      <c r="G235" s="31">
        <f t="shared" si="13"/>
        <v>2000</v>
      </c>
      <c r="H235" s="67" t="s">
        <v>146</v>
      </c>
      <c r="I235" s="37">
        <v>45241</v>
      </c>
      <c r="J235" s="33">
        <v>100</v>
      </c>
      <c r="K235" s="33">
        <f>2+2</f>
        <v>4</v>
      </c>
      <c r="L235" s="57">
        <v>45239</v>
      </c>
      <c r="M235" s="31">
        <v>2000</v>
      </c>
      <c r="N235" s="31">
        <v>20</v>
      </c>
      <c r="O235" s="31" t="s">
        <v>874</v>
      </c>
      <c r="P235" s="74" t="s">
        <v>160</v>
      </c>
      <c r="Q235" s="33">
        <v>8500063575</v>
      </c>
      <c r="R235" s="33">
        <v>5001203122</v>
      </c>
      <c r="S235" s="33">
        <v>100</v>
      </c>
      <c r="T235" s="31" t="s">
        <v>1558</v>
      </c>
      <c r="U235" s="75">
        <v>8500063574</v>
      </c>
      <c r="V235" s="31">
        <v>5001195664</v>
      </c>
      <c r="W235" s="50">
        <v>45246</v>
      </c>
      <c r="X235" s="34">
        <v>100</v>
      </c>
      <c r="Y235" s="34">
        <v>2000</v>
      </c>
      <c r="Z235" s="34" t="s">
        <v>800</v>
      </c>
      <c r="AA235" s="34">
        <f t="shared" si="16"/>
        <v>0</v>
      </c>
      <c r="AB235" s="34">
        <f t="shared" si="17"/>
        <v>0</v>
      </c>
      <c r="AC235" s="29"/>
      <c r="AD235" s="29"/>
      <c r="AE235" s="25"/>
      <c r="AF235" s="25"/>
      <c r="AG235" s="25"/>
      <c r="AH235" s="35"/>
    </row>
    <row r="236" spans="1:34" ht="15.6">
      <c r="A236" s="31" t="s">
        <v>352</v>
      </c>
      <c r="B236" s="63">
        <v>6000026387</v>
      </c>
      <c r="C236" s="2" t="s">
        <v>1951</v>
      </c>
      <c r="D236" s="117">
        <v>6000026387</v>
      </c>
      <c r="E236" s="29">
        <v>20</v>
      </c>
      <c r="F236" s="29">
        <v>100</v>
      </c>
      <c r="G236" s="31">
        <f t="shared" si="13"/>
        <v>2000</v>
      </c>
      <c r="H236" s="67" t="s">
        <v>27</v>
      </c>
      <c r="I236" s="37">
        <v>45239</v>
      </c>
      <c r="J236" s="33">
        <v>100</v>
      </c>
      <c r="K236" s="33">
        <v>4</v>
      </c>
      <c r="L236" s="57">
        <v>45239</v>
      </c>
      <c r="M236" s="31">
        <v>2000</v>
      </c>
      <c r="N236" s="31">
        <v>10</v>
      </c>
      <c r="O236" s="31" t="s">
        <v>853</v>
      </c>
      <c r="P236" s="74" t="s">
        <v>28</v>
      </c>
      <c r="Q236" s="33">
        <v>8500063644</v>
      </c>
      <c r="R236" s="33">
        <v>5001195787</v>
      </c>
      <c r="S236" s="33">
        <v>100</v>
      </c>
      <c r="T236" s="31" t="s">
        <v>152</v>
      </c>
      <c r="U236" s="75">
        <v>8500063643</v>
      </c>
      <c r="V236" s="31">
        <v>5001195669</v>
      </c>
      <c r="W236" s="50">
        <v>45257</v>
      </c>
      <c r="X236" s="34">
        <v>100</v>
      </c>
      <c r="Y236" s="34">
        <v>2000</v>
      </c>
      <c r="Z236" s="34" t="s">
        <v>754</v>
      </c>
      <c r="AA236" s="34">
        <f t="shared" si="16"/>
        <v>0</v>
      </c>
      <c r="AB236" s="34">
        <f t="shared" si="17"/>
        <v>0</v>
      </c>
      <c r="AC236" s="29"/>
      <c r="AD236" s="29"/>
      <c r="AE236" s="25"/>
      <c r="AF236" s="25"/>
      <c r="AG236" s="25"/>
      <c r="AH236" s="35"/>
    </row>
    <row r="237" spans="1:34" ht="17.25" customHeight="1">
      <c r="A237" s="31"/>
      <c r="B237" s="63"/>
      <c r="C237" s="2"/>
      <c r="D237" s="117"/>
      <c r="E237" s="29">
        <v>20</v>
      </c>
      <c r="F237" s="29">
        <v>100</v>
      </c>
      <c r="G237" s="31">
        <f t="shared" si="13"/>
        <v>2000</v>
      </c>
      <c r="H237" s="67" t="s">
        <v>37</v>
      </c>
      <c r="I237" s="37">
        <v>45239</v>
      </c>
      <c r="J237" s="33">
        <v>100</v>
      </c>
      <c r="K237" s="33">
        <v>4</v>
      </c>
      <c r="L237" s="57">
        <v>45239</v>
      </c>
      <c r="M237" s="31">
        <v>2000</v>
      </c>
      <c r="N237" s="31">
        <v>10</v>
      </c>
      <c r="O237" s="31" t="s">
        <v>853</v>
      </c>
      <c r="P237" s="74" t="s">
        <v>28</v>
      </c>
      <c r="Q237" s="33">
        <v>8500063644</v>
      </c>
      <c r="R237" s="33">
        <v>5001195787</v>
      </c>
      <c r="S237" s="33">
        <v>100</v>
      </c>
      <c r="T237" s="31" t="s">
        <v>152</v>
      </c>
      <c r="U237" s="75">
        <v>8500063643</v>
      </c>
      <c r="V237" s="31">
        <v>5001195669</v>
      </c>
      <c r="W237" s="50">
        <v>45246</v>
      </c>
      <c r="X237" s="34">
        <v>100</v>
      </c>
      <c r="Y237" s="34">
        <v>2000</v>
      </c>
      <c r="Z237" s="34" t="s">
        <v>800</v>
      </c>
      <c r="AA237" s="34">
        <f t="shared" si="16"/>
        <v>0</v>
      </c>
      <c r="AB237" s="34">
        <f t="shared" si="17"/>
        <v>0</v>
      </c>
      <c r="AC237" s="29"/>
      <c r="AD237" s="29"/>
      <c r="AE237" s="25"/>
      <c r="AF237" s="25"/>
      <c r="AG237" s="25"/>
      <c r="AH237" s="35"/>
    </row>
    <row r="238" spans="1:34" ht="15.6">
      <c r="A238" s="31" t="s">
        <v>352</v>
      </c>
      <c r="B238" s="63">
        <v>6000026387</v>
      </c>
      <c r="C238" s="2" t="s">
        <v>363</v>
      </c>
      <c r="D238" s="117">
        <v>6000026387</v>
      </c>
      <c r="E238" s="29">
        <v>10</v>
      </c>
      <c r="F238" s="29">
        <v>200</v>
      </c>
      <c r="G238" s="31">
        <f t="shared" si="13"/>
        <v>2000</v>
      </c>
      <c r="H238" s="67" t="s">
        <v>46</v>
      </c>
      <c r="I238" s="37">
        <v>45239</v>
      </c>
      <c r="J238" s="33">
        <v>200</v>
      </c>
      <c r="K238" s="33">
        <v>3</v>
      </c>
      <c r="L238" s="57">
        <v>45247</v>
      </c>
      <c r="M238" s="31">
        <v>2000</v>
      </c>
      <c r="N238" s="31">
        <v>20</v>
      </c>
      <c r="O238" s="31" t="s">
        <v>1548</v>
      </c>
      <c r="P238" s="74" t="s">
        <v>28</v>
      </c>
      <c r="Q238" s="33">
        <v>8500063646</v>
      </c>
      <c r="R238" s="33">
        <v>5001195792</v>
      </c>
      <c r="S238" s="33">
        <v>200</v>
      </c>
      <c r="T238" s="31" t="s">
        <v>1558</v>
      </c>
      <c r="U238" s="75">
        <v>8500063645</v>
      </c>
      <c r="V238" s="31">
        <v>5001231351</v>
      </c>
      <c r="W238" s="50">
        <v>45248</v>
      </c>
      <c r="X238" s="34">
        <v>200</v>
      </c>
      <c r="Y238" s="34">
        <v>2000</v>
      </c>
      <c r="Z238" s="34" t="s">
        <v>800</v>
      </c>
      <c r="AA238" s="34">
        <f t="shared" si="16"/>
        <v>0</v>
      </c>
      <c r="AB238" s="34">
        <f t="shared" si="17"/>
        <v>0</v>
      </c>
      <c r="AC238" s="29"/>
      <c r="AD238" s="29"/>
      <c r="AE238" s="25"/>
      <c r="AF238" s="25"/>
      <c r="AG238" s="25"/>
      <c r="AH238" s="35"/>
    </row>
    <row r="239" spans="1:34" ht="15.6">
      <c r="A239" s="31"/>
      <c r="B239" s="63"/>
      <c r="C239" s="2"/>
      <c r="D239" s="117"/>
      <c r="E239" s="29">
        <v>10</v>
      </c>
      <c r="F239" s="29">
        <v>300</v>
      </c>
      <c r="G239" s="31">
        <f t="shared" si="13"/>
        <v>3000</v>
      </c>
      <c r="H239" s="67" t="s">
        <v>37</v>
      </c>
      <c r="I239" s="37">
        <v>45239</v>
      </c>
      <c r="J239" s="33">
        <v>300</v>
      </c>
      <c r="K239" s="33">
        <v>5</v>
      </c>
      <c r="L239" s="57">
        <v>45247</v>
      </c>
      <c r="M239" s="31">
        <v>3000</v>
      </c>
      <c r="N239" s="31">
        <v>30</v>
      </c>
      <c r="O239" s="31" t="s">
        <v>1846</v>
      </c>
      <c r="P239" s="74" t="s">
        <v>28</v>
      </c>
      <c r="Q239" s="33">
        <v>8500063646</v>
      </c>
      <c r="R239" s="33">
        <v>5001195792</v>
      </c>
      <c r="S239" s="33">
        <v>300</v>
      </c>
      <c r="T239" s="31" t="s">
        <v>1558</v>
      </c>
      <c r="U239" s="75">
        <v>8500063645</v>
      </c>
      <c r="V239" s="31">
        <v>5001231351</v>
      </c>
      <c r="W239" s="50">
        <v>45250</v>
      </c>
      <c r="X239" s="34">
        <v>300</v>
      </c>
      <c r="Y239" s="34">
        <v>3000</v>
      </c>
      <c r="Z239" s="34" t="s">
        <v>800</v>
      </c>
      <c r="AA239" s="34">
        <f t="shared" si="16"/>
        <v>0</v>
      </c>
      <c r="AB239" s="34">
        <f t="shared" si="17"/>
        <v>0</v>
      </c>
      <c r="AC239" s="29"/>
      <c r="AD239" s="29"/>
      <c r="AE239" s="25"/>
      <c r="AF239" s="25"/>
      <c r="AG239" s="25"/>
      <c r="AH239" s="35"/>
    </row>
    <row r="240" spans="1:34" ht="15.6">
      <c r="A240" s="31"/>
      <c r="B240" s="63"/>
      <c r="C240" s="2"/>
      <c r="D240" s="117"/>
      <c r="E240" s="29">
        <v>10</v>
      </c>
      <c r="F240" s="29">
        <v>350</v>
      </c>
      <c r="G240" s="31">
        <f t="shared" si="13"/>
        <v>3500</v>
      </c>
      <c r="H240" s="67" t="s">
        <v>146</v>
      </c>
      <c r="I240" s="37">
        <v>45239</v>
      </c>
      <c r="J240" s="33">
        <v>350</v>
      </c>
      <c r="K240" s="33">
        <v>5</v>
      </c>
      <c r="L240" s="57">
        <v>45247</v>
      </c>
      <c r="M240" s="31">
        <v>3500</v>
      </c>
      <c r="N240" s="31">
        <v>35</v>
      </c>
      <c r="O240" s="31" t="s">
        <v>899</v>
      </c>
      <c r="P240" s="74" t="s">
        <v>28</v>
      </c>
      <c r="Q240" s="33">
        <v>8500063646</v>
      </c>
      <c r="R240" s="33">
        <v>5001195792</v>
      </c>
      <c r="S240" s="33">
        <v>350</v>
      </c>
      <c r="T240" s="31" t="s">
        <v>1558</v>
      </c>
      <c r="U240" s="75">
        <v>8500063645</v>
      </c>
      <c r="V240" s="31">
        <v>5001231351</v>
      </c>
      <c r="W240" s="50">
        <v>45251</v>
      </c>
      <c r="X240" s="34">
        <v>350</v>
      </c>
      <c r="Y240" s="34">
        <v>3500</v>
      </c>
      <c r="Z240" s="34" t="s">
        <v>800</v>
      </c>
      <c r="AA240" s="34">
        <f t="shared" si="16"/>
        <v>0</v>
      </c>
      <c r="AB240" s="34">
        <f t="shared" si="17"/>
        <v>0</v>
      </c>
      <c r="AC240" s="29"/>
      <c r="AD240" s="29"/>
      <c r="AE240" s="25"/>
      <c r="AF240" s="25"/>
      <c r="AG240" s="25"/>
      <c r="AH240" s="35"/>
    </row>
    <row r="241" spans="1:34" ht="15.6">
      <c r="A241" s="31" t="s">
        <v>352</v>
      </c>
      <c r="B241" s="63">
        <v>6000026387</v>
      </c>
      <c r="C241" s="2" t="s">
        <v>1952</v>
      </c>
      <c r="D241" s="117">
        <v>6000026387</v>
      </c>
      <c r="E241" s="29">
        <v>10</v>
      </c>
      <c r="F241" s="29">
        <v>200</v>
      </c>
      <c r="G241" s="31">
        <f t="shared" si="13"/>
        <v>2000</v>
      </c>
      <c r="H241" s="67" t="s">
        <v>46</v>
      </c>
      <c r="I241" s="37">
        <v>45239</v>
      </c>
      <c r="J241" s="33">
        <v>200</v>
      </c>
      <c r="K241" s="33">
        <v>7</v>
      </c>
      <c r="L241" s="183">
        <v>45252</v>
      </c>
      <c r="M241" s="31"/>
      <c r="N241" s="31"/>
      <c r="O241" s="31"/>
      <c r="P241" s="74" t="s">
        <v>28</v>
      </c>
      <c r="Q241" s="33">
        <v>8500063648</v>
      </c>
      <c r="R241" s="33">
        <v>5001195795</v>
      </c>
      <c r="S241" s="33">
        <v>200</v>
      </c>
      <c r="T241" s="169" t="s">
        <v>2056</v>
      </c>
      <c r="U241" s="170">
        <v>8500063647</v>
      </c>
      <c r="V241" s="31">
        <v>5001251929</v>
      </c>
      <c r="W241" s="50">
        <v>45251</v>
      </c>
      <c r="X241" s="34">
        <v>200</v>
      </c>
      <c r="Y241" s="34"/>
      <c r="Z241" s="34" t="s">
        <v>1980</v>
      </c>
      <c r="AA241" s="34">
        <f t="shared" si="16"/>
        <v>0</v>
      </c>
      <c r="AB241" s="34">
        <f t="shared" si="17"/>
        <v>0</v>
      </c>
      <c r="AC241" s="29"/>
      <c r="AD241" s="29"/>
      <c r="AE241" s="25"/>
      <c r="AF241" s="25"/>
      <c r="AG241" s="25"/>
      <c r="AH241" s="35"/>
    </row>
    <row r="242" spans="1:34" ht="15.6">
      <c r="A242" s="31"/>
      <c r="B242" s="63"/>
      <c r="C242" s="2"/>
      <c r="D242" s="117"/>
      <c r="E242" s="29">
        <v>10</v>
      </c>
      <c r="F242" s="164">
        <v>200</v>
      </c>
      <c r="G242" s="31">
        <f t="shared" ref="G242:G265" si="18">F242*E242</f>
        <v>2000</v>
      </c>
      <c r="H242" s="67" t="s">
        <v>37</v>
      </c>
      <c r="I242" s="37">
        <v>45239</v>
      </c>
      <c r="J242" s="181">
        <v>200</v>
      </c>
      <c r="K242" s="167">
        <v>7</v>
      </c>
      <c r="L242" s="183">
        <v>45252</v>
      </c>
      <c r="M242" s="169">
        <v>2000</v>
      </c>
      <c r="N242" s="169">
        <v>20</v>
      </c>
      <c r="O242" s="169" t="s">
        <v>1746</v>
      </c>
      <c r="P242" s="74" t="s">
        <v>28</v>
      </c>
      <c r="Q242" s="33">
        <v>8500063648</v>
      </c>
      <c r="R242" s="33">
        <v>5001195795</v>
      </c>
      <c r="S242" s="181">
        <v>200</v>
      </c>
      <c r="T242" s="31" t="s">
        <v>1558</v>
      </c>
      <c r="U242" s="170">
        <v>8500063647</v>
      </c>
      <c r="V242" s="169">
        <v>5001248914</v>
      </c>
      <c r="W242" s="191">
        <v>45254</v>
      </c>
      <c r="X242" s="172">
        <v>200</v>
      </c>
      <c r="Y242" s="172">
        <v>2000</v>
      </c>
      <c r="Z242" s="172" t="s">
        <v>2006</v>
      </c>
      <c r="AA242" s="34">
        <f t="shared" si="16"/>
        <v>0</v>
      </c>
      <c r="AB242" s="34">
        <f t="shared" si="17"/>
        <v>0</v>
      </c>
      <c r="AC242" s="32"/>
    </row>
    <row r="243" spans="1:34" ht="15.6">
      <c r="A243" s="31"/>
      <c r="B243" s="63"/>
      <c r="C243" s="2"/>
      <c r="D243" s="117"/>
      <c r="E243" s="177">
        <v>10</v>
      </c>
      <c r="F243" s="178">
        <v>100</v>
      </c>
      <c r="G243" s="179">
        <f t="shared" si="18"/>
        <v>1000</v>
      </c>
      <c r="H243" s="180" t="s">
        <v>146</v>
      </c>
      <c r="I243" s="166"/>
      <c r="J243" s="167"/>
      <c r="K243" s="167"/>
      <c r="L243" s="183">
        <v>45252</v>
      </c>
      <c r="M243" s="169"/>
      <c r="N243" s="169"/>
      <c r="O243" s="169"/>
      <c r="P243" s="158" t="s">
        <v>895</v>
      </c>
      <c r="Q243" s="167">
        <v>8500063648</v>
      </c>
      <c r="R243" s="167">
        <v>5001214718</v>
      </c>
      <c r="S243" s="32"/>
      <c r="T243" s="169" t="s">
        <v>2056</v>
      </c>
      <c r="U243" s="170">
        <v>8500063647</v>
      </c>
      <c r="V243" s="169">
        <v>5001251929</v>
      </c>
      <c r="W243" s="171"/>
      <c r="X243" s="172"/>
      <c r="Y243" s="172"/>
      <c r="Z243" s="172"/>
      <c r="AA243" s="34">
        <f t="shared" ref="AA243:AA262" si="19">J243-X243</f>
        <v>0</v>
      </c>
      <c r="AB243" s="34">
        <f t="shared" ref="AB243:AB262" si="20">M243-Y243</f>
        <v>0</v>
      </c>
      <c r="AC243" s="32"/>
    </row>
    <row r="244" spans="1:34" ht="15.6">
      <c r="A244" s="31" t="s">
        <v>352</v>
      </c>
      <c r="B244" s="63">
        <v>6000026387</v>
      </c>
      <c r="C244" s="2" t="s">
        <v>1953</v>
      </c>
      <c r="D244" s="117">
        <v>6000026387</v>
      </c>
      <c r="E244" s="29">
        <v>10</v>
      </c>
      <c r="G244" s="31">
        <f>S244*E244</f>
        <v>2500</v>
      </c>
      <c r="H244" s="165" t="s">
        <v>46</v>
      </c>
      <c r="I244" s="37">
        <v>45239</v>
      </c>
      <c r="J244" s="167">
        <v>250</v>
      </c>
      <c r="K244" s="167">
        <v>11</v>
      </c>
      <c r="L244" s="183">
        <v>45252</v>
      </c>
      <c r="M244" s="169">
        <v>2500</v>
      </c>
      <c r="N244" s="169">
        <v>25</v>
      </c>
      <c r="O244" s="169" t="s">
        <v>1846</v>
      </c>
      <c r="P244" s="74" t="s">
        <v>28</v>
      </c>
      <c r="Q244" s="167">
        <v>8500063651</v>
      </c>
      <c r="R244" s="167">
        <v>5001195810</v>
      </c>
      <c r="S244" s="164">
        <v>250</v>
      </c>
      <c r="T244" s="31" t="s">
        <v>1558</v>
      </c>
      <c r="U244" s="170">
        <v>8500063649</v>
      </c>
      <c r="V244" s="169">
        <v>5001248492</v>
      </c>
      <c r="W244" s="191">
        <v>45257</v>
      </c>
      <c r="X244" s="172">
        <v>250</v>
      </c>
      <c r="Y244" s="172">
        <v>2500</v>
      </c>
      <c r="Z244" s="172" t="s">
        <v>754</v>
      </c>
      <c r="AA244" s="34">
        <f t="shared" si="19"/>
        <v>0</v>
      </c>
      <c r="AB244" s="34">
        <f t="shared" si="20"/>
        <v>0</v>
      </c>
      <c r="AC244" s="32"/>
    </row>
    <row r="245" spans="1:34" ht="15.6">
      <c r="A245" s="23"/>
      <c r="B245" s="173"/>
      <c r="C245" s="164"/>
      <c r="D245" s="76"/>
      <c r="E245" s="29">
        <v>10</v>
      </c>
      <c r="G245" s="31">
        <f>S245*E245</f>
        <v>2000</v>
      </c>
      <c r="H245" s="165" t="s">
        <v>146</v>
      </c>
      <c r="I245" s="37">
        <v>45239</v>
      </c>
      <c r="J245" s="167">
        <v>200</v>
      </c>
      <c r="K245" s="167">
        <v>8</v>
      </c>
      <c r="L245" s="183">
        <v>45254</v>
      </c>
      <c r="M245" s="169">
        <v>2000</v>
      </c>
      <c r="N245" s="169">
        <v>20</v>
      </c>
      <c r="O245" s="169"/>
      <c r="P245" s="74" t="s">
        <v>28</v>
      </c>
      <c r="Q245" s="167">
        <v>8500063651</v>
      </c>
      <c r="R245" s="167">
        <v>5001195810</v>
      </c>
      <c r="S245" s="164">
        <v>200</v>
      </c>
      <c r="T245" s="31" t="s">
        <v>1558</v>
      </c>
      <c r="U245" s="170">
        <v>8500063649</v>
      </c>
      <c r="V245" s="169">
        <v>5001257222</v>
      </c>
      <c r="W245" s="191">
        <v>45257</v>
      </c>
      <c r="X245" s="172">
        <v>200</v>
      </c>
      <c r="Y245" s="172">
        <v>2000</v>
      </c>
      <c r="Z245" s="172" t="s">
        <v>754</v>
      </c>
      <c r="AA245" s="34">
        <f t="shared" si="19"/>
        <v>0</v>
      </c>
      <c r="AB245" s="34">
        <f t="shared" si="20"/>
        <v>0</v>
      </c>
      <c r="AC245" s="32"/>
    </row>
    <row r="246" spans="1:34" ht="15.6">
      <c r="A246" s="31" t="s">
        <v>623</v>
      </c>
      <c r="B246" s="63">
        <v>6000026289</v>
      </c>
      <c r="C246" s="2" t="s">
        <v>624</v>
      </c>
      <c r="D246" s="117">
        <v>6000026289</v>
      </c>
      <c r="E246" s="164">
        <v>10</v>
      </c>
      <c r="F246" s="164">
        <v>150</v>
      </c>
      <c r="G246" s="31">
        <f t="shared" si="18"/>
        <v>1500</v>
      </c>
      <c r="H246" s="165" t="s">
        <v>27</v>
      </c>
      <c r="I246" s="189">
        <v>45250</v>
      </c>
      <c r="J246" s="167">
        <v>150</v>
      </c>
      <c r="K246" s="167">
        <v>3</v>
      </c>
      <c r="L246" s="183">
        <v>45239</v>
      </c>
      <c r="M246" s="169">
        <v>1500</v>
      </c>
      <c r="N246" s="169">
        <v>15</v>
      </c>
      <c r="O246" s="169" t="s">
        <v>734</v>
      </c>
      <c r="P246" s="158" t="s">
        <v>160</v>
      </c>
      <c r="Q246" s="167">
        <v>8500063561</v>
      </c>
      <c r="R246" s="167">
        <v>5001241077</v>
      </c>
      <c r="S246" s="164">
        <v>150</v>
      </c>
      <c r="T246" s="169" t="s">
        <v>87</v>
      </c>
      <c r="U246" s="170">
        <v>8500063560</v>
      </c>
      <c r="V246" s="169">
        <v>5001198914</v>
      </c>
      <c r="W246" s="191">
        <v>45251</v>
      </c>
      <c r="X246" s="172">
        <v>150</v>
      </c>
      <c r="Y246" s="172">
        <v>1500</v>
      </c>
      <c r="Z246" s="172" t="s">
        <v>800</v>
      </c>
      <c r="AA246" s="34">
        <f t="shared" si="19"/>
        <v>0</v>
      </c>
      <c r="AB246" s="34">
        <f t="shared" si="20"/>
        <v>0</v>
      </c>
      <c r="AC246" s="32"/>
    </row>
    <row r="247" spans="1:34" ht="28.8">
      <c r="A247" s="31"/>
      <c r="B247" s="63"/>
      <c r="C247" s="2"/>
      <c r="D247" s="117"/>
      <c r="E247" s="164">
        <v>10</v>
      </c>
      <c r="F247" s="164">
        <v>100</v>
      </c>
      <c r="G247" s="31">
        <f t="shared" si="18"/>
        <v>1000</v>
      </c>
      <c r="H247" s="165" t="s">
        <v>37</v>
      </c>
      <c r="I247" s="189" t="s">
        <v>2138</v>
      </c>
      <c r="J247" s="167">
        <f>98+2</f>
        <v>100</v>
      </c>
      <c r="K247" s="167">
        <f>2+5</f>
        <v>7</v>
      </c>
      <c r="L247" s="183">
        <v>45239</v>
      </c>
      <c r="M247" s="169">
        <v>1000</v>
      </c>
      <c r="N247" s="169">
        <v>10</v>
      </c>
      <c r="O247" s="169" t="s">
        <v>734</v>
      </c>
      <c r="P247" s="158" t="s">
        <v>160</v>
      </c>
      <c r="Q247" s="167">
        <v>8500063561</v>
      </c>
      <c r="R247" s="167">
        <v>5001241077</v>
      </c>
      <c r="S247" s="164">
        <v>98</v>
      </c>
      <c r="T247" s="169" t="s">
        <v>87</v>
      </c>
      <c r="U247" s="170">
        <v>8500063560</v>
      </c>
      <c r="V247" s="169">
        <v>5001198914</v>
      </c>
      <c r="W247" s="191">
        <v>45274</v>
      </c>
      <c r="X247" s="172">
        <v>100</v>
      </c>
      <c r="Y247" s="172">
        <v>1000</v>
      </c>
      <c r="Z247" s="172" t="s">
        <v>800</v>
      </c>
      <c r="AA247" s="34">
        <f t="shared" si="19"/>
        <v>0</v>
      </c>
      <c r="AB247" s="34">
        <f t="shared" si="20"/>
        <v>0</v>
      </c>
      <c r="AC247" s="32"/>
    </row>
    <row r="248" spans="1:34" ht="15.6">
      <c r="A248" s="31" t="s">
        <v>623</v>
      </c>
      <c r="B248" s="63">
        <v>6000026289</v>
      </c>
      <c r="C248" s="2" t="s">
        <v>626</v>
      </c>
      <c r="D248" s="117">
        <v>6000026289</v>
      </c>
      <c r="E248" s="164">
        <v>10</v>
      </c>
      <c r="F248" s="164">
        <v>100</v>
      </c>
      <c r="G248" s="31">
        <f t="shared" si="18"/>
        <v>1000</v>
      </c>
      <c r="H248" s="165" t="s">
        <v>27</v>
      </c>
      <c r="I248" s="189">
        <v>45250</v>
      </c>
      <c r="J248" s="181">
        <v>100</v>
      </c>
      <c r="K248" s="167">
        <f>2+1</f>
        <v>3</v>
      </c>
      <c r="L248" s="183">
        <v>45239</v>
      </c>
      <c r="M248" s="31">
        <v>1000</v>
      </c>
      <c r="N248" s="169">
        <v>10</v>
      </c>
      <c r="O248" s="169" t="s">
        <v>793</v>
      </c>
      <c r="P248" s="158" t="s">
        <v>160</v>
      </c>
      <c r="Q248" s="167">
        <v>8500063540</v>
      </c>
      <c r="R248" s="167">
        <v>5001241100</v>
      </c>
      <c r="S248" s="164">
        <v>100</v>
      </c>
      <c r="T248" s="169" t="s">
        <v>87</v>
      </c>
      <c r="U248" s="170">
        <v>8500063539</v>
      </c>
      <c r="V248" s="169">
        <v>5001199001</v>
      </c>
      <c r="W248" s="191">
        <v>45253</v>
      </c>
      <c r="X248" s="172">
        <v>100</v>
      </c>
      <c r="Y248" s="172">
        <v>1000</v>
      </c>
      <c r="Z248" s="172" t="s">
        <v>800</v>
      </c>
      <c r="AA248" s="34">
        <f t="shared" si="19"/>
        <v>0</v>
      </c>
      <c r="AB248" s="34">
        <f t="shared" si="20"/>
        <v>0</v>
      </c>
      <c r="AC248" s="32"/>
    </row>
    <row r="249" spans="1:34" ht="15.6">
      <c r="A249" s="31"/>
      <c r="B249" s="63"/>
      <c r="C249" s="2"/>
      <c r="D249" s="117"/>
      <c r="E249" s="164">
        <v>10</v>
      </c>
      <c r="F249" s="164">
        <v>280</v>
      </c>
      <c r="G249" s="31">
        <f t="shared" si="18"/>
        <v>2800</v>
      </c>
      <c r="H249" s="165" t="s">
        <v>37</v>
      </c>
      <c r="I249" s="189">
        <v>45250</v>
      </c>
      <c r="J249" s="181">
        <v>280</v>
      </c>
      <c r="K249" s="167">
        <v>4</v>
      </c>
      <c r="L249" s="183">
        <v>45239</v>
      </c>
      <c r="M249" s="31">
        <v>2800</v>
      </c>
      <c r="N249" s="169">
        <v>28</v>
      </c>
      <c r="O249" s="169" t="s">
        <v>1390</v>
      </c>
      <c r="P249" s="158" t="s">
        <v>160</v>
      </c>
      <c r="Q249" s="167">
        <v>8500063540</v>
      </c>
      <c r="R249" s="167">
        <v>5001241100</v>
      </c>
      <c r="S249" s="164"/>
      <c r="T249" s="169" t="s">
        <v>87</v>
      </c>
      <c r="U249" s="170">
        <v>8500063539</v>
      </c>
      <c r="V249" s="169">
        <v>5001199001</v>
      </c>
      <c r="W249" s="191">
        <v>45276</v>
      </c>
      <c r="X249" s="172">
        <v>280</v>
      </c>
      <c r="Y249" s="172">
        <v>2800</v>
      </c>
      <c r="Z249" s="172" t="s">
        <v>2236</v>
      </c>
      <c r="AA249" s="34">
        <f t="shared" si="19"/>
        <v>0</v>
      </c>
      <c r="AB249" s="34">
        <f t="shared" si="20"/>
        <v>0</v>
      </c>
      <c r="AC249" s="32"/>
    </row>
    <row r="250" spans="1:34" ht="15.6">
      <c r="A250" s="31"/>
      <c r="B250" s="63"/>
      <c r="C250" s="2"/>
      <c r="D250" s="117"/>
      <c r="E250" s="164">
        <v>10</v>
      </c>
      <c r="F250" s="164">
        <v>150</v>
      </c>
      <c r="G250" s="31">
        <f t="shared" si="18"/>
        <v>1500</v>
      </c>
      <c r="H250" s="165" t="s">
        <v>146</v>
      </c>
      <c r="I250" s="189">
        <v>45250</v>
      </c>
      <c r="J250" s="181">
        <v>150</v>
      </c>
      <c r="K250" s="167">
        <v>3</v>
      </c>
      <c r="L250" s="183">
        <v>45239</v>
      </c>
      <c r="M250" s="31">
        <v>1500</v>
      </c>
      <c r="N250" s="169">
        <v>15</v>
      </c>
      <c r="O250" s="169" t="s">
        <v>793</v>
      </c>
      <c r="P250" s="158" t="s">
        <v>160</v>
      </c>
      <c r="Q250" s="167">
        <v>8500063540</v>
      </c>
      <c r="R250" s="167">
        <v>5001241100</v>
      </c>
      <c r="S250" s="164">
        <v>150</v>
      </c>
      <c r="T250" s="169" t="s">
        <v>87</v>
      </c>
      <c r="U250" s="170">
        <v>8500063539</v>
      </c>
      <c r="V250" s="169">
        <v>5001199001</v>
      </c>
      <c r="W250" s="191">
        <v>45258</v>
      </c>
      <c r="X250" s="172">
        <v>150</v>
      </c>
      <c r="Y250" s="172">
        <v>1500</v>
      </c>
      <c r="Z250" s="172" t="s">
        <v>800</v>
      </c>
      <c r="AA250" s="34">
        <f t="shared" si="19"/>
        <v>0</v>
      </c>
      <c r="AB250" s="34">
        <f t="shared" si="20"/>
        <v>0</v>
      </c>
      <c r="AC250" s="32"/>
    </row>
    <row r="251" spans="1:34" ht="15.6">
      <c r="A251" s="31" t="s">
        <v>623</v>
      </c>
      <c r="B251" s="63">
        <v>6000026289</v>
      </c>
      <c r="C251" s="2" t="s">
        <v>629</v>
      </c>
      <c r="D251" s="117">
        <v>6000026289</v>
      </c>
      <c r="E251" s="164"/>
      <c r="F251" s="164">
        <v>180</v>
      </c>
      <c r="G251" s="31">
        <f t="shared" si="18"/>
        <v>0</v>
      </c>
      <c r="H251" s="165" t="s">
        <v>243</v>
      </c>
      <c r="I251" s="189">
        <v>45244</v>
      </c>
      <c r="J251" s="181">
        <v>180</v>
      </c>
      <c r="K251" s="167">
        <f>3+1</f>
        <v>4</v>
      </c>
      <c r="L251" s="183">
        <v>45241</v>
      </c>
      <c r="M251" s="169">
        <v>1800</v>
      </c>
      <c r="N251" s="169">
        <v>260</v>
      </c>
      <c r="O251" s="169" t="s">
        <v>1977</v>
      </c>
      <c r="P251" s="158" t="s">
        <v>160</v>
      </c>
      <c r="Q251" s="167">
        <v>8500063541</v>
      </c>
      <c r="R251" s="167">
        <v>5001216156</v>
      </c>
      <c r="S251" s="32">
        <v>180</v>
      </c>
      <c r="T251" s="169" t="s">
        <v>924</v>
      </c>
      <c r="U251" s="170">
        <v>8500063543</v>
      </c>
      <c r="V251" s="169">
        <v>5001210667</v>
      </c>
      <c r="W251" s="191">
        <v>45276</v>
      </c>
      <c r="X251" s="172">
        <v>180</v>
      </c>
      <c r="Y251" s="172">
        <v>1800</v>
      </c>
      <c r="Z251" s="172" t="s">
        <v>800</v>
      </c>
      <c r="AA251" s="34">
        <f t="shared" si="19"/>
        <v>0</v>
      </c>
      <c r="AB251" s="34">
        <f t="shared" si="20"/>
        <v>0</v>
      </c>
      <c r="AC251" s="32"/>
    </row>
    <row r="252" spans="1:34" ht="15.6">
      <c r="A252" s="31"/>
      <c r="B252" s="63"/>
      <c r="C252" s="187"/>
      <c r="D252" s="188"/>
      <c r="E252" s="164"/>
      <c r="F252" s="164"/>
      <c r="G252" s="31"/>
      <c r="H252" s="165"/>
      <c r="I252" s="166"/>
      <c r="J252" s="181"/>
      <c r="K252" s="167"/>
      <c r="L252" s="183">
        <v>45241</v>
      </c>
      <c r="M252" s="169">
        <v>1800</v>
      </c>
      <c r="N252" s="169">
        <v>105</v>
      </c>
      <c r="O252" s="169" t="s">
        <v>1978</v>
      </c>
      <c r="P252" s="158"/>
      <c r="Q252" s="167"/>
      <c r="R252" s="167"/>
      <c r="S252" s="32"/>
      <c r="T252" s="169" t="s">
        <v>924</v>
      </c>
      <c r="U252" s="170">
        <v>8500063542</v>
      </c>
      <c r="V252" s="169">
        <v>5001210665</v>
      </c>
      <c r="W252" s="171"/>
      <c r="X252" s="172"/>
      <c r="Y252" s="172">
        <v>1800</v>
      </c>
      <c r="Z252" s="172" t="s">
        <v>800</v>
      </c>
      <c r="AA252" s="34"/>
      <c r="AB252" s="34">
        <f t="shared" si="20"/>
        <v>0</v>
      </c>
      <c r="AC252" s="32"/>
    </row>
    <row r="253" spans="1:34" ht="15.6">
      <c r="A253" s="23"/>
      <c r="B253" s="173"/>
      <c r="C253" s="476" t="s">
        <v>1968</v>
      </c>
      <c r="D253" s="477"/>
      <c r="E253" s="182"/>
      <c r="F253" s="164">
        <v>50</v>
      </c>
      <c r="G253" s="31">
        <f t="shared" si="18"/>
        <v>0</v>
      </c>
      <c r="H253" s="165" t="s">
        <v>46</v>
      </c>
      <c r="I253" s="189">
        <v>45244</v>
      </c>
      <c r="J253" s="181">
        <v>50</v>
      </c>
      <c r="K253" s="167">
        <f>1+2</f>
        <v>3</v>
      </c>
      <c r="L253" s="183">
        <v>45241</v>
      </c>
      <c r="M253" s="169">
        <v>500</v>
      </c>
      <c r="N253" s="169">
        <v>105</v>
      </c>
      <c r="O253" s="169" t="s">
        <v>1977</v>
      </c>
      <c r="P253" s="158" t="s">
        <v>160</v>
      </c>
      <c r="Q253" s="167">
        <v>8500063541</v>
      </c>
      <c r="R253" s="167">
        <v>5001216156</v>
      </c>
      <c r="S253" s="32">
        <v>50</v>
      </c>
      <c r="T253" s="169" t="s">
        <v>924</v>
      </c>
      <c r="U253" s="170">
        <v>8500063543</v>
      </c>
      <c r="V253" s="169">
        <v>5001210667</v>
      </c>
      <c r="W253" s="191">
        <v>45258</v>
      </c>
      <c r="X253" s="172">
        <v>50</v>
      </c>
      <c r="Y253" s="172">
        <v>500</v>
      </c>
      <c r="Z253" s="172" t="s">
        <v>800</v>
      </c>
      <c r="AA253" s="34">
        <f t="shared" si="19"/>
        <v>0</v>
      </c>
      <c r="AB253" s="34">
        <f t="shared" si="20"/>
        <v>0</v>
      </c>
      <c r="AC253" s="32"/>
    </row>
    <row r="254" spans="1:34" ht="15.6">
      <c r="A254" s="23"/>
      <c r="B254" s="173"/>
      <c r="C254" s="478"/>
      <c r="D254" s="479"/>
      <c r="E254" s="182"/>
      <c r="F254" s="164"/>
      <c r="G254" s="31"/>
      <c r="H254" s="165"/>
      <c r="I254" s="166"/>
      <c r="J254" s="181"/>
      <c r="K254" s="167"/>
      <c r="L254" s="183">
        <v>45241</v>
      </c>
      <c r="M254" s="169">
        <v>500</v>
      </c>
      <c r="N254" s="169">
        <v>332</v>
      </c>
      <c r="O254" s="169" t="s">
        <v>1978</v>
      </c>
      <c r="P254" s="158"/>
      <c r="Q254" s="167"/>
      <c r="R254" s="167"/>
      <c r="S254" s="32"/>
      <c r="T254" s="169" t="s">
        <v>924</v>
      </c>
      <c r="U254" s="170">
        <v>8500063542</v>
      </c>
      <c r="V254" s="169">
        <v>5001210665</v>
      </c>
      <c r="W254" s="171"/>
      <c r="X254" s="172"/>
      <c r="Y254" s="172">
        <v>500</v>
      </c>
      <c r="Z254" s="172" t="s">
        <v>800</v>
      </c>
      <c r="AA254" s="34"/>
      <c r="AB254" s="34">
        <f t="shared" si="20"/>
        <v>0</v>
      </c>
      <c r="AC254" s="32"/>
    </row>
    <row r="255" spans="1:34" ht="15.6">
      <c r="A255" s="23"/>
      <c r="B255" s="173"/>
      <c r="C255" s="480"/>
      <c r="D255" s="481"/>
      <c r="E255" s="182"/>
      <c r="F255" s="164">
        <v>50</v>
      </c>
      <c r="G255" s="31">
        <f t="shared" si="18"/>
        <v>0</v>
      </c>
      <c r="H255" s="165" t="s">
        <v>37</v>
      </c>
      <c r="I255" s="189">
        <v>45244</v>
      </c>
      <c r="J255" s="181">
        <v>50</v>
      </c>
      <c r="K255" s="167">
        <v>1</v>
      </c>
      <c r="L255" s="183">
        <v>45241</v>
      </c>
      <c r="M255" s="169">
        <v>500</v>
      </c>
      <c r="N255" s="169">
        <v>63</v>
      </c>
      <c r="O255" s="169" t="s">
        <v>1977</v>
      </c>
      <c r="P255" s="158" t="s">
        <v>160</v>
      </c>
      <c r="Q255" s="167">
        <v>8500063541</v>
      </c>
      <c r="R255" s="167">
        <v>5001216156</v>
      </c>
      <c r="S255" s="32">
        <v>50</v>
      </c>
      <c r="T255" s="169" t="s">
        <v>924</v>
      </c>
      <c r="U255" s="170">
        <v>8500063543</v>
      </c>
      <c r="V255" s="169">
        <v>5001210667</v>
      </c>
      <c r="W255" s="191">
        <v>45274</v>
      </c>
      <c r="X255" s="172">
        <v>50</v>
      </c>
      <c r="Y255" s="172">
        <v>500</v>
      </c>
      <c r="Z255" s="172" t="s">
        <v>800</v>
      </c>
      <c r="AA255" s="34">
        <f t="shared" si="19"/>
        <v>0</v>
      </c>
      <c r="AB255" s="34">
        <f t="shared" si="20"/>
        <v>0</v>
      </c>
      <c r="AC255" s="32"/>
    </row>
    <row r="256" spans="1:34" ht="15.6">
      <c r="A256" s="23"/>
      <c r="B256" s="173"/>
      <c r="C256" s="184"/>
      <c r="D256" s="185"/>
      <c r="E256" s="182"/>
      <c r="G256" s="474" t="s">
        <v>1993</v>
      </c>
      <c r="H256" s="475"/>
      <c r="I256" s="189">
        <v>45244</v>
      </c>
      <c r="J256" s="167"/>
      <c r="K256" s="167" t="s">
        <v>2004</v>
      </c>
      <c r="L256" s="183">
        <v>45241</v>
      </c>
      <c r="M256" s="169">
        <v>500</v>
      </c>
      <c r="N256" s="169">
        <v>96</v>
      </c>
      <c r="O256" s="169" t="s">
        <v>1978</v>
      </c>
      <c r="P256" s="158" t="s">
        <v>160</v>
      </c>
      <c r="Q256" s="167">
        <v>8500063544</v>
      </c>
      <c r="R256" s="167">
        <v>5001216159</v>
      </c>
      <c r="S256" s="32"/>
      <c r="T256" s="169" t="s">
        <v>924</v>
      </c>
      <c r="U256" s="170">
        <v>8500063542</v>
      </c>
      <c r="V256" s="169">
        <v>5001210665</v>
      </c>
      <c r="W256" s="171"/>
      <c r="X256" s="172"/>
      <c r="Y256" s="172">
        <v>500</v>
      </c>
      <c r="Z256" s="172" t="s">
        <v>800</v>
      </c>
      <c r="AA256" s="34"/>
      <c r="AB256" s="34">
        <f t="shared" si="20"/>
        <v>0</v>
      </c>
      <c r="AC256" s="32"/>
    </row>
    <row r="257" spans="1:29" ht="15.6">
      <c r="A257" s="31" t="s">
        <v>623</v>
      </c>
      <c r="B257" s="63">
        <v>6000026289</v>
      </c>
      <c r="C257" s="2" t="s">
        <v>1956</v>
      </c>
      <c r="D257" s="117">
        <v>6000026289</v>
      </c>
      <c r="E257" s="164">
        <v>10</v>
      </c>
      <c r="F257" s="164">
        <v>100</v>
      </c>
      <c r="G257" s="31">
        <f t="shared" si="18"/>
        <v>1000</v>
      </c>
      <c r="H257" s="165" t="s">
        <v>46</v>
      </c>
      <c r="I257" s="189">
        <v>45250</v>
      </c>
      <c r="J257" s="167">
        <v>100</v>
      </c>
      <c r="K257" s="167">
        <f>2+1</f>
        <v>3</v>
      </c>
      <c r="L257" s="183">
        <v>45240</v>
      </c>
      <c r="M257" s="169">
        <v>1000</v>
      </c>
      <c r="N257" s="169">
        <v>10</v>
      </c>
      <c r="O257" s="169" t="s">
        <v>1390</v>
      </c>
      <c r="P257" s="158" t="s">
        <v>160</v>
      </c>
      <c r="Q257" s="167">
        <v>8500063546</v>
      </c>
      <c r="R257" s="167">
        <v>5001241104</v>
      </c>
      <c r="S257" s="32"/>
      <c r="T257" s="169" t="s">
        <v>87</v>
      </c>
      <c r="U257" s="170">
        <v>8500063474</v>
      </c>
      <c r="V257" s="169">
        <v>5001200146</v>
      </c>
      <c r="W257" s="191">
        <v>45276</v>
      </c>
      <c r="X257" s="172">
        <v>100</v>
      </c>
      <c r="Y257" s="172">
        <v>1000</v>
      </c>
      <c r="Z257" s="172" t="s">
        <v>800</v>
      </c>
      <c r="AA257" s="34">
        <f t="shared" si="19"/>
        <v>0</v>
      </c>
      <c r="AB257" s="34">
        <f t="shared" si="20"/>
        <v>0</v>
      </c>
      <c r="AC257" s="32"/>
    </row>
    <row r="258" spans="1:29" ht="15" customHeight="1">
      <c r="A258" s="31" t="s">
        <v>2009</v>
      </c>
      <c r="B258" s="63">
        <v>6000024895</v>
      </c>
      <c r="C258" s="2" t="s">
        <v>2011</v>
      </c>
      <c r="D258" s="117" t="s">
        <v>2010</v>
      </c>
      <c r="E258" s="164">
        <v>10</v>
      </c>
      <c r="F258" s="164">
        <v>80</v>
      </c>
      <c r="G258" s="31">
        <f t="shared" si="18"/>
        <v>800</v>
      </c>
      <c r="H258" s="165" t="s">
        <v>243</v>
      </c>
      <c r="I258" s="189">
        <v>45251</v>
      </c>
      <c r="J258" s="164">
        <v>80</v>
      </c>
      <c r="K258" s="167">
        <v>10</v>
      </c>
      <c r="L258" s="183">
        <v>45252</v>
      </c>
      <c r="M258" s="169">
        <v>800</v>
      </c>
      <c r="N258" s="169">
        <v>20</v>
      </c>
      <c r="O258" s="169" t="s">
        <v>1657</v>
      </c>
      <c r="P258" s="158" t="s">
        <v>924</v>
      </c>
      <c r="Q258" s="167">
        <v>8500064019</v>
      </c>
      <c r="R258" s="167">
        <v>5001247682</v>
      </c>
      <c r="S258" s="164">
        <v>80</v>
      </c>
      <c r="T258" s="169" t="s">
        <v>655</v>
      </c>
      <c r="U258" s="170">
        <v>8500064018</v>
      </c>
      <c r="V258" s="169">
        <v>5001247680</v>
      </c>
      <c r="W258" s="191">
        <v>45253</v>
      </c>
      <c r="X258" s="172">
        <v>80</v>
      </c>
      <c r="Y258" s="172">
        <v>800</v>
      </c>
      <c r="Z258" s="172" t="s">
        <v>800</v>
      </c>
      <c r="AA258" s="34">
        <f t="shared" si="19"/>
        <v>0</v>
      </c>
      <c r="AB258" s="34">
        <f t="shared" si="20"/>
        <v>0</v>
      </c>
      <c r="AC258" s="32"/>
    </row>
    <row r="259" spans="1:29" ht="15.6">
      <c r="A259" s="23"/>
      <c r="B259" s="173"/>
      <c r="C259" s="164"/>
      <c r="D259" s="76"/>
      <c r="E259" s="164">
        <v>10</v>
      </c>
      <c r="F259" s="164">
        <v>240</v>
      </c>
      <c r="G259" s="31">
        <f t="shared" si="18"/>
        <v>2400</v>
      </c>
      <c r="H259" s="165" t="s">
        <v>27</v>
      </c>
      <c r="I259" s="189">
        <v>45251</v>
      </c>
      <c r="J259" s="164">
        <v>240</v>
      </c>
      <c r="K259" s="167">
        <v>10</v>
      </c>
      <c r="L259" s="183">
        <v>45252</v>
      </c>
      <c r="M259" s="169">
        <v>2400</v>
      </c>
      <c r="N259" s="169">
        <v>30</v>
      </c>
      <c r="O259" s="169" t="s">
        <v>1509</v>
      </c>
      <c r="P259" s="158" t="s">
        <v>924</v>
      </c>
      <c r="Q259" s="167">
        <v>8500064019</v>
      </c>
      <c r="R259" s="167">
        <v>5001247682</v>
      </c>
      <c r="S259" s="164">
        <v>240</v>
      </c>
      <c r="T259" s="169" t="s">
        <v>655</v>
      </c>
      <c r="U259" s="170">
        <v>8500064018</v>
      </c>
      <c r="V259" s="169">
        <v>5001247680</v>
      </c>
      <c r="W259" s="191">
        <v>45253</v>
      </c>
      <c r="X259" s="172">
        <v>240</v>
      </c>
      <c r="Y259" s="172">
        <v>2400</v>
      </c>
      <c r="Z259" s="172" t="s">
        <v>800</v>
      </c>
      <c r="AA259" s="34">
        <f t="shared" si="19"/>
        <v>0</v>
      </c>
      <c r="AB259" s="34">
        <f t="shared" si="20"/>
        <v>0</v>
      </c>
      <c r="AC259" s="32"/>
    </row>
    <row r="260" spans="1:29" ht="15.6">
      <c r="A260" s="23"/>
      <c r="B260" s="173"/>
      <c r="C260" s="472" t="s">
        <v>2012</v>
      </c>
      <c r="D260" s="473"/>
      <c r="E260" s="164">
        <v>10</v>
      </c>
      <c r="F260" s="164">
        <v>2000</v>
      </c>
      <c r="G260" s="31">
        <f t="shared" si="18"/>
        <v>20000</v>
      </c>
      <c r="H260" s="165" t="s">
        <v>46</v>
      </c>
      <c r="I260" s="189">
        <v>45251</v>
      </c>
      <c r="J260" s="164">
        <v>2000</v>
      </c>
      <c r="K260" s="167">
        <v>10</v>
      </c>
      <c r="L260" s="183">
        <v>45252</v>
      </c>
      <c r="M260" s="169">
        <v>20000</v>
      </c>
      <c r="N260" s="169">
        <v>106</v>
      </c>
      <c r="O260" s="169"/>
      <c r="P260" s="158" t="s">
        <v>924</v>
      </c>
      <c r="Q260" s="167">
        <v>8500064019</v>
      </c>
      <c r="R260" s="167">
        <v>5001247682</v>
      </c>
      <c r="S260" s="164">
        <v>2000</v>
      </c>
      <c r="T260" s="169" t="s">
        <v>655</v>
      </c>
      <c r="U260" s="170">
        <v>8500064018</v>
      </c>
      <c r="V260" s="169">
        <v>5001247680</v>
      </c>
      <c r="W260" s="191">
        <v>45255</v>
      </c>
      <c r="X260" s="172">
        <v>2000</v>
      </c>
      <c r="Y260" s="172">
        <v>20000</v>
      </c>
      <c r="Z260" s="172" t="s">
        <v>267</v>
      </c>
      <c r="AA260" s="34">
        <f t="shared" si="19"/>
        <v>0</v>
      </c>
      <c r="AB260" s="34">
        <f t="shared" si="20"/>
        <v>0</v>
      </c>
      <c r="AC260" s="32"/>
    </row>
    <row r="261" spans="1:29" ht="15.6">
      <c r="A261" s="23"/>
      <c r="B261" s="173"/>
      <c r="C261" s="164"/>
      <c r="D261" s="76"/>
      <c r="E261" s="164">
        <v>10</v>
      </c>
      <c r="F261" s="164">
        <v>1000</v>
      </c>
      <c r="G261" s="31">
        <f t="shared" si="18"/>
        <v>10000</v>
      </c>
      <c r="H261" s="165" t="s">
        <v>37</v>
      </c>
      <c r="I261" s="189">
        <v>45251</v>
      </c>
      <c r="J261" s="164">
        <v>1000</v>
      </c>
      <c r="K261" s="167">
        <v>10</v>
      </c>
      <c r="L261" s="183">
        <v>45252</v>
      </c>
      <c r="M261" s="169">
        <v>10000</v>
      </c>
      <c r="N261" s="169">
        <v>100</v>
      </c>
      <c r="O261" s="169"/>
      <c r="P261" s="158" t="s">
        <v>924</v>
      </c>
      <c r="Q261" s="167">
        <v>8500064019</v>
      </c>
      <c r="R261" s="167">
        <v>5001247682</v>
      </c>
      <c r="S261" s="164">
        <v>1000</v>
      </c>
      <c r="T261" s="169" t="s">
        <v>655</v>
      </c>
      <c r="U261" s="170">
        <v>8500064018</v>
      </c>
      <c r="V261" s="169">
        <v>5001247680</v>
      </c>
      <c r="W261" s="191">
        <v>45255</v>
      </c>
      <c r="X261" s="172">
        <v>1000</v>
      </c>
      <c r="Y261" s="172">
        <v>10000</v>
      </c>
      <c r="Z261" s="172" t="s">
        <v>1513</v>
      </c>
      <c r="AA261" s="34">
        <f t="shared" si="19"/>
        <v>0</v>
      </c>
      <c r="AB261" s="34">
        <f t="shared" si="20"/>
        <v>0</v>
      </c>
      <c r="AC261" s="32"/>
    </row>
    <row r="262" spans="1:29" ht="15.6">
      <c r="A262" s="23"/>
      <c r="B262" s="173"/>
      <c r="C262" s="164"/>
      <c r="D262" s="76"/>
      <c r="E262" s="164">
        <v>10</v>
      </c>
      <c r="F262" s="164">
        <v>780</v>
      </c>
      <c r="G262" s="31">
        <f t="shared" si="18"/>
        <v>7800</v>
      </c>
      <c r="H262" s="165" t="s">
        <v>146</v>
      </c>
      <c r="I262" s="189">
        <v>45251</v>
      </c>
      <c r="J262" s="164">
        <v>780</v>
      </c>
      <c r="K262" s="167">
        <v>10</v>
      </c>
      <c r="L262" s="183">
        <v>45252</v>
      </c>
      <c r="M262" s="169">
        <v>7800</v>
      </c>
      <c r="N262" s="169">
        <v>100</v>
      </c>
      <c r="O262" s="169" t="s">
        <v>1813</v>
      </c>
      <c r="P262" s="158" t="s">
        <v>924</v>
      </c>
      <c r="Q262" s="167">
        <v>8500064019</v>
      </c>
      <c r="R262" s="167">
        <v>5001247682</v>
      </c>
      <c r="S262" s="164">
        <v>780</v>
      </c>
      <c r="T262" s="169" t="s">
        <v>655</v>
      </c>
      <c r="U262" s="170">
        <v>8500064018</v>
      </c>
      <c r="V262" s="169">
        <v>5001247680</v>
      </c>
      <c r="W262" s="191">
        <v>45255</v>
      </c>
      <c r="X262" s="172">
        <v>780</v>
      </c>
      <c r="Y262" s="172">
        <v>7800</v>
      </c>
      <c r="Z262" s="172" t="s">
        <v>800</v>
      </c>
      <c r="AA262" s="34">
        <f t="shared" si="19"/>
        <v>0</v>
      </c>
      <c r="AB262" s="34">
        <f t="shared" si="20"/>
        <v>0</v>
      </c>
      <c r="AC262" s="32"/>
    </row>
    <row r="263" spans="1:29" ht="15.6">
      <c r="A263" s="31" t="s">
        <v>707</v>
      </c>
      <c r="B263" s="63">
        <v>2000001225</v>
      </c>
      <c r="C263" s="2" t="s">
        <v>2044</v>
      </c>
      <c r="D263" s="117">
        <v>2000001225</v>
      </c>
      <c r="E263" s="164">
        <v>10</v>
      </c>
      <c r="F263" s="164">
        <v>800</v>
      </c>
      <c r="G263" s="23">
        <f t="shared" si="18"/>
        <v>8000</v>
      </c>
      <c r="H263" s="165" t="s">
        <v>27</v>
      </c>
      <c r="I263" s="189">
        <v>45250</v>
      </c>
      <c r="J263" s="164">
        <v>800</v>
      </c>
      <c r="K263" s="167">
        <v>9</v>
      </c>
      <c r="L263" s="183">
        <v>45250</v>
      </c>
      <c r="M263" s="169">
        <v>8000</v>
      </c>
      <c r="N263" s="169" t="s">
        <v>2070</v>
      </c>
      <c r="O263" s="169"/>
      <c r="P263" s="158" t="s">
        <v>28</v>
      </c>
      <c r="Q263" s="167">
        <v>8500064328</v>
      </c>
      <c r="R263" s="167">
        <v>5001240892</v>
      </c>
      <c r="S263" s="164">
        <v>800</v>
      </c>
      <c r="T263" s="169" t="s">
        <v>924</v>
      </c>
      <c r="U263" s="170">
        <v>8500064329</v>
      </c>
      <c r="V263" s="169">
        <v>5001255835</v>
      </c>
      <c r="W263" s="191">
        <v>45282</v>
      </c>
      <c r="X263" s="172">
        <v>800</v>
      </c>
      <c r="Y263" s="172">
        <v>8000</v>
      </c>
      <c r="Z263" s="172" t="s">
        <v>1784</v>
      </c>
      <c r="AA263" s="34">
        <f>J263-X263</f>
        <v>0</v>
      </c>
      <c r="AB263" s="34">
        <f>M263-Y263</f>
        <v>0</v>
      </c>
      <c r="AC263" s="32"/>
    </row>
    <row r="264" spans="1:29" ht="15.6">
      <c r="A264" s="31"/>
      <c r="B264" s="63"/>
      <c r="C264" s="2"/>
      <c r="D264" s="117"/>
      <c r="E264" s="164">
        <v>10</v>
      </c>
      <c r="F264" s="164">
        <v>500</v>
      </c>
      <c r="G264" s="23">
        <f t="shared" si="18"/>
        <v>5000</v>
      </c>
      <c r="H264" s="165" t="s">
        <v>46</v>
      </c>
      <c r="I264" s="189">
        <v>45250</v>
      </c>
      <c r="J264" s="164">
        <v>500</v>
      </c>
      <c r="K264" s="167">
        <v>9</v>
      </c>
      <c r="L264" s="183">
        <v>45250</v>
      </c>
      <c r="M264" s="169">
        <v>5000</v>
      </c>
      <c r="N264" s="169" t="s">
        <v>2071</v>
      </c>
      <c r="O264" s="169"/>
      <c r="P264" s="158" t="s">
        <v>28</v>
      </c>
      <c r="Q264" s="167">
        <v>8500064328</v>
      </c>
      <c r="R264" s="167">
        <v>5001240892</v>
      </c>
      <c r="S264" s="164">
        <v>500</v>
      </c>
      <c r="T264" s="169" t="s">
        <v>924</v>
      </c>
      <c r="U264" s="170">
        <v>8500064329</v>
      </c>
      <c r="V264" s="169">
        <v>5001255835</v>
      </c>
      <c r="W264" s="191">
        <v>45282</v>
      </c>
      <c r="X264" s="172">
        <v>500</v>
      </c>
      <c r="Y264" s="172">
        <v>5000</v>
      </c>
      <c r="Z264" s="172" t="s">
        <v>1743</v>
      </c>
      <c r="AA264" s="34">
        <f>J264-X264</f>
        <v>0</v>
      </c>
      <c r="AB264" s="34">
        <f>M264-Y264</f>
        <v>0</v>
      </c>
      <c r="AC264" s="32"/>
    </row>
    <row r="265" spans="1:29" ht="28.8">
      <c r="A265" s="31"/>
      <c r="B265" s="63"/>
      <c r="C265" s="2"/>
      <c r="D265" s="117" t="s">
        <v>2045</v>
      </c>
      <c r="E265" s="164">
        <v>10</v>
      </c>
      <c r="F265" s="164">
        <v>300</v>
      </c>
      <c r="G265" s="23">
        <f t="shared" si="18"/>
        <v>3000</v>
      </c>
      <c r="H265" s="165" t="s">
        <v>37</v>
      </c>
      <c r="I265" s="189" t="s">
        <v>2330</v>
      </c>
      <c r="J265" s="164">
        <v>300</v>
      </c>
      <c r="K265" s="167" t="s">
        <v>2329</v>
      </c>
      <c r="L265" s="183">
        <v>45250</v>
      </c>
      <c r="M265" s="169">
        <v>3000</v>
      </c>
      <c r="N265" s="169" t="s">
        <v>2072</v>
      </c>
      <c r="O265" s="169"/>
      <c r="P265" s="158" t="s">
        <v>28</v>
      </c>
      <c r="Q265" s="167">
        <v>8500064328</v>
      </c>
      <c r="R265" s="167">
        <v>5001240892</v>
      </c>
      <c r="S265" s="164">
        <v>300</v>
      </c>
      <c r="T265" s="169" t="s">
        <v>924</v>
      </c>
      <c r="U265" s="170">
        <v>8500064329</v>
      </c>
      <c r="V265" s="169">
        <v>5001255835</v>
      </c>
      <c r="W265" s="191">
        <v>45282</v>
      </c>
      <c r="X265" s="172">
        <v>300</v>
      </c>
      <c r="Y265" s="172">
        <v>3000</v>
      </c>
      <c r="Z265" s="172" t="s">
        <v>1743</v>
      </c>
      <c r="AA265" s="34">
        <f>J265-X265</f>
        <v>0</v>
      </c>
      <c r="AB265" s="34">
        <f>M265-Y265</f>
        <v>0</v>
      </c>
      <c r="AC265" s="32" t="s">
        <v>2331</v>
      </c>
    </row>
    <row r="266" spans="1:29">
      <c r="A266" s="23"/>
      <c r="B266" s="173"/>
      <c r="C266" s="164"/>
      <c r="D266" s="76"/>
      <c r="E266" s="164"/>
      <c r="F266" s="164"/>
      <c r="G266" s="23"/>
      <c r="H266" s="165"/>
      <c r="I266" s="166"/>
      <c r="J266" s="167"/>
      <c r="K266" s="167"/>
      <c r="L266" s="168"/>
      <c r="M266" s="169"/>
      <c r="N266" s="169"/>
      <c r="O266" s="169"/>
      <c r="P266" s="158"/>
      <c r="Q266" s="167"/>
      <c r="R266" s="167"/>
      <c r="S266" s="32"/>
      <c r="T266" s="169"/>
      <c r="U266" s="170"/>
      <c r="V266" s="169"/>
      <c r="W266" s="171"/>
      <c r="X266" s="172"/>
      <c r="Y266" s="172"/>
      <c r="Z266" s="172"/>
      <c r="AA266" s="172"/>
      <c r="AB266" s="172"/>
      <c r="AC266" s="32"/>
    </row>
    <row r="267" spans="1:29">
      <c r="A267" s="23"/>
      <c r="B267" s="173"/>
      <c r="C267" s="164"/>
      <c r="D267" s="76"/>
      <c r="E267" s="164"/>
      <c r="F267" s="164"/>
      <c r="G267" s="23"/>
      <c r="H267" s="165"/>
      <c r="I267" s="166"/>
      <c r="J267" s="167"/>
      <c r="K267" s="167"/>
      <c r="L267" s="168"/>
      <c r="M267" s="169"/>
      <c r="N267" s="169"/>
      <c r="O267" s="169"/>
      <c r="P267" s="158"/>
      <c r="Q267" s="167"/>
      <c r="R267" s="167"/>
      <c r="S267" s="32"/>
      <c r="T267" s="169"/>
      <c r="U267" s="170"/>
      <c r="V267" s="169"/>
      <c r="W267" s="171"/>
      <c r="X267" s="172"/>
      <c r="Y267" s="172"/>
      <c r="Z267" s="172"/>
      <c r="AA267" s="172"/>
      <c r="AB267" s="172"/>
      <c r="AC267" s="32"/>
    </row>
    <row r="268" spans="1:29">
      <c r="A268" s="23"/>
      <c r="B268" s="173"/>
      <c r="C268" s="164"/>
      <c r="D268" s="76"/>
      <c r="E268" s="164"/>
      <c r="F268" s="164"/>
      <c r="G268" s="23"/>
      <c r="H268" s="165"/>
      <c r="I268" s="166"/>
      <c r="J268" s="167"/>
      <c r="K268" s="167"/>
      <c r="L268" s="168"/>
      <c r="M268" s="169"/>
      <c r="N268" s="169"/>
      <c r="O268" s="169"/>
      <c r="P268" s="158"/>
      <c r="Q268" s="167"/>
      <c r="R268" s="167"/>
      <c r="S268" s="32"/>
      <c r="T268" s="169"/>
      <c r="U268" s="170"/>
      <c r="V268" s="169"/>
      <c r="W268" s="171"/>
      <c r="X268" s="172"/>
      <c r="Y268" s="172"/>
      <c r="Z268" s="172"/>
      <c r="AA268" s="172"/>
      <c r="AB268" s="172"/>
      <c r="AC268" s="32"/>
    </row>
    <row r="269" spans="1:29">
      <c r="A269" s="23"/>
      <c r="B269" s="173"/>
      <c r="C269" s="164"/>
      <c r="D269" s="76"/>
      <c r="E269" s="164"/>
      <c r="F269" s="164"/>
      <c r="G269" s="23"/>
      <c r="H269" s="165"/>
      <c r="I269" s="166"/>
      <c r="J269" s="167"/>
      <c r="K269" s="167"/>
      <c r="L269" s="168"/>
      <c r="M269" s="169"/>
      <c r="N269" s="169"/>
      <c r="O269" s="169"/>
      <c r="P269" s="158"/>
      <c r="Q269" s="167"/>
      <c r="R269" s="167"/>
      <c r="S269" s="32"/>
      <c r="T269" s="169"/>
      <c r="U269" s="170"/>
      <c r="V269" s="169"/>
      <c r="W269" s="171"/>
      <c r="X269" s="172"/>
      <c r="Y269" s="172"/>
      <c r="Z269" s="172"/>
      <c r="AA269" s="172"/>
      <c r="AB269" s="172"/>
      <c r="AC269" s="32"/>
    </row>
    <row r="270" spans="1:29">
      <c r="A270" s="23"/>
      <c r="B270" s="173"/>
      <c r="C270" s="164"/>
      <c r="D270" s="76"/>
      <c r="E270" s="164"/>
      <c r="F270" s="164"/>
      <c r="G270" s="23"/>
      <c r="H270" s="165"/>
      <c r="I270" s="166"/>
      <c r="J270" s="167"/>
      <c r="K270" s="167"/>
      <c r="L270" s="168"/>
      <c r="M270" s="169"/>
      <c r="N270" s="169"/>
      <c r="O270" s="169"/>
      <c r="P270" s="158"/>
      <c r="Q270" s="167"/>
      <c r="R270" s="167"/>
      <c r="S270" s="32"/>
      <c r="T270" s="169"/>
      <c r="U270" s="170"/>
      <c r="V270" s="169"/>
      <c r="W270" s="171"/>
      <c r="X270" s="172"/>
      <c r="Y270" s="172"/>
      <c r="Z270" s="172"/>
      <c r="AA270" s="172"/>
      <c r="AB270" s="172"/>
      <c r="AC270" s="32"/>
    </row>
    <row r="271" spans="1:29">
      <c r="A271" s="23"/>
      <c r="B271" s="173"/>
      <c r="C271" s="164"/>
      <c r="D271" s="76"/>
      <c r="E271" s="164"/>
      <c r="F271" s="164"/>
      <c r="G271" s="23"/>
      <c r="H271" s="165"/>
      <c r="I271" s="166"/>
      <c r="J271" s="167"/>
      <c r="K271" s="167"/>
      <c r="L271" s="168"/>
      <c r="M271" s="169"/>
      <c r="N271" s="169"/>
      <c r="O271" s="169"/>
      <c r="P271" s="158"/>
      <c r="Q271" s="167"/>
      <c r="R271" s="167"/>
      <c r="S271" s="32"/>
      <c r="T271" s="169"/>
      <c r="U271" s="170"/>
      <c r="V271" s="169"/>
      <c r="W271" s="171"/>
      <c r="X271" s="172"/>
      <c r="Y271" s="172"/>
      <c r="Z271" s="172"/>
      <c r="AA271" s="172"/>
      <c r="AB271" s="172"/>
      <c r="AC271" s="32"/>
    </row>
    <row r="272" spans="1:29">
      <c r="A272" s="23"/>
      <c r="B272" s="173"/>
      <c r="C272" s="164"/>
      <c r="D272" s="76"/>
      <c r="E272" s="164"/>
      <c r="F272" s="164"/>
      <c r="G272" s="23"/>
      <c r="H272" s="165"/>
      <c r="I272" s="166"/>
      <c r="J272" s="167"/>
      <c r="K272" s="167"/>
      <c r="L272" s="168"/>
      <c r="M272" s="169"/>
      <c r="N272" s="169"/>
      <c r="O272" s="169"/>
      <c r="P272" s="158"/>
      <c r="Q272" s="167"/>
      <c r="R272" s="167"/>
      <c r="S272" s="32"/>
      <c r="T272" s="169"/>
      <c r="U272" s="170"/>
      <c r="V272" s="169"/>
      <c r="W272" s="171"/>
      <c r="X272" s="172"/>
      <c r="Y272" s="172"/>
      <c r="Z272" s="172"/>
      <c r="AA272" s="172"/>
      <c r="AB272" s="172"/>
      <c r="AC272" s="32"/>
    </row>
  </sheetData>
  <mergeCells count="10">
    <mergeCell ref="AD140:AD141"/>
    <mergeCell ref="AD142:AD143"/>
    <mergeCell ref="AC40:AC42"/>
    <mergeCell ref="AC43:AC46"/>
    <mergeCell ref="AC115:AC119"/>
    <mergeCell ref="C260:D260"/>
    <mergeCell ref="G256:H256"/>
    <mergeCell ref="C253:D255"/>
    <mergeCell ref="AD193:AD195"/>
    <mergeCell ref="P225:P228"/>
  </mergeCells>
  <phoneticPr fontId="57" type="noConversion"/>
  <pageMargins left="0.7" right="0.7" top="0.75" bottom="0.75" header="0.3" footer="0.3"/>
  <pageSetup orientation="portrait" r:id="rId1"/>
  <ignoredErrors>
    <ignoredError sqref="N19 K105 K13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62C7-BBA9-49D0-A6E7-B67173DC3BBA}">
  <dimension ref="A1:AH322"/>
  <sheetViews>
    <sheetView zoomScale="93" zoomScaleNormal="93" workbookViewId="0">
      <pane xSplit="9" ySplit="11" topLeftCell="J128" activePane="bottomRight" state="frozen"/>
      <selection pane="topRight" activeCell="J1" sqref="J1"/>
      <selection pane="bottomLeft" activeCell="A12" sqref="A12"/>
      <selection pane="bottomRight" activeCell="B139" sqref="B139"/>
    </sheetView>
  </sheetViews>
  <sheetFormatPr defaultColWidth="9" defaultRowHeight="18.75" customHeight="1"/>
  <cols>
    <col min="1" max="1" width="19.88671875" style="138" customWidth="1"/>
    <col min="2" max="2" width="11.109375" style="139" customWidth="1"/>
    <col min="3" max="3" width="7.44140625" style="140" customWidth="1"/>
    <col min="4" max="4" width="10.33203125" style="134" customWidth="1"/>
    <col min="5" max="5" width="4" style="140" customWidth="1"/>
    <col min="6" max="6" width="7" style="141" customWidth="1"/>
    <col min="7" max="7" width="9" style="138" customWidth="1"/>
    <col min="8" max="8" width="6.33203125" style="142" customWidth="1"/>
    <col min="9" max="9" width="13.88671875" style="129" customWidth="1"/>
    <col min="10" max="10" width="6.109375" style="60" customWidth="1"/>
    <col min="11" max="11" width="5.6640625" style="60" customWidth="1"/>
    <col min="12" max="12" width="10.6640625" style="143" customWidth="1"/>
    <col min="13" max="13" width="5.88671875" style="144" customWidth="1"/>
    <col min="14" max="14" width="4.5546875" style="144" customWidth="1"/>
    <col min="15" max="15" width="6.109375" style="144" customWidth="1"/>
    <col min="16" max="16" width="11.44140625" style="60" customWidth="1"/>
    <col min="17" max="18" width="12.44140625" style="60" customWidth="1"/>
    <col min="19" max="19" width="8" style="60" customWidth="1"/>
    <col min="20" max="20" width="9.5546875" style="144" customWidth="1"/>
    <col min="21" max="21" width="13.5546875" style="144" customWidth="1"/>
    <col min="22" max="22" width="13.33203125" style="144" customWidth="1"/>
    <col min="23" max="23" width="12.6640625" style="145" customWidth="1"/>
    <col min="24" max="24" width="9" style="146" customWidth="1"/>
    <col min="25" max="25" width="6.44140625" style="146" customWidth="1"/>
    <col min="26" max="26" width="11" style="146" customWidth="1"/>
    <col min="27" max="27" width="6.44140625" style="146" customWidth="1"/>
    <col min="28" max="28" width="8.88671875" style="146" customWidth="1"/>
    <col min="29" max="29" width="40.44140625" style="60" customWidth="1"/>
    <col min="30" max="30" width="30.88671875" style="60" customWidth="1"/>
    <col min="31" max="31" width="22.44140625" style="140" customWidth="1"/>
    <col min="32" max="16384" width="9" style="140"/>
  </cols>
  <sheetData>
    <row r="1" spans="1:34" ht="18.75" hidden="1" customHeight="1"/>
    <row r="2" spans="1:34" ht="18.75" hidden="1" customHeight="1"/>
    <row r="3" spans="1:34" ht="18.75" hidden="1" customHeight="1"/>
    <row r="4" spans="1:34" ht="18.75" hidden="1" customHeight="1"/>
    <row r="5" spans="1:34" ht="18.75" hidden="1" customHeight="1"/>
    <row r="6" spans="1:34" ht="18.75" hidden="1" customHeight="1"/>
    <row r="7" spans="1:34" ht="18.75" hidden="1" customHeight="1"/>
    <row r="8" spans="1:34" ht="18.75" hidden="1" customHeight="1"/>
    <row r="9" spans="1:34" ht="18.75" hidden="1" customHeight="1"/>
    <row r="10" spans="1:34" ht="18.75" hidden="1" customHeight="1"/>
    <row r="11" spans="1:34" s="154" customFormat="1" ht="39" customHeight="1">
      <c r="A11" s="45" t="s">
        <v>1</v>
      </c>
      <c r="B11" s="121" t="s">
        <v>0</v>
      </c>
      <c r="C11" s="74" t="s">
        <v>2</v>
      </c>
      <c r="D11" s="80" t="s">
        <v>3</v>
      </c>
      <c r="E11" s="74" t="s">
        <v>4</v>
      </c>
      <c r="F11" s="147" t="s">
        <v>1493</v>
      </c>
      <c r="G11" s="148" t="s">
        <v>1494</v>
      </c>
      <c r="H11" s="119" t="s">
        <v>5</v>
      </c>
      <c r="I11" s="130" t="s">
        <v>1491</v>
      </c>
      <c r="J11" s="130" t="s">
        <v>1490</v>
      </c>
      <c r="K11" s="71" t="s">
        <v>1487</v>
      </c>
      <c r="L11" s="149" t="s">
        <v>1492</v>
      </c>
      <c r="M11" s="149" t="s">
        <v>1489</v>
      </c>
      <c r="N11" s="149" t="s">
        <v>1488</v>
      </c>
      <c r="O11" s="150" t="s">
        <v>687</v>
      </c>
      <c r="P11" s="71" t="s">
        <v>1483</v>
      </c>
      <c r="Q11" s="71" t="s">
        <v>1484</v>
      </c>
      <c r="R11" s="71" t="s">
        <v>1485</v>
      </c>
      <c r="S11" s="71" t="s">
        <v>1486</v>
      </c>
      <c r="T11" s="149" t="s">
        <v>17</v>
      </c>
      <c r="U11" s="149" t="s">
        <v>18</v>
      </c>
      <c r="V11" s="149" t="s">
        <v>19</v>
      </c>
      <c r="W11" s="151" t="s">
        <v>20</v>
      </c>
      <c r="X11" s="152" t="s">
        <v>9</v>
      </c>
      <c r="Y11" s="152" t="s">
        <v>15</v>
      </c>
      <c r="Z11" s="152" t="s">
        <v>21</v>
      </c>
      <c r="AA11" s="152" t="s">
        <v>22</v>
      </c>
      <c r="AB11" s="152" t="s">
        <v>23</v>
      </c>
      <c r="AC11" s="74" t="s">
        <v>688</v>
      </c>
      <c r="AD11" s="74" t="s">
        <v>1474</v>
      </c>
      <c r="AE11" s="153"/>
      <c r="AF11" s="153">
        <v>115567</v>
      </c>
      <c r="AG11" s="153">
        <v>2476130</v>
      </c>
      <c r="AH11" s="153">
        <v>130072</v>
      </c>
    </row>
    <row r="12" spans="1:34" ht="18.75" customHeight="1">
      <c r="A12" s="120" t="s">
        <v>1855</v>
      </c>
      <c r="B12" s="121">
        <v>6000026223</v>
      </c>
      <c r="C12" s="122" t="s">
        <v>636</v>
      </c>
      <c r="D12" s="122" t="s">
        <v>1856</v>
      </c>
      <c r="E12" s="74">
        <v>10</v>
      </c>
      <c r="F12" s="118">
        <v>1248</v>
      </c>
      <c r="G12" s="45">
        <f>F12*E12</f>
        <v>12480</v>
      </c>
      <c r="H12" s="119" t="s">
        <v>46</v>
      </c>
      <c r="I12" s="131">
        <v>45229</v>
      </c>
      <c r="J12" s="155">
        <v>1248</v>
      </c>
      <c r="K12" s="74">
        <f>13+6</f>
        <v>19</v>
      </c>
      <c r="L12" s="156">
        <v>45232</v>
      </c>
      <c r="M12" s="45">
        <v>12480</v>
      </c>
      <c r="N12" s="45">
        <v>125</v>
      </c>
      <c r="O12" s="45" t="s">
        <v>1848</v>
      </c>
      <c r="P12" s="74" t="s">
        <v>160</v>
      </c>
      <c r="Q12" s="74">
        <v>8500063306</v>
      </c>
      <c r="R12" s="74">
        <v>5001153004</v>
      </c>
      <c r="S12" s="155">
        <v>1248</v>
      </c>
      <c r="T12" s="45" t="s">
        <v>87</v>
      </c>
      <c r="U12" s="45">
        <v>8500063305</v>
      </c>
      <c r="V12" s="45">
        <v>5001167248</v>
      </c>
      <c r="W12" s="127" t="s">
        <v>2285</v>
      </c>
      <c r="X12" s="152">
        <f>500+748</f>
        <v>1248</v>
      </c>
      <c r="Y12" s="152">
        <f>5000+7480</f>
        <v>12480</v>
      </c>
      <c r="Z12" s="152" t="s">
        <v>2287</v>
      </c>
      <c r="AA12" s="152">
        <f>J12-X12</f>
        <v>0</v>
      </c>
      <c r="AB12" s="152">
        <f>M12-Y12</f>
        <v>0</v>
      </c>
      <c r="AC12" s="74"/>
      <c r="AD12" s="74"/>
      <c r="AE12" s="157"/>
      <c r="AF12" s="157"/>
      <c r="AG12" s="157"/>
      <c r="AH12" s="141"/>
    </row>
    <row r="13" spans="1:34" ht="18.75" customHeight="1">
      <c r="A13" s="120"/>
      <c r="B13" s="121"/>
      <c r="C13" s="122"/>
      <c r="D13" s="122"/>
      <c r="E13" s="74">
        <v>10</v>
      </c>
      <c r="F13" s="74">
        <v>1536</v>
      </c>
      <c r="G13" s="45">
        <f t="shared" ref="G13:G79" si="0">F13*E13</f>
        <v>15360</v>
      </c>
      <c r="H13" s="119" t="s">
        <v>37</v>
      </c>
      <c r="I13" s="131">
        <v>45229</v>
      </c>
      <c r="J13" s="158">
        <v>1536</v>
      </c>
      <c r="K13" s="74">
        <f>16+7</f>
        <v>23</v>
      </c>
      <c r="L13" s="156">
        <v>45232</v>
      </c>
      <c r="M13" s="45">
        <v>15360</v>
      </c>
      <c r="N13" s="45">
        <v>154</v>
      </c>
      <c r="O13" s="45" t="s">
        <v>1881</v>
      </c>
      <c r="P13" s="74" t="s">
        <v>160</v>
      </c>
      <c r="Q13" s="74">
        <v>8500063306</v>
      </c>
      <c r="R13" s="74">
        <v>5001153004</v>
      </c>
      <c r="S13" s="158">
        <v>1536</v>
      </c>
      <c r="T13" s="45" t="s">
        <v>87</v>
      </c>
      <c r="U13" s="45">
        <v>8500063305</v>
      </c>
      <c r="V13" s="45">
        <v>5001167248</v>
      </c>
      <c r="W13" s="127">
        <v>45246</v>
      </c>
      <c r="X13" s="152">
        <f>800+736</f>
        <v>1536</v>
      </c>
      <c r="Y13" s="152">
        <f>8000+7360</f>
        <v>15360</v>
      </c>
      <c r="Z13" s="152" t="s">
        <v>2288</v>
      </c>
      <c r="AA13" s="152">
        <f t="shared" ref="AA13:AA79" si="1">J13-X13</f>
        <v>0</v>
      </c>
      <c r="AB13" s="152">
        <f t="shared" ref="AB13:AB79" si="2">M13-Y13</f>
        <v>0</v>
      </c>
      <c r="AC13" s="74"/>
      <c r="AD13" s="74"/>
      <c r="AE13" s="157"/>
      <c r="AF13" s="157"/>
      <c r="AG13" s="157"/>
      <c r="AH13" s="141"/>
    </row>
    <row r="14" spans="1:34" ht="18.75" customHeight="1">
      <c r="A14" s="120"/>
      <c r="B14" s="121"/>
      <c r="C14" s="122"/>
      <c r="D14" s="122"/>
      <c r="E14" s="74">
        <v>10</v>
      </c>
      <c r="F14" s="74">
        <v>1176</v>
      </c>
      <c r="G14" s="45">
        <f t="shared" si="0"/>
        <v>11760</v>
      </c>
      <c r="H14" s="119" t="s">
        <v>146</v>
      </c>
      <c r="I14" s="128">
        <v>45226</v>
      </c>
      <c r="J14" s="158">
        <v>1176</v>
      </c>
      <c r="K14" s="74">
        <f>13+5</f>
        <v>18</v>
      </c>
      <c r="L14" s="156">
        <v>45232</v>
      </c>
      <c r="M14" s="45">
        <v>11760</v>
      </c>
      <c r="N14" s="45">
        <v>118</v>
      </c>
      <c r="O14" s="45" t="s">
        <v>1848</v>
      </c>
      <c r="P14" s="74" t="s">
        <v>160</v>
      </c>
      <c r="Q14" s="74">
        <v>8500063306</v>
      </c>
      <c r="R14" s="74">
        <v>5001145362</v>
      </c>
      <c r="S14" s="158">
        <v>1176</v>
      </c>
      <c r="T14" s="45" t="s">
        <v>87</v>
      </c>
      <c r="U14" s="45">
        <v>8500063305</v>
      </c>
      <c r="V14" s="45">
        <v>5001167248</v>
      </c>
      <c r="W14" s="127" t="s">
        <v>2285</v>
      </c>
      <c r="X14" s="152">
        <f>500+676</f>
        <v>1176</v>
      </c>
      <c r="Y14" s="152">
        <f>5000+6760</f>
        <v>11760</v>
      </c>
      <c r="Z14" s="152" t="s">
        <v>2282</v>
      </c>
      <c r="AA14" s="152">
        <f t="shared" si="1"/>
        <v>0</v>
      </c>
      <c r="AB14" s="152">
        <f t="shared" si="2"/>
        <v>0</v>
      </c>
      <c r="AC14" s="74"/>
      <c r="AD14" s="74"/>
      <c r="AE14" s="157"/>
      <c r="AF14" s="157"/>
      <c r="AG14" s="157"/>
      <c r="AH14" s="141"/>
    </row>
    <row r="15" spans="1:34" ht="18.75" customHeight="1">
      <c r="A15" s="120" t="s">
        <v>1855</v>
      </c>
      <c r="B15" s="121">
        <v>6000026224</v>
      </c>
      <c r="C15" s="122" t="s">
        <v>636</v>
      </c>
      <c r="D15" s="122" t="s">
        <v>1857</v>
      </c>
      <c r="E15" s="74">
        <v>10</v>
      </c>
      <c r="F15" s="74">
        <v>864</v>
      </c>
      <c r="G15" s="45">
        <f t="shared" si="0"/>
        <v>8640</v>
      </c>
      <c r="H15" s="119" t="s">
        <v>46</v>
      </c>
      <c r="I15" s="128">
        <v>45229</v>
      </c>
      <c r="J15" s="158">
        <v>864</v>
      </c>
      <c r="K15" s="74">
        <f>9+2</f>
        <v>11</v>
      </c>
      <c r="L15" s="156">
        <v>45232</v>
      </c>
      <c r="M15" s="45">
        <v>8640</v>
      </c>
      <c r="N15" s="45">
        <v>86</v>
      </c>
      <c r="O15" s="45" t="s">
        <v>1848</v>
      </c>
      <c r="P15" s="74" t="s">
        <v>160</v>
      </c>
      <c r="Q15" s="74">
        <v>8500063308</v>
      </c>
      <c r="R15" s="74">
        <v>5001153007</v>
      </c>
      <c r="S15" s="158">
        <v>864</v>
      </c>
      <c r="T15" s="45" t="s">
        <v>87</v>
      </c>
      <c r="U15" s="45">
        <v>8500063307</v>
      </c>
      <c r="V15" s="45">
        <v>5001167249</v>
      </c>
      <c r="W15" s="127" t="s">
        <v>2247</v>
      </c>
      <c r="X15" s="152">
        <f>500+364</f>
        <v>864</v>
      </c>
      <c r="Y15" s="152">
        <f>5000+3640</f>
        <v>8640</v>
      </c>
      <c r="Z15" s="152" t="s">
        <v>2241</v>
      </c>
      <c r="AA15" s="152">
        <f t="shared" si="1"/>
        <v>0</v>
      </c>
      <c r="AB15" s="152">
        <f t="shared" si="2"/>
        <v>0</v>
      </c>
      <c r="AC15" s="74"/>
      <c r="AD15" s="74"/>
      <c r="AE15" s="157"/>
      <c r="AF15" s="157"/>
      <c r="AG15" s="157"/>
      <c r="AH15" s="141"/>
    </row>
    <row r="16" spans="1:34" ht="25.5" customHeight="1">
      <c r="A16" s="120"/>
      <c r="B16" s="121"/>
      <c r="C16" s="122"/>
      <c r="D16" s="122"/>
      <c r="E16" s="74">
        <v>10</v>
      </c>
      <c r="F16" s="74">
        <v>1464</v>
      </c>
      <c r="G16" s="45">
        <f t="shared" si="0"/>
        <v>14640</v>
      </c>
      <c r="H16" s="119" t="s">
        <v>37</v>
      </c>
      <c r="I16" s="128" t="s">
        <v>1888</v>
      </c>
      <c r="J16" s="158">
        <f>1445+19</f>
        <v>1464</v>
      </c>
      <c r="K16" s="74">
        <f>15+3</f>
        <v>18</v>
      </c>
      <c r="L16" s="156">
        <v>45232</v>
      </c>
      <c r="M16" s="45">
        <v>14640</v>
      </c>
      <c r="N16" s="45">
        <v>146</v>
      </c>
      <c r="O16" s="45" t="s">
        <v>1848</v>
      </c>
      <c r="P16" s="74" t="s">
        <v>160</v>
      </c>
      <c r="Q16" s="74">
        <v>8500063308</v>
      </c>
      <c r="R16" s="74">
        <v>5001159004</v>
      </c>
      <c r="S16" s="158">
        <f>1445+19</f>
        <v>1464</v>
      </c>
      <c r="T16" s="45" t="s">
        <v>87</v>
      </c>
      <c r="U16" s="45">
        <v>8500063307</v>
      </c>
      <c r="V16" s="45">
        <v>5001167249</v>
      </c>
      <c r="W16" s="127" t="s">
        <v>2247</v>
      </c>
      <c r="X16" s="152">
        <f>500+964</f>
        <v>1464</v>
      </c>
      <c r="Y16" s="152">
        <f>5000+9640</f>
        <v>14640</v>
      </c>
      <c r="Z16" s="152" t="s">
        <v>2237</v>
      </c>
      <c r="AA16" s="152">
        <f t="shared" si="1"/>
        <v>0</v>
      </c>
      <c r="AB16" s="152">
        <f t="shared" si="2"/>
        <v>0</v>
      </c>
      <c r="AC16" s="74"/>
      <c r="AD16" s="74"/>
      <c r="AE16" s="157"/>
      <c r="AF16" s="157"/>
      <c r="AG16" s="157"/>
      <c r="AH16" s="141"/>
    </row>
    <row r="17" spans="1:34" ht="18.75" customHeight="1">
      <c r="A17" s="120"/>
      <c r="B17" s="121"/>
      <c r="C17" s="122"/>
      <c r="D17" s="122"/>
      <c r="E17" s="74">
        <v>10</v>
      </c>
      <c r="F17" s="74">
        <v>1632</v>
      </c>
      <c r="G17" s="45">
        <f t="shared" si="0"/>
        <v>16320</v>
      </c>
      <c r="H17" s="119" t="s">
        <v>146</v>
      </c>
      <c r="I17" s="128">
        <v>45226</v>
      </c>
      <c r="J17" s="158">
        <v>1632</v>
      </c>
      <c r="K17" s="74">
        <f>17+6</f>
        <v>23</v>
      </c>
      <c r="L17" s="156">
        <v>45232</v>
      </c>
      <c r="M17" s="45">
        <v>16320</v>
      </c>
      <c r="N17" s="45">
        <v>163</v>
      </c>
      <c r="O17" s="45" t="s">
        <v>1848</v>
      </c>
      <c r="P17" s="74" t="s">
        <v>160</v>
      </c>
      <c r="Q17" s="74">
        <v>8500063308</v>
      </c>
      <c r="R17" s="74">
        <v>5001145365</v>
      </c>
      <c r="S17" s="158">
        <v>1632</v>
      </c>
      <c r="T17" s="45" t="s">
        <v>87</v>
      </c>
      <c r="U17" s="45">
        <v>8500063307</v>
      </c>
      <c r="V17" s="45">
        <v>5001167249</v>
      </c>
      <c r="W17" s="127" t="s">
        <v>2247</v>
      </c>
      <c r="X17" s="152">
        <f>1000+632</f>
        <v>1632</v>
      </c>
      <c r="Y17" s="152">
        <f>10000+6320</f>
        <v>16320</v>
      </c>
      <c r="Z17" s="152" t="s">
        <v>848</v>
      </c>
      <c r="AA17" s="152">
        <f t="shared" si="1"/>
        <v>0</v>
      </c>
      <c r="AB17" s="152">
        <f t="shared" si="2"/>
        <v>0</v>
      </c>
      <c r="AC17" s="74"/>
      <c r="AD17" s="74"/>
      <c r="AE17" s="157"/>
      <c r="AF17" s="157"/>
      <c r="AG17" s="157"/>
      <c r="AH17" s="141"/>
    </row>
    <row r="18" spans="1:34" ht="18.75" customHeight="1">
      <c r="A18" s="120" t="s">
        <v>707</v>
      </c>
      <c r="B18" s="121">
        <v>2000001209</v>
      </c>
      <c r="C18" s="122" t="s">
        <v>1889</v>
      </c>
      <c r="D18" s="122">
        <v>2000001209</v>
      </c>
      <c r="E18" s="74">
        <v>10</v>
      </c>
      <c r="F18" s="74">
        <v>100</v>
      </c>
      <c r="G18" s="45">
        <f t="shared" si="0"/>
        <v>1000</v>
      </c>
      <c r="H18" s="119" t="s">
        <v>27</v>
      </c>
      <c r="I18" s="128">
        <v>45254</v>
      </c>
      <c r="J18" s="158">
        <v>100</v>
      </c>
      <c r="K18" s="74">
        <f>6+3</f>
        <v>9</v>
      </c>
      <c r="L18" s="156">
        <v>45233</v>
      </c>
      <c r="M18" s="45">
        <v>1000</v>
      </c>
      <c r="N18" s="45">
        <v>10</v>
      </c>
      <c r="O18" s="45" t="s">
        <v>1578</v>
      </c>
      <c r="P18" s="74" t="s">
        <v>160</v>
      </c>
      <c r="Q18" s="74">
        <v>8500063377</v>
      </c>
      <c r="R18" s="74">
        <v>5001256964</v>
      </c>
      <c r="S18" s="158">
        <v>100</v>
      </c>
      <c r="T18" s="45" t="s">
        <v>1558</v>
      </c>
      <c r="U18" s="45">
        <v>8500063376</v>
      </c>
      <c r="V18" s="45">
        <v>5001170954</v>
      </c>
      <c r="W18" s="127">
        <v>45269</v>
      </c>
      <c r="X18" s="152">
        <v>100</v>
      </c>
      <c r="Y18" s="152">
        <v>1000</v>
      </c>
      <c r="Z18" s="152" t="s">
        <v>800</v>
      </c>
      <c r="AA18" s="152">
        <f t="shared" si="1"/>
        <v>0</v>
      </c>
      <c r="AB18" s="152">
        <f t="shared" si="2"/>
        <v>0</v>
      </c>
      <c r="AC18" s="74"/>
      <c r="AD18" s="53"/>
      <c r="AE18" s="157"/>
      <c r="AF18" s="157"/>
      <c r="AG18" s="157"/>
      <c r="AH18" s="141"/>
    </row>
    <row r="19" spans="1:34" ht="18.75" customHeight="1">
      <c r="A19" s="120"/>
      <c r="B19" s="159"/>
      <c r="C19" s="122"/>
      <c r="D19" s="122"/>
      <c r="E19" s="74">
        <v>10</v>
      </c>
      <c r="F19" s="74">
        <v>100</v>
      </c>
      <c r="G19" s="45">
        <f t="shared" si="0"/>
        <v>1000</v>
      </c>
      <c r="H19" s="119" t="s">
        <v>46</v>
      </c>
      <c r="I19" s="128">
        <v>45254</v>
      </c>
      <c r="J19" s="158">
        <v>100</v>
      </c>
      <c r="K19" s="74">
        <f>6+2</f>
        <v>8</v>
      </c>
      <c r="L19" s="156">
        <v>45233</v>
      </c>
      <c r="M19" s="45">
        <v>1000</v>
      </c>
      <c r="N19" s="45">
        <v>10</v>
      </c>
      <c r="O19" s="45" t="s">
        <v>1578</v>
      </c>
      <c r="P19" s="74" t="s">
        <v>160</v>
      </c>
      <c r="Q19" s="74">
        <v>8500063377</v>
      </c>
      <c r="R19" s="74">
        <v>5001256964</v>
      </c>
      <c r="S19" s="158">
        <v>100</v>
      </c>
      <c r="T19" s="45" t="s">
        <v>1558</v>
      </c>
      <c r="U19" s="45">
        <v>8500063376</v>
      </c>
      <c r="V19" s="45">
        <v>5001170954</v>
      </c>
      <c r="W19" s="127">
        <v>45251</v>
      </c>
      <c r="X19" s="152">
        <v>100</v>
      </c>
      <c r="Y19" s="152">
        <v>1000</v>
      </c>
      <c r="Z19" s="152" t="s">
        <v>1988</v>
      </c>
      <c r="AA19" s="152">
        <f t="shared" si="1"/>
        <v>0</v>
      </c>
      <c r="AB19" s="152">
        <f t="shared" si="2"/>
        <v>0</v>
      </c>
      <c r="AC19" s="74"/>
      <c r="AD19" s="74"/>
      <c r="AE19" s="157"/>
      <c r="AF19" s="157"/>
      <c r="AG19" s="157"/>
      <c r="AH19" s="141"/>
    </row>
    <row r="20" spans="1:34" ht="18.75" customHeight="1">
      <c r="A20" s="120" t="s">
        <v>715</v>
      </c>
      <c r="B20" s="121">
        <v>6000025971</v>
      </c>
      <c r="C20" s="122" t="s">
        <v>1499</v>
      </c>
      <c r="D20" s="122">
        <v>6000025971</v>
      </c>
      <c r="E20" s="74">
        <v>10</v>
      </c>
      <c r="F20" s="74">
        <v>1380</v>
      </c>
      <c r="G20" s="45">
        <f t="shared" si="0"/>
        <v>13800</v>
      </c>
      <c r="H20" s="119" t="s">
        <v>46</v>
      </c>
      <c r="I20" s="128" t="s">
        <v>2201</v>
      </c>
      <c r="J20" s="158">
        <f>1120+260</f>
        <v>1380</v>
      </c>
      <c r="K20" s="74">
        <v>10</v>
      </c>
      <c r="L20" s="156">
        <v>45237</v>
      </c>
      <c r="M20" s="45">
        <v>13800</v>
      </c>
      <c r="N20" s="45">
        <v>138</v>
      </c>
      <c r="O20" s="45" t="s">
        <v>1439</v>
      </c>
      <c r="P20" s="74" t="s">
        <v>924</v>
      </c>
      <c r="Q20" s="74">
        <v>8500063472</v>
      </c>
      <c r="R20" s="74">
        <v>5001271741</v>
      </c>
      <c r="S20" s="158">
        <f>1120+260</f>
        <v>1380</v>
      </c>
      <c r="T20" s="45" t="s">
        <v>87</v>
      </c>
      <c r="U20" s="45">
        <v>8500063471</v>
      </c>
      <c r="V20" s="45">
        <v>5001187227</v>
      </c>
      <c r="W20" s="127" t="s">
        <v>2281</v>
      </c>
      <c r="X20" s="152">
        <v>1380</v>
      </c>
      <c r="Y20" s="152">
        <v>13800</v>
      </c>
      <c r="Z20" s="152" t="s">
        <v>1988</v>
      </c>
      <c r="AA20" s="152">
        <f t="shared" si="1"/>
        <v>0</v>
      </c>
      <c r="AB20" s="152">
        <f t="shared" si="2"/>
        <v>0</v>
      </c>
      <c r="AC20" s="74"/>
      <c r="AD20" s="74"/>
      <c r="AE20" s="157"/>
      <c r="AF20" s="157"/>
      <c r="AG20" s="157"/>
      <c r="AH20" s="141"/>
    </row>
    <row r="21" spans="1:34" ht="18.75" customHeight="1">
      <c r="A21" s="120"/>
      <c r="B21" s="121"/>
      <c r="C21" s="122"/>
      <c r="D21" s="122"/>
      <c r="E21" s="74">
        <v>10</v>
      </c>
      <c r="F21" s="74">
        <v>1000</v>
      </c>
      <c r="G21" s="45">
        <f t="shared" si="0"/>
        <v>10000</v>
      </c>
      <c r="H21" s="119" t="s">
        <v>37</v>
      </c>
      <c r="I21" s="128" t="s">
        <v>2201</v>
      </c>
      <c r="J21" s="158">
        <f>860+140</f>
        <v>1000</v>
      </c>
      <c r="K21" s="74">
        <v>5</v>
      </c>
      <c r="L21" s="156" t="s">
        <v>2063</v>
      </c>
      <c r="M21" s="45">
        <f>9935+65</f>
        <v>10000</v>
      </c>
      <c r="N21" s="45">
        <v>100</v>
      </c>
      <c r="O21" s="45"/>
      <c r="P21" s="74" t="s">
        <v>924</v>
      </c>
      <c r="Q21" s="74">
        <v>8500063472</v>
      </c>
      <c r="R21" s="74">
        <v>5001271741</v>
      </c>
      <c r="S21" s="158">
        <f>860+140</f>
        <v>1000</v>
      </c>
      <c r="T21" s="45" t="s">
        <v>87</v>
      </c>
      <c r="U21" s="45">
        <v>8500063471</v>
      </c>
      <c r="V21" s="45">
        <v>5001199043</v>
      </c>
      <c r="W21" s="127">
        <v>45273</v>
      </c>
      <c r="X21" s="152">
        <v>1000</v>
      </c>
      <c r="Y21" s="152">
        <v>10000</v>
      </c>
      <c r="Z21" s="152" t="s">
        <v>35</v>
      </c>
      <c r="AA21" s="152">
        <f t="shared" si="1"/>
        <v>0</v>
      </c>
      <c r="AB21" s="152">
        <f t="shared" si="2"/>
        <v>0</v>
      </c>
      <c r="AC21" s="74"/>
      <c r="AD21" s="74"/>
      <c r="AE21" s="157"/>
      <c r="AF21" s="157"/>
      <c r="AG21" s="157"/>
      <c r="AH21" s="141"/>
    </row>
    <row r="22" spans="1:34" ht="18.75" customHeight="1">
      <c r="A22" s="120"/>
      <c r="B22" s="121"/>
      <c r="C22" s="122"/>
      <c r="D22" s="122"/>
      <c r="E22" s="74"/>
      <c r="F22" s="74"/>
      <c r="G22" s="45"/>
      <c r="H22" s="209" t="s">
        <v>2108</v>
      </c>
      <c r="I22" s="128" t="s">
        <v>2130</v>
      </c>
      <c r="J22" s="158"/>
      <c r="K22" s="74" t="s">
        <v>2131</v>
      </c>
      <c r="L22" s="156"/>
      <c r="M22" s="45"/>
      <c r="N22" s="45"/>
      <c r="O22" s="45"/>
      <c r="P22" s="74"/>
      <c r="Q22" s="74"/>
      <c r="R22" s="74"/>
      <c r="S22" s="74"/>
      <c r="T22" s="45"/>
      <c r="U22" s="45"/>
      <c r="V22" s="45"/>
      <c r="W22" s="127"/>
      <c r="X22" s="152"/>
      <c r="Y22" s="152"/>
      <c r="Z22" s="152"/>
      <c r="AA22" s="152"/>
      <c r="AB22" s="152"/>
      <c r="AC22" s="74"/>
      <c r="AD22" s="74"/>
      <c r="AE22" s="157"/>
      <c r="AF22" s="157"/>
      <c r="AG22" s="157"/>
      <c r="AH22" s="141"/>
    </row>
    <row r="23" spans="1:34" ht="18.75" customHeight="1">
      <c r="A23" s="120" t="s">
        <v>715</v>
      </c>
      <c r="B23" s="121">
        <v>6000025970</v>
      </c>
      <c r="C23" s="122" t="s">
        <v>1499</v>
      </c>
      <c r="D23" s="122">
        <v>6000025970</v>
      </c>
      <c r="E23" s="74">
        <v>10</v>
      </c>
      <c r="F23" s="74">
        <v>1675</v>
      </c>
      <c r="G23" s="45">
        <f t="shared" si="0"/>
        <v>16750</v>
      </c>
      <c r="H23" s="119" t="s">
        <v>37</v>
      </c>
      <c r="I23" s="128">
        <v>45258</v>
      </c>
      <c r="J23" s="158">
        <v>1675</v>
      </c>
      <c r="K23" s="74">
        <v>15</v>
      </c>
      <c r="L23" s="156">
        <v>45239</v>
      </c>
      <c r="M23" s="45">
        <v>16750</v>
      </c>
      <c r="N23" s="45">
        <v>168</v>
      </c>
      <c r="O23" s="45" t="s">
        <v>1957</v>
      </c>
      <c r="P23" s="74" t="s">
        <v>924</v>
      </c>
      <c r="Q23" s="74">
        <v>8500063470</v>
      </c>
      <c r="R23" s="74">
        <v>5001271727</v>
      </c>
      <c r="S23" s="158">
        <v>1675</v>
      </c>
      <c r="T23" s="45" t="s">
        <v>87</v>
      </c>
      <c r="U23" s="45">
        <v>8500063469</v>
      </c>
      <c r="V23" s="45">
        <v>5001199027</v>
      </c>
      <c r="W23" s="127" t="s">
        <v>2202</v>
      </c>
      <c r="X23" s="152">
        <f>700+4+971</f>
        <v>1675</v>
      </c>
      <c r="Y23" s="152">
        <f>7000+40+9710</f>
        <v>16750</v>
      </c>
      <c r="Z23" s="152" t="s">
        <v>2222</v>
      </c>
      <c r="AA23" s="152">
        <f t="shared" si="1"/>
        <v>0</v>
      </c>
      <c r="AB23" s="152">
        <f t="shared" si="2"/>
        <v>0</v>
      </c>
      <c r="AC23" s="74"/>
      <c r="AD23" s="74"/>
      <c r="AE23" s="157"/>
      <c r="AF23" s="157"/>
      <c r="AG23" s="157"/>
      <c r="AH23" s="141"/>
    </row>
    <row r="24" spans="1:34" ht="18.75" customHeight="1">
      <c r="A24" s="120"/>
      <c r="B24" s="121"/>
      <c r="C24" s="122"/>
      <c r="D24" s="122"/>
      <c r="E24" s="74">
        <v>10</v>
      </c>
      <c r="F24" s="74">
        <v>705</v>
      </c>
      <c r="G24" s="45">
        <f t="shared" si="0"/>
        <v>7050</v>
      </c>
      <c r="H24" s="119" t="s">
        <v>146</v>
      </c>
      <c r="I24" s="128">
        <v>45258</v>
      </c>
      <c r="J24" s="158">
        <v>705</v>
      </c>
      <c r="K24" s="74">
        <v>7</v>
      </c>
      <c r="L24" s="160">
        <v>45238</v>
      </c>
      <c r="M24" s="45">
        <v>7050</v>
      </c>
      <c r="N24" s="45">
        <v>71</v>
      </c>
      <c r="O24" s="45" t="s">
        <v>1743</v>
      </c>
      <c r="P24" s="74" t="s">
        <v>924</v>
      </c>
      <c r="Q24" s="74">
        <v>8500063470</v>
      </c>
      <c r="R24" s="74">
        <v>5001271727</v>
      </c>
      <c r="S24" s="158">
        <v>705</v>
      </c>
      <c r="T24" s="45" t="s">
        <v>87</v>
      </c>
      <c r="U24" s="45">
        <v>8500063469</v>
      </c>
      <c r="V24" s="45">
        <v>5001191077</v>
      </c>
      <c r="W24" s="127">
        <v>45276</v>
      </c>
      <c r="X24" s="152">
        <v>705</v>
      </c>
      <c r="Y24" s="152">
        <v>7050</v>
      </c>
      <c r="Z24" s="152" t="s">
        <v>870</v>
      </c>
      <c r="AA24" s="152">
        <f t="shared" si="1"/>
        <v>0</v>
      </c>
      <c r="AB24" s="152">
        <f t="shared" si="2"/>
        <v>0</v>
      </c>
      <c r="AC24" s="74"/>
      <c r="AD24" s="74"/>
      <c r="AE24" s="157"/>
      <c r="AF24" s="157"/>
      <c r="AG24" s="157"/>
      <c r="AH24" s="141"/>
    </row>
    <row r="25" spans="1:34" ht="18.75" customHeight="1">
      <c r="A25" s="120"/>
      <c r="B25" s="121"/>
      <c r="C25" s="122"/>
      <c r="D25" s="122"/>
      <c r="E25" s="74"/>
      <c r="F25" s="74"/>
      <c r="G25" s="45"/>
      <c r="H25" s="209" t="s">
        <v>2108</v>
      </c>
      <c r="I25" s="128">
        <v>45260</v>
      </c>
      <c r="J25" s="158"/>
      <c r="K25" s="74">
        <v>2380</v>
      </c>
      <c r="L25" s="160"/>
      <c r="M25" s="45"/>
      <c r="N25" s="45"/>
      <c r="O25" s="45"/>
      <c r="P25" s="74"/>
      <c r="Q25" s="74"/>
      <c r="R25" s="74"/>
      <c r="S25" s="74"/>
      <c r="T25" s="45"/>
      <c r="U25" s="45"/>
      <c r="V25" s="45"/>
      <c r="W25" s="127"/>
      <c r="X25" s="152"/>
      <c r="Y25" s="152"/>
      <c r="Z25" s="152"/>
      <c r="AA25" s="152"/>
      <c r="AB25" s="152"/>
      <c r="AC25" s="74"/>
      <c r="AD25" s="74"/>
      <c r="AE25" s="157"/>
      <c r="AF25" s="157"/>
      <c r="AG25" s="157"/>
      <c r="AH25" s="141"/>
    </row>
    <row r="26" spans="1:34" ht="18.75" customHeight="1">
      <c r="A26" s="120" t="s">
        <v>715</v>
      </c>
      <c r="B26" s="121">
        <v>6000025969</v>
      </c>
      <c r="C26" s="122" t="s">
        <v>1499</v>
      </c>
      <c r="D26" s="122">
        <v>6000025969</v>
      </c>
      <c r="E26" s="74">
        <v>10</v>
      </c>
      <c r="F26" s="74">
        <v>1848</v>
      </c>
      <c r="G26" s="45">
        <f t="shared" si="0"/>
        <v>18480</v>
      </c>
      <c r="H26" s="119" t="s">
        <v>46</v>
      </c>
      <c r="I26" s="128" t="s">
        <v>2201</v>
      </c>
      <c r="J26" s="158">
        <f>1660+188</f>
        <v>1848</v>
      </c>
      <c r="K26" s="74">
        <f>2+10</f>
        <v>12</v>
      </c>
      <c r="L26" s="156">
        <v>45237</v>
      </c>
      <c r="M26" s="45">
        <v>18480</v>
      </c>
      <c r="N26" s="45">
        <v>185</v>
      </c>
      <c r="O26" s="45" t="s">
        <v>862</v>
      </c>
      <c r="P26" s="74" t="s">
        <v>924</v>
      </c>
      <c r="Q26" s="74">
        <v>8500063468</v>
      </c>
      <c r="R26" s="74">
        <v>5001271749</v>
      </c>
      <c r="S26" s="158">
        <f>1660+188</f>
        <v>1848</v>
      </c>
      <c r="T26" s="45" t="s">
        <v>87</v>
      </c>
      <c r="U26" s="45">
        <v>8500063467</v>
      </c>
      <c r="V26" s="45">
        <v>5001187331</v>
      </c>
      <c r="W26" s="127" t="s">
        <v>2265</v>
      </c>
      <c r="X26" s="152">
        <f>924+924</f>
        <v>1848</v>
      </c>
      <c r="Y26" s="152">
        <f>9240+9240</f>
        <v>18480</v>
      </c>
      <c r="Z26" s="152" t="s">
        <v>1609</v>
      </c>
      <c r="AA26" s="152">
        <f t="shared" si="1"/>
        <v>0</v>
      </c>
      <c r="AB26" s="152">
        <f t="shared" si="2"/>
        <v>0</v>
      </c>
      <c r="AC26" s="74"/>
      <c r="AD26" s="74"/>
      <c r="AE26" s="157"/>
      <c r="AF26" s="157"/>
      <c r="AG26" s="157"/>
      <c r="AH26" s="141"/>
    </row>
    <row r="27" spans="1:34" ht="18.75" customHeight="1">
      <c r="A27" s="120"/>
      <c r="B27" s="121"/>
      <c r="C27" s="122"/>
      <c r="D27" s="122"/>
      <c r="E27" s="74">
        <v>10</v>
      </c>
      <c r="F27" s="74">
        <v>115</v>
      </c>
      <c r="G27" s="45">
        <f t="shared" si="0"/>
        <v>1150</v>
      </c>
      <c r="H27" s="119" t="s">
        <v>37</v>
      </c>
      <c r="I27" s="128">
        <v>45258</v>
      </c>
      <c r="J27" s="158">
        <v>115</v>
      </c>
      <c r="K27" s="74">
        <v>5</v>
      </c>
      <c r="L27" s="156">
        <v>45237</v>
      </c>
      <c r="M27" s="45">
        <v>1150</v>
      </c>
      <c r="N27" s="45">
        <v>12</v>
      </c>
      <c r="O27" s="45" t="s">
        <v>736</v>
      </c>
      <c r="P27" s="74" t="s">
        <v>924</v>
      </c>
      <c r="Q27" s="74">
        <v>8500063468</v>
      </c>
      <c r="R27" s="74">
        <v>5001271749</v>
      </c>
      <c r="S27" s="158">
        <v>115</v>
      </c>
      <c r="T27" s="45" t="s">
        <v>87</v>
      </c>
      <c r="U27" s="45">
        <v>8500063467</v>
      </c>
      <c r="V27" s="45">
        <v>5001187331</v>
      </c>
      <c r="W27" s="127">
        <v>45271</v>
      </c>
      <c r="X27" s="152">
        <v>115</v>
      </c>
      <c r="Y27" s="152">
        <v>1150</v>
      </c>
      <c r="Z27" s="152" t="s">
        <v>803</v>
      </c>
      <c r="AA27" s="152">
        <f t="shared" si="1"/>
        <v>0</v>
      </c>
      <c r="AB27" s="152">
        <f t="shared" si="2"/>
        <v>0</v>
      </c>
      <c r="AC27" s="74"/>
      <c r="AD27" s="74"/>
      <c r="AE27" s="157"/>
      <c r="AF27" s="157"/>
      <c r="AG27" s="157"/>
      <c r="AH27" s="141"/>
    </row>
    <row r="28" spans="1:34" ht="18.75" customHeight="1">
      <c r="A28" s="120"/>
      <c r="B28" s="121"/>
      <c r="C28" s="122"/>
      <c r="D28" s="122"/>
      <c r="E28" s="74">
        <v>10</v>
      </c>
      <c r="F28" s="74">
        <v>417</v>
      </c>
      <c r="G28" s="45">
        <f t="shared" si="0"/>
        <v>4170</v>
      </c>
      <c r="H28" s="119" t="s">
        <v>146</v>
      </c>
      <c r="I28" s="128">
        <v>45258</v>
      </c>
      <c r="J28" s="158">
        <v>417</v>
      </c>
      <c r="K28" s="74">
        <v>3</v>
      </c>
      <c r="L28" s="156">
        <v>45244</v>
      </c>
      <c r="M28" s="45">
        <v>4170</v>
      </c>
      <c r="N28" s="45">
        <v>42</v>
      </c>
      <c r="O28" s="45" t="s">
        <v>1343</v>
      </c>
      <c r="P28" s="74" t="s">
        <v>924</v>
      </c>
      <c r="Q28" s="74">
        <v>8500063468</v>
      </c>
      <c r="R28" s="74">
        <v>5001271749</v>
      </c>
      <c r="S28" s="158">
        <v>417</v>
      </c>
      <c r="T28" s="45" t="s">
        <v>87</v>
      </c>
      <c r="U28" s="45">
        <v>8500063467</v>
      </c>
      <c r="V28" s="45">
        <v>5001218808</v>
      </c>
      <c r="W28" s="127">
        <v>45273</v>
      </c>
      <c r="X28" s="152">
        <v>417</v>
      </c>
      <c r="Y28" s="152">
        <v>4170</v>
      </c>
      <c r="Z28" s="152" t="s">
        <v>870</v>
      </c>
      <c r="AA28" s="152">
        <f t="shared" si="1"/>
        <v>0</v>
      </c>
      <c r="AB28" s="152">
        <f t="shared" si="2"/>
        <v>0</v>
      </c>
      <c r="AC28" s="74"/>
      <c r="AD28" s="53"/>
      <c r="AE28" s="157"/>
      <c r="AF28" s="157"/>
      <c r="AG28" s="157"/>
      <c r="AH28" s="141"/>
    </row>
    <row r="29" spans="1:34" ht="18.75" customHeight="1">
      <c r="A29" s="120"/>
      <c r="B29" s="121"/>
      <c r="C29" s="122"/>
      <c r="D29" s="122"/>
      <c r="E29" s="74"/>
      <c r="F29" s="74"/>
      <c r="G29" s="45"/>
      <c r="H29" s="209" t="s">
        <v>2108</v>
      </c>
      <c r="I29" s="128">
        <v>45260</v>
      </c>
      <c r="J29" s="158"/>
      <c r="K29" s="74">
        <v>2380</v>
      </c>
      <c r="L29" s="156"/>
      <c r="M29" s="45"/>
      <c r="N29" s="45"/>
      <c r="O29" s="45"/>
      <c r="P29" s="74" t="s">
        <v>924</v>
      </c>
      <c r="Q29" s="74"/>
      <c r="R29" s="74"/>
      <c r="S29" s="74"/>
      <c r="T29" s="45"/>
      <c r="U29" s="45"/>
      <c r="V29" s="45"/>
      <c r="W29" s="127"/>
      <c r="X29" s="152"/>
      <c r="Y29" s="152"/>
      <c r="Z29" s="152"/>
      <c r="AA29" s="152"/>
      <c r="AB29" s="152"/>
      <c r="AC29" s="74"/>
      <c r="AD29" s="53"/>
      <c r="AE29" s="157"/>
      <c r="AF29" s="157"/>
      <c r="AG29" s="157"/>
      <c r="AH29" s="141"/>
    </row>
    <row r="30" spans="1:34" ht="18.75" customHeight="1">
      <c r="A30" s="120" t="s">
        <v>279</v>
      </c>
      <c r="B30" s="121">
        <v>6000026655</v>
      </c>
      <c r="C30" s="122" t="s">
        <v>414</v>
      </c>
      <c r="D30" s="122" t="s">
        <v>1903</v>
      </c>
      <c r="E30" s="74">
        <v>10</v>
      </c>
      <c r="F30" s="74">
        <v>490</v>
      </c>
      <c r="G30" s="45">
        <f t="shared" si="0"/>
        <v>4900</v>
      </c>
      <c r="H30" s="119" t="s">
        <v>27</v>
      </c>
      <c r="I30" s="128">
        <v>45247</v>
      </c>
      <c r="J30" s="74">
        <v>490</v>
      </c>
      <c r="K30" s="74">
        <f>10+8</f>
        <v>18</v>
      </c>
      <c r="L30" s="156">
        <v>45248</v>
      </c>
      <c r="M30" s="45">
        <v>4900</v>
      </c>
      <c r="N30" s="45">
        <v>64</v>
      </c>
      <c r="O30" s="45" t="s">
        <v>1603</v>
      </c>
      <c r="P30" s="74" t="s">
        <v>28</v>
      </c>
      <c r="Q30" s="74">
        <v>8500063838</v>
      </c>
      <c r="R30" s="74">
        <v>5001231242</v>
      </c>
      <c r="S30" s="74">
        <v>490</v>
      </c>
      <c r="T30" s="45" t="s">
        <v>87</v>
      </c>
      <c r="U30" s="45">
        <v>8500063837</v>
      </c>
      <c r="V30" s="45">
        <v>5001239626</v>
      </c>
      <c r="W30" s="127">
        <v>45264</v>
      </c>
      <c r="X30" s="152">
        <v>490</v>
      </c>
      <c r="Y30" s="152">
        <v>4900</v>
      </c>
      <c r="Z30" s="152" t="s">
        <v>1472</v>
      </c>
      <c r="AA30" s="152">
        <f t="shared" si="1"/>
        <v>0</v>
      </c>
      <c r="AB30" s="152">
        <f t="shared" si="2"/>
        <v>0</v>
      </c>
      <c r="AC30" s="74"/>
      <c r="AD30" s="74"/>
      <c r="AE30" s="157"/>
      <c r="AF30" s="157"/>
      <c r="AG30" s="157"/>
      <c r="AH30" s="141"/>
    </row>
    <row r="31" spans="1:34" ht="18.75" customHeight="1">
      <c r="A31" s="120"/>
      <c r="B31" s="121"/>
      <c r="C31" s="122"/>
      <c r="D31" s="122"/>
      <c r="E31" s="74">
        <v>10</v>
      </c>
      <c r="F31" s="74">
        <v>1460</v>
      </c>
      <c r="G31" s="45">
        <f t="shared" si="0"/>
        <v>14600</v>
      </c>
      <c r="H31" s="119" t="s">
        <v>46</v>
      </c>
      <c r="I31" s="128">
        <v>45247</v>
      </c>
      <c r="J31" s="74">
        <v>1460</v>
      </c>
      <c r="K31" s="74">
        <f>10+15</f>
        <v>25</v>
      </c>
      <c r="L31" s="156">
        <v>45248</v>
      </c>
      <c r="M31" s="45">
        <v>14600</v>
      </c>
      <c r="N31" s="45">
        <v>161</v>
      </c>
      <c r="O31" s="45" t="s">
        <v>1784</v>
      </c>
      <c r="P31" s="74" t="s">
        <v>28</v>
      </c>
      <c r="Q31" s="74">
        <v>8500063838</v>
      </c>
      <c r="R31" s="74">
        <v>5001231242</v>
      </c>
      <c r="S31" s="74">
        <v>1460</v>
      </c>
      <c r="T31" s="45" t="s">
        <v>87</v>
      </c>
      <c r="U31" s="45">
        <v>8500063837</v>
      </c>
      <c r="V31" s="45">
        <v>5001239626</v>
      </c>
      <c r="W31" s="127">
        <v>45264</v>
      </c>
      <c r="X31" s="152">
        <v>1460</v>
      </c>
      <c r="Y31" s="152">
        <v>14600</v>
      </c>
      <c r="Z31" s="152" t="s">
        <v>267</v>
      </c>
      <c r="AA31" s="152">
        <f t="shared" si="1"/>
        <v>0</v>
      </c>
      <c r="AB31" s="152">
        <f t="shared" si="2"/>
        <v>0</v>
      </c>
      <c r="AC31" s="74"/>
      <c r="AD31" s="74"/>
      <c r="AE31" s="157"/>
      <c r="AF31" s="157"/>
      <c r="AG31" s="157"/>
      <c r="AH31" s="141"/>
    </row>
    <row r="32" spans="1:34" ht="18.75" customHeight="1">
      <c r="A32" s="120"/>
      <c r="B32" s="121"/>
      <c r="C32" s="122"/>
      <c r="D32" s="122"/>
      <c r="E32" s="74">
        <v>10</v>
      </c>
      <c r="F32" s="74">
        <v>450</v>
      </c>
      <c r="G32" s="45">
        <f t="shared" si="0"/>
        <v>4500</v>
      </c>
      <c r="H32" s="119" t="s">
        <v>37</v>
      </c>
      <c r="I32" s="128">
        <v>48536</v>
      </c>
      <c r="J32" s="74">
        <v>450</v>
      </c>
      <c r="K32" s="74">
        <f>10+6</f>
        <v>16</v>
      </c>
      <c r="L32" s="156">
        <v>45248</v>
      </c>
      <c r="M32" s="45">
        <v>4500</v>
      </c>
      <c r="N32" s="45">
        <v>60</v>
      </c>
      <c r="O32" s="45" t="s">
        <v>1746</v>
      </c>
      <c r="P32" s="74" t="s">
        <v>28</v>
      </c>
      <c r="Q32" s="74">
        <v>8500063838</v>
      </c>
      <c r="R32" s="74">
        <v>5001239382</v>
      </c>
      <c r="S32" s="74">
        <v>450</v>
      </c>
      <c r="T32" s="45" t="s">
        <v>87</v>
      </c>
      <c r="U32" s="45">
        <v>8500063837</v>
      </c>
      <c r="V32" s="45">
        <v>5001239626</v>
      </c>
      <c r="W32" s="127">
        <v>45264</v>
      </c>
      <c r="X32" s="152">
        <v>450</v>
      </c>
      <c r="Y32" s="152">
        <v>4500</v>
      </c>
      <c r="Z32" s="152" t="s">
        <v>1513</v>
      </c>
      <c r="AA32" s="152">
        <f t="shared" si="1"/>
        <v>0</v>
      </c>
      <c r="AB32" s="152">
        <f t="shared" si="2"/>
        <v>0</v>
      </c>
      <c r="AC32" s="74"/>
      <c r="AD32" s="74"/>
      <c r="AE32" s="157"/>
      <c r="AF32" s="157"/>
      <c r="AG32" s="157"/>
      <c r="AH32" s="141"/>
    </row>
    <row r="33" spans="1:34" ht="18.75" customHeight="1">
      <c r="A33" s="120"/>
      <c r="B33" s="121"/>
      <c r="C33" s="122"/>
      <c r="D33" s="122"/>
      <c r="E33" s="74">
        <v>10</v>
      </c>
      <c r="F33" s="74">
        <v>100</v>
      </c>
      <c r="G33" s="45">
        <f t="shared" si="0"/>
        <v>1000</v>
      </c>
      <c r="H33" s="119" t="s">
        <v>146</v>
      </c>
      <c r="I33" s="128">
        <v>48536</v>
      </c>
      <c r="J33" s="74">
        <v>100</v>
      </c>
      <c r="K33" s="74">
        <f>10+3</f>
        <v>13</v>
      </c>
      <c r="L33" s="156">
        <v>45248</v>
      </c>
      <c r="M33" s="45">
        <v>1000</v>
      </c>
      <c r="N33" s="45">
        <v>25</v>
      </c>
      <c r="O33" s="45" t="s">
        <v>1412</v>
      </c>
      <c r="P33" s="74" t="s">
        <v>28</v>
      </c>
      <c r="Q33" s="74">
        <v>8500063839</v>
      </c>
      <c r="R33" s="74">
        <v>5001239369</v>
      </c>
      <c r="S33" s="74">
        <v>100</v>
      </c>
      <c r="T33" s="45" t="s">
        <v>87</v>
      </c>
      <c r="U33" s="45">
        <v>8500063840</v>
      </c>
      <c r="V33" s="45">
        <v>5001239628</v>
      </c>
      <c r="W33" s="127">
        <v>45259</v>
      </c>
      <c r="X33" s="152">
        <v>100</v>
      </c>
      <c r="Y33" s="152">
        <v>1000</v>
      </c>
      <c r="Z33" s="152" t="s">
        <v>800</v>
      </c>
      <c r="AA33" s="152">
        <f t="shared" si="1"/>
        <v>0</v>
      </c>
      <c r="AB33" s="152">
        <f t="shared" si="2"/>
        <v>0</v>
      </c>
      <c r="AC33" s="74"/>
      <c r="AD33" s="74"/>
      <c r="AE33" s="157"/>
      <c r="AF33" s="157"/>
      <c r="AG33" s="157"/>
      <c r="AH33" s="141"/>
    </row>
    <row r="34" spans="1:34" ht="18.75" customHeight="1">
      <c r="A34" s="120" t="s">
        <v>279</v>
      </c>
      <c r="B34" s="121">
        <v>6000026661</v>
      </c>
      <c r="C34" s="122" t="s">
        <v>414</v>
      </c>
      <c r="D34" s="122" t="s">
        <v>1904</v>
      </c>
      <c r="E34" s="74">
        <v>10</v>
      </c>
      <c r="F34" s="74">
        <v>490</v>
      </c>
      <c r="G34" s="45">
        <f>F34*E34</f>
        <v>4900</v>
      </c>
      <c r="H34" s="119" t="s">
        <v>27</v>
      </c>
      <c r="I34" s="128">
        <v>45247</v>
      </c>
      <c r="J34" s="74">
        <v>490</v>
      </c>
      <c r="K34" s="74">
        <f>10+8</f>
        <v>18</v>
      </c>
      <c r="L34" s="156">
        <v>45248</v>
      </c>
      <c r="M34" s="45">
        <v>4900</v>
      </c>
      <c r="N34" s="45">
        <v>64</v>
      </c>
      <c r="O34" s="45" t="s">
        <v>1603</v>
      </c>
      <c r="P34" s="74" t="s">
        <v>28</v>
      </c>
      <c r="Q34" s="74">
        <v>8500063834</v>
      </c>
      <c r="R34" s="74">
        <v>5001231258</v>
      </c>
      <c r="S34" s="74">
        <v>490</v>
      </c>
      <c r="T34" s="45" t="s">
        <v>87</v>
      </c>
      <c r="U34" s="45">
        <v>8500063833</v>
      </c>
      <c r="V34" s="45">
        <v>5001239624</v>
      </c>
      <c r="W34" s="127">
        <v>45259</v>
      </c>
      <c r="X34" s="152">
        <v>490</v>
      </c>
      <c r="Y34" s="152">
        <v>4900</v>
      </c>
      <c r="Z34" s="152" t="s">
        <v>1472</v>
      </c>
      <c r="AA34" s="152">
        <f>J34-X34</f>
        <v>0</v>
      </c>
      <c r="AB34" s="152">
        <f t="shared" si="2"/>
        <v>0</v>
      </c>
      <c r="AC34" s="74"/>
      <c r="AD34" s="74"/>
      <c r="AE34" s="157"/>
      <c r="AF34" s="157"/>
      <c r="AG34" s="157"/>
      <c r="AH34" s="141"/>
    </row>
    <row r="35" spans="1:34" ht="18.75" customHeight="1">
      <c r="A35" s="120"/>
      <c r="B35" s="121"/>
      <c r="C35" s="122"/>
      <c r="D35" s="122"/>
      <c r="E35" s="74">
        <v>10</v>
      </c>
      <c r="F35" s="74">
        <v>1415</v>
      </c>
      <c r="G35" s="45">
        <f>F35*E35</f>
        <v>14150</v>
      </c>
      <c r="H35" s="119" t="s">
        <v>46</v>
      </c>
      <c r="I35" s="128">
        <v>45247</v>
      </c>
      <c r="J35" s="74">
        <v>1415</v>
      </c>
      <c r="K35" s="74">
        <f>10+20</f>
        <v>30</v>
      </c>
      <c r="L35" s="156">
        <v>45248</v>
      </c>
      <c r="M35" s="45">
        <v>14150</v>
      </c>
      <c r="N35" s="45">
        <v>157</v>
      </c>
      <c r="O35" s="45" t="s">
        <v>741</v>
      </c>
      <c r="P35" s="74" t="s">
        <v>28</v>
      </c>
      <c r="Q35" s="74">
        <v>8500063834</v>
      </c>
      <c r="R35" s="74">
        <v>5001231258</v>
      </c>
      <c r="S35" s="74">
        <v>1415</v>
      </c>
      <c r="T35" s="45" t="s">
        <v>87</v>
      </c>
      <c r="U35" s="45">
        <v>8500063833</v>
      </c>
      <c r="V35" s="45">
        <v>5001239624</v>
      </c>
      <c r="W35" s="127" t="s">
        <v>2129</v>
      </c>
      <c r="X35" s="152">
        <f>300+1115</f>
        <v>1415</v>
      </c>
      <c r="Y35" s="152">
        <f>3000+11150</f>
        <v>14150</v>
      </c>
      <c r="Z35" s="152" t="s">
        <v>1908</v>
      </c>
      <c r="AA35" s="152">
        <f>J35-X35</f>
        <v>0</v>
      </c>
      <c r="AB35" s="152">
        <f t="shared" si="2"/>
        <v>0</v>
      </c>
      <c r="AC35" s="74"/>
      <c r="AD35" s="74"/>
      <c r="AE35" s="157"/>
      <c r="AF35" s="157"/>
      <c r="AG35" s="157"/>
      <c r="AH35" s="141"/>
    </row>
    <row r="36" spans="1:34" ht="18.75" customHeight="1">
      <c r="A36" s="120"/>
      <c r="B36" s="121"/>
      <c r="C36" s="122"/>
      <c r="D36" s="122"/>
      <c r="E36" s="74">
        <v>10</v>
      </c>
      <c r="F36" s="74">
        <v>450</v>
      </c>
      <c r="G36" s="45">
        <f t="shared" si="0"/>
        <v>4500</v>
      </c>
      <c r="H36" s="119" t="s">
        <v>37</v>
      </c>
      <c r="I36" s="128">
        <v>45247</v>
      </c>
      <c r="J36" s="74">
        <v>450</v>
      </c>
      <c r="K36" s="74">
        <f>10+8</f>
        <v>18</v>
      </c>
      <c r="L36" s="156">
        <v>45248</v>
      </c>
      <c r="M36" s="45">
        <v>4500</v>
      </c>
      <c r="N36" s="45">
        <v>60</v>
      </c>
      <c r="O36" s="45" t="s">
        <v>1389</v>
      </c>
      <c r="P36" s="74" t="s">
        <v>28</v>
      </c>
      <c r="Q36" s="74">
        <v>8500063834</v>
      </c>
      <c r="R36" s="74">
        <v>5001231258</v>
      </c>
      <c r="S36" s="74">
        <v>450</v>
      </c>
      <c r="T36" s="45" t="s">
        <v>87</v>
      </c>
      <c r="U36" s="45">
        <v>8500063833</v>
      </c>
      <c r="V36" s="45">
        <v>5001239624</v>
      </c>
      <c r="W36" s="127">
        <v>45259</v>
      </c>
      <c r="X36" s="152">
        <v>450</v>
      </c>
      <c r="Y36" s="152">
        <v>4500</v>
      </c>
      <c r="Z36" s="152" t="s">
        <v>1513</v>
      </c>
      <c r="AA36" s="152">
        <f t="shared" si="1"/>
        <v>0</v>
      </c>
      <c r="AB36" s="152">
        <f t="shared" si="2"/>
        <v>0</v>
      </c>
      <c r="AC36" s="74"/>
      <c r="AD36" s="74"/>
      <c r="AE36" s="157"/>
      <c r="AF36" s="157"/>
      <c r="AG36" s="157"/>
      <c r="AH36" s="141"/>
    </row>
    <row r="37" spans="1:34" ht="18.75" customHeight="1">
      <c r="A37" s="120"/>
      <c r="B37" s="121"/>
      <c r="C37" s="122"/>
      <c r="D37" s="122"/>
      <c r="E37" s="74">
        <v>10</v>
      </c>
      <c r="F37" s="74">
        <v>100</v>
      </c>
      <c r="G37" s="45">
        <f t="shared" si="0"/>
        <v>1000</v>
      </c>
      <c r="H37" s="119" t="s">
        <v>146</v>
      </c>
      <c r="I37" s="128">
        <v>45248</v>
      </c>
      <c r="J37" s="74">
        <v>100</v>
      </c>
      <c r="K37" s="74">
        <f>10+2</f>
        <v>12</v>
      </c>
      <c r="L37" s="156">
        <v>45248</v>
      </c>
      <c r="M37" s="45">
        <v>1000</v>
      </c>
      <c r="N37" s="45">
        <v>25</v>
      </c>
      <c r="O37" s="45" t="s">
        <v>1412</v>
      </c>
      <c r="P37" s="74"/>
      <c r="Q37" s="74">
        <v>8500063836</v>
      </c>
      <c r="R37" s="74">
        <v>5001239390</v>
      </c>
      <c r="S37" s="74">
        <v>100</v>
      </c>
      <c r="T37" s="45" t="s">
        <v>87</v>
      </c>
      <c r="U37" s="45">
        <v>8500063835</v>
      </c>
      <c r="V37" s="45">
        <v>5001239625</v>
      </c>
      <c r="W37" s="127">
        <v>45258</v>
      </c>
      <c r="X37" s="152">
        <v>100</v>
      </c>
      <c r="Y37" s="152">
        <v>1000</v>
      </c>
      <c r="Z37" s="152" t="s">
        <v>800</v>
      </c>
      <c r="AA37" s="152">
        <f t="shared" si="1"/>
        <v>0</v>
      </c>
      <c r="AB37" s="152">
        <f t="shared" si="2"/>
        <v>0</v>
      </c>
      <c r="AC37" s="74"/>
      <c r="AD37" s="74"/>
      <c r="AE37" s="157"/>
      <c r="AF37" s="157"/>
      <c r="AG37" s="157"/>
      <c r="AH37" s="141"/>
    </row>
    <row r="38" spans="1:34" ht="18.75" customHeight="1">
      <c r="A38" s="120" t="s">
        <v>279</v>
      </c>
      <c r="B38" s="121">
        <v>6000026662</v>
      </c>
      <c r="C38" s="122" t="s">
        <v>414</v>
      </c>
      <c r="D38" s="122" t="s">
        <v>1905</v>
      </c>
      <c r="E38" s="74">
        <v>10</v>
      </c>
      <c r="F38" s="74">
        <v>490</v>
      </c>
      <c r="G38" s="45">
        <f>F38*E38</f>
        <v>4900</v>
      </c>
      <c r="H38" s="119" t="s">
        <v>27</v>
      </c>
      <c r="I38" s="128">
        <v>45247</v>
      </c>
      <c r="J38" s="74">
        <v>490</v>
      </c>
      <c r="K38" s="74">
        <f>10+7</f>
        <v>17</v>
      </c>
      <c r="L38" s="156">
        <v>45248</v>
      </c>
      <c r="M38" s="45">
        <v>4900</v>
      </c>
      <c r="N38" s="45">
        <v>64</v>
      </c>
      <c r="O38" s="45" t="s">
        <v>2037</v>
      </c>
      <c r="P38" s="74" t="s">
        <v>28</v>
      </c>
      <c r="Q38" s="74">
        <v>8500063830</v>
      </c>
      <c r="R38" s="74">
        <v>5001231270</v>
      </c>
      <c r="S38" s="74">
        <v>490</v>
      </c>
      <c r="T38" s="45" t="s">
        <v>87</v>
      </c>
      <c r="U38" s="45">
        <v>8500063829</v>
      </c>
      <c r="V38" s="45">
        <v>5001239640</v>
      </c>
      <c r="W38" s="127">
        <v>45260</v>
      </c>
      <c r="X38" s="152">
        <v>490</v>
      </c>
      <c r="Y38" s="152">
        <v>4900</v>
      </c>
      <c r="Z38" s="152" t="s">
        <v>1472</v>
      </c>
      <c r="AA38" s="152">
        <f t="shared" si="1"/>
        <v>0</v>
      </c>
      <c r="AB38" s="152">
        <f t="shared" si="2"/>
        <v>0</v>
      </c>
      <c r="AC38" s="74"/>
      <c r="AD38" s="74"/>
      <c r="AE38" s="157"/>
      <c r="AF38" s="157"/>
      <c r="AG38" s="157"/>
      <c r="AH38" s="141"/>
    </row>
    <row r="39" spans="1:34" ht="18.75" customHeight="1">
      <c r="A39" s="120"/>
      <c r="B39" s="121"/>
      <c r="C39" s="122"/>
      <c r="D39" s="122"/>
      <c r="E39" s="74">
        <v>10</v>
      </c>
      <c r="F39" s="74">
        <v>1415</v>
      </c>
      <c r="G39" s="45">
        <f>F39*E39</f>
        <v>14150</v>
      </c>
      <c r="H39" s="119" t="s">
        <v>46</v>
      </c>
      <c r="I39" s="128">
        <v>45247</v>
      </c>
      <c r="J39" s="74">
        <v>1415</v>
      </c>
      <c r="K39" s="74">
        <f>10+17</f>
        <v>27</v>
      </c>
      <c r="L39" s="156">
        <v>45248</v>
      </c>
      <c r="M39" s="45">
        <v>14150</v>
      </c>
      <c r="N39" s="45">
        <v>157</v>
      </c>
      <c r="O39" s="45" t="s">
        <v>1554</v>
      </c>
      <c r="P39" s="74" t="s">
        <v>28</v>
      </c>
      <c r="Q39" s="74">
        <v>8500063830</v>
      </c>
      <c r="R39" s="74">
        <v>5001231210</v>
      </c>
      <c r="S39" s="74">
        <v>1415</v>
      </c>
      <c r="T39" s="45" t="s">
        <v>87</v>
      </c>
      <c r="U39" s="45">
        <v>8500063829</v>
      </c>
      <c r="V39" s="45">
        <v>5001239640</v>
      </c>
      <c r="W39" s="127">
        <v>45260</v>
      </c>
      <c r="X39" s="152">
        <v>1415</v>
      </c>
      <c r="Y39" s="152">
        <v>14150</v>
      </c>
      <c r="Z39" s="152" t="s">
        <v>267</v>
      </c>
      <c r="AA39" s="152">
        <f t="shared" si="1"/>
        <v>0</v>
      </c>
      <c r="AB39" s="152">
        <f t="shared" si="2"/>
        <v>0</v>
      </c>
      <c r="AC39" s="74"/>
      <c r="AD39" s="74"/>
      <c r="AE39" s="157"/>
      <c r="AF39" s="157"/>
      <c r="AG39" s="157"/>
      <c r="AH39" s="141"/>
    </row>
    <row r="40" spans="1:34" ht="18.75" customHeight="1">
      <c r="A40" s="120"/>
      <c r="B40" s="121"/>
      <c r="C40" s="122"/>
      <c r="D40" s="122"/>
      <c r="E40" s="74">
        <v>10</v>
      </c>
      <c r="F40" s="74">
        <v>450</v>
      </c>
      <c r="G40" s="45">
        <f>F40*E40</f>
        <v>4500</v>
      </c>
      <c r="H40" s="119" t="s">
        <v>37</v>
      </c>
      <c r="I40" s="128">
        <v>45247</v>
      </c>
      <c r="J40" s="74">
        <v>450</v>
      </c>
      <c r="K40" s="74">
        <f>10+7</f>
        <v>17</v>
      </c>
      <c r="L40" s="156">
        <v>45248</v>
      </c>
      <c r="M40" s="45">
        <v>4500</v>
      </c>
      <c r="N40" s="45">
        <v>60</v>
      </c>
      <c r="O40" s="45" t="s">
        <v>741</v>
      </c>
      <c r="P40" s="74" t="s">
        <v>28</v>
      </c>
      <c r="Q40" s="74">
        <v>8500063830</v>
      </c>
      <c r="R40" s="74">
        <v>5001231270</v>
      </c>
      <c r="S40" s="74">
        <v>450</v>
      </c>
      <c r="T40" s="45" t="s">
        <v>87</v>
      </c>
      <c r="U40" s="45">
        <v>8500063829</v>
      </c>
      <c r="V40" s="45">
        <v>5001239640</v>
      </c>
      <c r="W40" s="127">
        <v>45260</v>
      </c>
      <c r="X40" s="152">
        <v>450</v>
      </c>
      <c r="Y40" s="152">
        <v>4500</v>
      </c>
      <c r="Z40" s="152" t="s">
        <v>1513</v>
      </c>
      <c r="AA40" s="152">
        <f t="shared" si="1"/>
        <v>0</v>
      </c>
      <c r="AB40" s="152">
        <f t="shared" si="2"/>
        <v>0</v>
      </c>
      <c r="AC40" s="74"/>
      <c r="AD40" s="74"/>
      <c r="AE40" s="157"/>
      <c r="AF40" s="157"/>
      <c r="AG40" s="157"/>
      <c r="AH40" s="141"/>
    </row>
    <row r="41" spans="1:34" ht="18.75" customHeight="1">
      <c r="A41" s="120"/>
      <c r="B41" s="121"/>
      <c r="C41" s="122"/>
      <c r="D41" s="122"/>
      <c r="E41" s="74">
        <v>10</v>
      </c>
      <c r="F41" s="74">
        <v>100</v>
      </c>
      <c r="G41" s="45">
        <f>F41*E41</f>
        <v>1000</v>
      </c>
      <c r="H41" s="119" t="s">
        <v>146</v>
      </c>
      <c r="I41" s="128">
        <v>45248</v>
      </c>
      <c r="J41" s="158">
        <v>100</v>
      </c>
      <c r="K41" s="74">
        <f>10+2</f>
        <v>12</v>
      </c>
      <c r="L41" s="156">
        <v>45250</v>
      </c>
      <c r="M41" s="45">
        <v>1000</v>
      </c>
      <c r="N41" s="45">
        <v>25</v>
      </c>
      <c r="O41" s="45" t="s">
        <v>888</v>
      </c>
      <c r="P41" s="74" t="s">
        <v>28</v>
      </c>
      <c r="Q41" s="74">
        <v>8500063832</v>
      </c>
      <c r="R41" s="74">
        <v>5001239432</v>
      </c>
      <c r="S41" s="158">
        <v>100</v>
      </c>
      <c r="T41" s="45" t="s">
        <v>87</v>
      </c>
      <c r="U41" s="45">
        <v>8500063831</v>
      </c>
      <c r="V41" s="45">
        <v>5001240965</v>
      </c>
      <c r="W41" s="127">
        <v>45259</v>
      </c>
      <c r="X41" s="152">
        <v>100</v>
      </c>
      <c r="Y41" s="152">
        <v>1000</v>
      </c>
      <c r="Z41" s="152" t="s">
        <v>800</v>
      </c>
      <c r="AA41" s="152">
        <f t="shared" si="1"/>
        <v>0</v>
      </c>
      <c r="AB41" s="152">
        <f t="shared" si="2"/>
        <v>0</v>
      </c>
      <c r="AC41" s="74"/>
      <c r="AD41" s="74"/>
      <c r="AE41" s="157"/>
      <c r="AF41" s="157"/>
      <c r="AG41" s="157"/>
      <c r="AH41" s="141"/>
    </row>
    <row r="42" spans="1:34" ht="18.75" customHeight="1">
      <c r="A42" s="120" t="s">
        <v>279</v>
      </c>
      <c r="B42" s="121">
        <v>6000026663</v>
      </c>
      <c r="C42" s="122" t="s">
        <v>414</v>
      </c>
      <c r="D42" s="122" t="s">
        <v>1909</v>
      </c>
      <c r="E42" s="74">
        <v>10</v>
      </c>
      <c r="F42" s="74">
        <v>490</v>
      </c>
      <c r="G42" s="45">
        <f t="shared" si="0"/>
        <v>4900</v>
      </c>
      <c r="H42" s="119" t="s">
        <v>27</v>
      </c>
      <c r="I42" s="128">
        <v>45247</v>
      </c>
      <c r="J42" s="74">
        <v>490</v>
      </c>
      <c r="K42" s="74">
        <f>10+8</f>
        <v>18</v>
      </c>
      <c r="L42" s="156">
        <v>45248</v>
      </c>
      <c r="M42" s="45">
        <v>4900</v>
      </c>
      <c r="N42" s="45">
        <v>64</v>
      </c>
      <c r="O42" s="45" t="s">
        <v>1548</v>
      </c>
      <c r="P42" s="74" t="s">
        <v>28</v>
      </c>
      <c r="Q42" s="74">
        <v>8500063843</v>
      </c>
      <c r="R42" s="74">
        <v>5001231230</v>
      </c>
      <c r="S42" s="74">
        <v>490</v>
      </c>
      <c r="T42" s="45" t="s">
        <v>87</v>
      </c>
      <c r="U42" s="45">
        <v>8500063841</v>
      </c>
      <c r="V42" s="45">
        <v>5001239642</v>
      </c>
      <c r="W42" s="127">
        <v>45262</v>
      </c>
      <c r="X42" s="152">
        <v>490</v>
      </c>
      <c r="Y42" s="152">
        <v>4900</v>
      </c>
      <c r="Z42" s="152" t="s">
        <v>1472</v>
      </c>
      <c r="AA42" s="152">
        <f t="shared" si="1"/>
        <v>0</v>
      </c>
      <c r="AB42" s="152">
        <f t="shared" si="2"/>
        <v>0</v>
      </c>
      <c r="AC42" s="74"/>
      <c r="AD42" s="74"/>
      <c r="AE42" s="157"/>
      <c r="AF42" s="157"/>
      <c r="AG42" s="157"/>
      <c r="AH42" s="141"/>
    </row>
    <row r="43" spans="1:34" ht="18.75" customHeight="1">
      <c r="A43" s="120"/>
      <c r="B43" s="121"/>
      <c r="C43" s="122"/>
      <c r="D43" s="122"/>
      <c r="E43" s="74">
        <v>10</v>
      </c>
      <c r="F43" s="74">
        <v>1480</v>
      </c>
      <c r="G43" s="45">
        <f t="shared" si="0"/>
        <v>14800</v>
      </c>
      <c r="H43" s="119" t="s">
        <v>46</v>
      </c>
      <c r="I43" s="128">
        <v>45247</v>
      </c>
      <c r="J43" s="74">
        <v>1480</v>
      </c>
      <c r="K43" s="74">
        <f>10+18</f>
        <v>28</v>
      </c>
      <c r="L43" s="156">
        <v>45250</v>
      </c>
      <c r="M43" s="45">
        <v>14800</v>
      </c>
      <c r="N43" s="45">
        <v>163</v>
      </c>
      <c r="O43" s="45" t="s">
        <v>862</v>
      </c>
      <c r="P43" s="74" t="s">
        <v>28</v>
      </c>
      <c r="Q43" s="74">
        <v>8500063843</v>
      </c>
      <c r="R43" s="74">
        <v>5001231230</v>
      </c>
      <c r="S43" s="74">
        <v>1480</v>
      </c>
      <c r="T43" s="45" t="s">
        <v>87</v>
      </c>
      <c r="U43" s="45">
        <v>8500063841</v>
      </c>
      <c r="V43" s="45">
        <v>5001240969</v>
      </c>
      <c r="W43" s="127">
        <v>45262</v>
      </c>
      <c r="X43" s="152">
        <v>1480</v>
      </c>
      <c r="Y43" s="152">
        <v>14800</v>
      </c>
      <c r="Z43" s="152" t="s">
        <v>267</v>
      </c>
      <c r="AA43" s="152">
        <f t="shared" si="1"/>
        <v>0</v>
      </c>
      <c r="AB43" s="152">
        <f t="shared" si="2"/>
        <v>0</v>
      </c>
      <c r="AC43" s="111"/>
      <c r="AD43" s="74"/>
      <c r="AE43" s="157"/>
      <c r="AF43" s="157"/>
      <c r="AG43" s="157"/>
      <c r="AH43" s="141"/>
    </row>
    <row r="44" spans="1:34" ht="18.75" customHeight="1">
      <c r="A44" s="122"/>
      <c r="B44" s="121"/>
      <c r="C44" s="122"/>
      <c r="D44" s="122"/>
      <c r="E44" s="74">
        <v>10</v>
      </c>
      <c r="F44" s="74">
        <v>450</v>
      </c>
      <c r="G44" s="45">
        <f t="shared" si="0"/>
        <v>4500</v>
      </c>
      <c r="H44" s="119" t="s">
        <v>37</v>
      </c>
      <c r="I44" s="128">
        <v>45247</v>
      </c>
      <c r="J44" s="74">
        <v>450</v>
      </c>
      <c r="K44" s="74">
        <f>10+7</f>
        <v>17</v>
      </c>
      <c r="L44" s="156">
        <v>45248</v>
      </c>
      <c r="M44" s="45">
        <v>4500</v>
      </c>
      <c r="N44" s="45">
        <v>60</v>
      </c>
      <c r="O44" s="45" t="s">
        <v>1554</v>
      </c>
      <c r="P44" s="74" t="s">
        <v>28</v>
      </c>
      <c r="Q44" s="74">
        <v>8500063843</v>
      </c>
      <c r="R44" s="74">
        <v>5001231230</v>
      </c>
      <c r="S44" s="74">
        <v>450</v>
      </c>
      <c r="T44" s="45" t="s">
        <v>87</v>
      </c>
      <c r="U44" s="45">
        <v>8500063841</v>
      </c>
      <c r="V44" s="45">
        <v>5001239642</v>
      </c>
      <c r="W44" s="127">
        <v>45262</v>
      </c>
      <c r="X44" s="152">
        <v>450</v>
      </c>
      <c r="Y44" s="152">
        <v>4500</v>
      </c>
      <c r="Z44" s="152" t="s">
        <v>1513</v>
      </c>
      <c r="AA44" s="152">
        <f t="shared" si="1"/>
        <v>0</v>
      </c>
      <c r="AB44" s="152">
        <f t="shared" si="2"/>
        <v>0</v>
      </c>
      <c r="AC44" s="111"/>
      <c r="AD44" s="74"/>
      <c r="AE44" s="157"/>
      <c r="AF44" s="157"/>
      <c r="AG44" s="157"/>
      <c r="AH44" s="141"/>
    </row>
    <row r="45" spans="1:34" ht="18.75" customHeight="1">
      <c r="A45" s="122"/>
      <c r="B45" s="121"/>
      <c r="C45" s="122"/>
      <c r="D45" s="122"/>
      <c r="E45" s="74">
        <v>10</v>
      </c>
      <c r="F45" s="74">
        <v>100</v>
      </c>
      <c r="G45" s="45">
        <f t="shared" si="0"/>
        <v>1000</v>
      </c>
      <c r="H45" s="119" t="s">
        <v>146</v>
      </c>
      <c r="I45" s="128">
        <v>45248</v>
      </c>
      <c r="J45" s="158">
        <v>100</v>
      </c>
      <c r="K45" s="74">
        <f>10+2</f>
        <v>12</v>
      </c>
      <c r="L45" s="156">
        <v>45250</v>
      </c>
      <c r="M45" s="45">
        <v>1000</v>
      </c>
      <c r="N45" s="45">
        <v>25</v>
      </c>
      <c r="O45" s="45" t="s">
        <v>888</v>
      </c>
      <c r="P45" s="74" t="s">
        <v>28</v>
      </c>
      <c r="Q45" s="74">
        <v>8500063850</v>
      </c>
      <c r="R45" s="74">
        <v>5001239436</v>
      </c>
      <c r="S45" s="158">
        <v>100</v>
      </c>
      <c r="T45" s="45" t="s">
        <v>87</v>
      </c>
      <c r="U45" s="45">
        <v>8500063849</v>
      </c>
      <c r="V45" s="45">
        <v>5001240990</v>
      </c>
      <c r="W45" s="127">
        <v>45259</v>
      </c>
      <c r="X45" s="152">
        <v>100</v>
      </c>
      <c r="Y45" s="152">
        <v>1000</v>
      </c>
      <c r="Z45" s="152" t="s">
        <v>800</v>
      </c>
      <c r="AA45" s="152">
        <f t="shared" si="1"/>
        <v>0</v>
      </c>
      <c r="AB45" s="152">
        <f t="shared" si="2"/>
        <v>0</v>
      </c>
      <c r="AC45" s="111"/>
      <c r="AD45" s="74"/>
      <c r="AE45" s="157"/>
      <c r="AF45" s="157"/>
      <c r="AG45" s="157"/>
      <c r="AH45" s="141"/>
    </row>
    <row r="46" spans="1:34" ht="18.75" customHeight="1">
      <c r="A46" s="120" t="s">
        <v>279</v>
      </c>
      <c r="B46" s="121">
        <v>6000026664</v>
      </c>
      <c r="C46" s="122" t="s">
        <v>907</v>
      </c>
      <c r="D46" s="122" t="s">
        <v>1910</v>
      </c>
      <c r="E46" s="74">
        <v>10</v>
      </c>
      <c r="F46" s="74">
        <v>882</v>
      </c>
      <c r="G46" s="45">
        <f t="shared" si="0"/>
        <v>8820</v>
      </c>
      <c r="H46" s="119" t="s">
        <v>27</v>
      </c>
      <c r="I46" s="128" t="s">
        <v>2043</v>
      </c>
      <c r="J46" s="158">
        <v>882</v>
      </c>
      <c r="K46" s="74">
        <f>10+10</f>
        <v>20</v>
      </c>
      <c r="L46" s="156">
        <v>45246</v>
      </c>
      <c r="M46" s="45">
        <v>8820</v>
      </c>
      <c r="N46" s="45">
        <v>103</v>
      </c>
      <c r="O46" s="45" t="s">
        <v>1848</v>
      </c>
      <c r="P46" s="74" t="s">
        <v>28</v>
      </c>
      <c r="Q46" s="74">
        <v>8500063865</v>
      </c>
      <c r="R46" s="74">
        <v>5001211082</v>
      </c>
      <c r="S46" s="158">
        <v>882</v>
      </c>
      <c r="T46" s="45" t="s">
        <v>87</v>
      </c>
      <c r="U46" s="45">
        <v>8500063860</v>
      </c>
      <c r="V46" s="45">
        <v>5001224055</v>
      </c>
      <c r="W46" s="127">
        <v>45266</v>
      </c>
      <c r="X46" s="152">
        <v>882</v>
      </c>
      <c r="Y46" s="152">
        <v>8820</v>
      </c>
      <c r="Z46" s="152" t="s">
        <v>1619</v>
      </c>
      <c r="AA46" s="152">
        <f t="shared" si="1"/>
        <v>0</v>
      </c>
      <c r="AB46" s="152">
        <f t="shared" si="2"/>
        <v>0</v>
      </c>
      <c r="AC46" s="111"/>
      <c r="AD46" s="74"/>
      <c r="AE46" s="157"/>
      <c r="AF46" s="157"/>
      <c r="AG46" s="157"/>
      <c r="AH46" s="141"/>
    </row>
    <row r="47" spans="1:34" ht="18.75" customHeight="1">
      <c r="A47" s="45"/>
      <c r="B47" s="121"/>
      <c r="C47" s="122"/>
      <c r="D47" s="122"/>
      <c r="E47" s="74">
        <v>10</v>
      </c>
      <c r="F47" s="74">
        <v>1365</v>
      </c>
      <c r="G47" s="45">
        <f t="shared" si="0"/>
        <v>13650</v>
      </c>
      <c r="H47" s="119" t="s">
        <v>46</v>
      </c>
      <c r="I47" s="128">
        <v>45243</v>
      </c>
      <c r="J47" s="74">
        <v>1365</v>
      </c>
      <c r="K47" s="74">
        <f>10+17</f>
        <v>27</v>
      </c>
      <c r="L47" s="156">
        <v>45245</v>
      </c>
      <c r="M47" s="45">
        <v>13650</v>
      </c>
      <c r="N47" s="45">
        <v>152</v>
      </c>
      <c r="O47" s="45"/>
      <c r="P47" s="74" t="s">
        <v>28</v>
      </c>
      <c r="Q47" s="74">
        <v>8500063865</v>
      </c>
      <c r="R47" s="74">
        <v>5001214685</v>
      </c>
      <c r="S47" s="74">
        <v>1365</v>
      </c>
      <c r="T47" s="45" t="s">
        <v>87</v>
      </c>
      <c r="U47" s="45">
        <v>8500063860</v>
      </c>
      <c r="V47" s="45">
        <v>5001220478</v>
      </c>
      <c r="W47" s="127">
        <v>45261</v>
      </c>
      <c r="X47" s="152">
        <v>1365</v>
      </c>
      <c r="Y47" s="152">
        <v>13650</v>
      </c>
      <c r="Z47" s="152" t="s">
        <v>2145</v>
      </c>
      <c r="AA47" s="152">
        <f t="shared" si="1"/>
        <v>0</v>
      </c>
      <c r="AB47" s="152">
        <f t="shared" si="2"/>
        <v>0</v>
      </c>
      <c r="AC47" s="111"/>
      <c r="AD47" s="74"/>
      <c r="AE47" s="157"/>
      <c r="AF47" s="157"/>
      <c r="AG47" s="157"/>
      <c r="AH47" s="141"/>
    </row>
    <row r="48" spans="1:34" ht="18.75" customHeight="1">
      <c r="A48" s="45"/>
      <c r="B48" s="121"/>
      <c r="C48" s="122"/>
      <c r="D48" s="122"/>
      <c r="E48" s="74">
        <v>10</v>
      </c>
      <c r="F48" s="74">
        <v>784</v>
      </c>
      <c r="G48" s="45">
        <f t="shared" si="0"/>
        <v>7840</v>
      </c>
      <c r="H48" s="119" t="s">
        <v>37</v>
      </c>
      <c r="I48" s="128">
        <v>45243</v>
      </c>
      <c r="J48" s="74">
        <v>784</v>
      </c>
      <c r="K48" s="74">
        <f>10+15</f>
        <v>25</v>
      </c>
      <c r="L48" s="156">
        <v>45246</v>
      </c>
      <c r="M48" s="45">
        <v>7840</v>
      </c>
      <c r="N48" s="45">
        <v>93</v>
      </c>
      <c r="O48" s="45" t="s">
        <v>1791</v>
      </c>
      <c r="P48" s="74" t="s">
        <v>28</v>
      </c>
      <c r="Q48" s="74">
        <v>8500063865</v>
      </c>
      <c r="R48" s="74">
        <v>5001214685</v>
      </c>
      <c r="S48" s="74">
        <v>784</v>
      </c>
      <c r="T48" s="45" t="s">
        <v>87</v>
      </c>
      <c r="U48" s="45">
        <v>8500063860</v>
      </c>
      <c r="V48" s="45">
        <v>5001224055</v>
      </c>
      <c r="W48" s="127">
        <v>48535</v>
      </c>
      <c r="X48" s="152">
        <v>784</v>
      </c>
      <c r="Y48" s="152">
        <v>7840</v>
      </c>
      <c r="Z48" s="152" t="s">
        <v>800</v>
      </c>
      <c r="AA48" s="152">
        <f t="shared" si="1"/>
        <v>0</v>
      </c>
      <c r="AB48" s="152">
        <f t="shared" si="2"/>
        <v>0</v>
      </c>
      <c r="AC48" s="111"/>
      <c r="AD48" s="74"/>
      <c r="AE48" s="157"/>
      <c r="AF48" s="157"/>
      <c r="AG48" s="157"/>
      <c r="AH48" s="141"/>
    </row>
    <row r="49" spans="1:34" ht="18.75" customHeight="1">
      <c r="A49" s="45"/>
      <c r="B49" s="121"/>
      <c r="C49" s="122"/>
      <c r="D49" s="122"/>
      <c r="E49" s="74">
        <v>10</v>
      </c>
      <c r="F49" s="74">
        <v>294</v>
      </c>
      <c r="G49" s="45">
        <f t="shared" si="0"/>
        <v>2940</v>
      </c>
      <c r="H49" s="119" t="s">
        <v>146</v>
      </c>
      <c r="I49" s="128">
        <v>45243</v>
      </c>
      <c r="J49" s="74">
        <v>294</v>
      </c>
      <c r="K49" s="74">
        <f>10+8</f>
        <v>18</v>
      </c>
      <c r="L49" s="156">
        <v>45246</v>
      </c>
      <c r="M49" s="45">
        <v>2940</v>
      </c>
      <c r="N49" s="45">
        <v>44</v>
      </c>
      <c r="O49" s="45" t="s">
        <v>898</v>
      </c>
      <c r="P49" s="74" t="s">
        <v>28</v>
      </c>
      <c r="Q49" s="74">
        <v>8500063865</v>
      </c>
      <c r="R49" s="74">
        <v>5001214685</v>
      </c>
      <c r="S49" s="74">
        <v>294</v>
      </c>
      <c r="T49" s="45" t="s">
        <v>87</v>
      </c>
      <c r="U49" s="45">
        <v>8500063860</v>
      </c>
      <c r="V49" s="45">
        <v>5001224055</v>
      </c>
      <c r="W49" s="127">
        <v>45261</v>
      </c>
      <c r="X49" s="152">
        <v>294</v>
      </c>
      <c r="Y49" s="152">
        <v>2940</v>
      </c>
      <c r="Z49" s="152" t="s">
        <v>2141</v>
      </c>
      <c r="AA49" s="152">
        <f t="shared" si="1"/>
        <v>0</v>
      </c>
      <c r="AB49" s="152">
        <f t="shared" si="2"/>
        <v>0</v>
      </c>
      <c r="AC49" s="111"/>
      <c r="AD49" s="74"/>
      <c r="AE49" s="157"/>
      <c r="AF49" s="157"/>
      <c r="AG49" s="157"/>
      <c r="AH49" s="141"/>
    </row>
    <row r="50" spans="1:34" ht="18.75" customHeight="1">
      <c r="A50" s="120" t="s">
        <v>279</v>
      </c>
      <c r="B50" s="121">
        <v>6000026665</v>
      </c>
      <c r="C50" s="122" t="s">
        <v>907</v>
      </c>
      <c r="D50" s="122" t="s">
        <v>1911</v>
      </c>
      <c r="E50" s="74">
        <v>10</v>
      </c>
      <c r="F50" s="74">
        <v>882</v>
      </c>
      <c r="G50" s="45">
        <f t="shared" si="0"/>
        <v>8820</v>
      </c>
      <c r="H50" s="119" t="s">
        <v>27</v>
      </c>
      <c r="I50" s="128">
        <v>45243</v>
      </c>
      <c r="J50" s="158">
        <v>882</v>
      </c>
      <c r="K50" s="74">
        <f>10+10</f>
        <v>20</v>
      </c>
      <c r="L50" s="156">
        <v>45246</v>
      </c>
      <c r="M50" s="45">
        <v>8820</v>
      </c>
      <c r="N50" s="45">
        <v>103</v>
      </c>
      <c r="O50" s="45"/>
      <c r="P50" s="74" t="s">
        <v>28</v>
      </c>
      <c r="Q50" s="74">
        <v>8500063935</v>
      </c>
      <c r="R50" s="74">
        <v>5001211085</v>
      </c>
      <c r="S50" s="158">
        <v>882</v>
      </c>
      <c r="T50" s="45" t="s">
        <v>87</v>
      </c>
      <c r="U50" s="45">
        <v>8500063934</v>
      </c>
      <c r="V50" s="45">
        <v>5001224057</v>
      </c>
      <c r="W50" s="127">
        <v>45267</v>
      </c>
      <c r="X50" s="152">
        <v>882</v>
      </c>
      <c r="Y50" s="152">
        <v>8820</v>
      </c>
      <c r="Z50" s="152" t="s">
        <v>1401</v>
      </c>
      <c r="AA50" s="152">
        <f t="shared" si="1"/>
        <v>0</v>
      </c>
      <c r="AB50" s="152">
        <f t="shared" si="2"/>
        <v>0</v>
      </c>
      <c r="AC50" s="74"/>
      <c r="AD50" s="74"/>
      <c r="AE50" s="157"/>
      <c r="AF50" s="157"/>
      <c r="AG50" s="157"/>
      <c r="AH50" s="141"/>
    </row>
    <row r="51" spans="1:34" ht="18.75" customHeight="1">
      <c r="A51" s="120"/>
      <c r="B51" s="121"/>
      <c r="C51" s="122"/>
      <c r="D51" s="122"/>
      <c r="E51" s="74">
        <v>10</v>
      </c>
      <c r="F51" s="74">
        <v>1365</v>
      </c>
      <c r="G51" s="45">
        <f t="shared" si="0"/>
        <v>13650</v>
      </c>
      <c r="H51" s="119" t="s">
        <v>46</v>
      </c>
      <c r="I51" s="128">
        <v>45243</v>
      </c>
      <c r="J51" s="158">
        <v>1365</v>
      </c>
      <c r="K51" s="74">
        <f>10+14</f>
        <v>24</v>
      </c>
      <c r="L51" s="156">
        <v>45246</v>
      </c>
      <c r="M51" s="45">
        <v>13650</v>
      </c>
      <c r="N51" s="45">
        <v>152</v>
      </c>
      <c r="O51" s="45" t="s">
        <v>741</v>
      </c>
      <c r="P51" s="74" t="s">
        <v>28</v>
      </c>
      <c r="Q51" s="74">
        <v>8500063935</v>
      </c>
      <c r="R51" s="74">
        <v>5001214693</v>
      </c>
      <c r="S51" s="158">
        <v>1365</v>
      </c>
      <c r="T51" s="45" t="s">
        <v>87</v>
      </c>
      <c r="U51" s="45">
        <v>8500063934</v>
      </c>
      <c r="V51" s="45">
        <v>5001224057</v>
      </c>
      <c r="W51" s="127">
        <v>45262</v>
      </c>
      <c r="X51" s="152">
        <v>1365</v>
      </c>
      <c r="Y51" s="152">
        <v>13650</v>
      </c>
      <c r="Z51" s="152" t="s">
        <v>2145</v>
      </c>
      <c r="AA51" s="152">
        <f t="shared" si="1"/>
        <v>0</v>
      </c>
      <c r="AB51" s="152">
        <f t="shared" si="2"/>
        <v>0</v>
      </c>
      <c r="AC51" s="74"/>
      <c r="AD51" s="74"/>
      <c r="AE51" s="157"/>
      <c r="AF51" s="157"/>
      <c r="AG51" s="157"/>
      <c r="AH51" s="141"/>
    </row>
    <row r="52" spans="1:34" ht="18.75" customHeight="1">
      <c r="A52" s="45"/>
      <c r="B52" s="121"/>
      <c r="C52" s="122"/>
      <c r="D52" s="122"/>
      <c r="E52" s="74">
        <v>10</v>
      </c>
      <c r="F52" s="74">
        <v>784</v>
      </c>
      <c r="G52" s="45">
        <f t="shared" si="0"/>
        <v>7840</v>
      </c>
      <c r="H52" s="119" t="s">
        <v>37</v>
      </c>
      <c r="I52" s="128">
        <v>45243</v>
      </c>
      <c r="J52" s="158">
        <v>784</v>
      </c>
      <c r="K52" s="74">
        <f>10+19</f>
        <v>29</v>
      </c>
      <c r="L52" s="156">
        <v>45246</v>
      </c>
      <c r="M52" s="45">
        <v>7840</v>
      </c>
      <c r="N52" s="45">
        <v>93</v>
      </c>
      <c r="O52" s="45" t="s">
        <v>1743</v>
      </c>
      <c r="P52" s="74" t="s">
        <v>28</v>
      </c>
      <c r="Q52" s="74">
        <v>8500063935</v>
      </c>
      <c r="R52" s="74">
        <v>5001214693</v>
      </c>
      <c r="S52" s="158">
        <v>784</v>
      </c>
      <c r="T52" s="45" t="s">
        <v>87</v>
      </c>
      <c r="U52" s="45">
        <v>8500063934</v>
      </c>
      <c r="V52" s="45">
        <v>5001224057</v>
      </c>
      <c r="W52" s="127">
        <v>45261</v>
      </c>
      <c r="X52" s="152">
        <v>784</v>
      </c>
      <c r="Y52" s="152">
        <v>7840</v>
      </c>
      <c r="Z52" s="152" t="s">
        <v>1619</v>
      </c>
      <c r="AA52" s="152">
        <f t="shared" si="1"/>
        <v>0</v>
      </c>
      <c r="AB52" s="152">
        <f t="shared" si="2"/>
        <v>0</v>
      </c>
      <c r="AC52" s="74"/>
      <c r="AD52" s="74"/>
      <c r="AE52" s="157"/>
      <c r="AF52" s="157"/>
      <c r="AG52" s="157"/>
      <c r="AH52" s="141"/>
    </row>
    <row r="53" spans="1:34" ht="18.75" customHeight="1">
      <c r="A53" s="120"/>
      <c r="B53" s="121"/>
      <c r="C53" s="122"/>
      <c r="D53" s="122"/>
      <c r="E53" s="74">
        <v>10</v>
      </c>
      <c r="F53" s="74">
        <v>294</v>
      </c>
      <c r="G53" s="45">
        <f t="shared" si="0"/>
        <v>2940</v>
      </c>
      <c r="H53" s="119" t="s">
        <v>146</v>
      </c>
      <c r="I53" s="128">
        <v>45243</v>
      </c>
      <c r="J53" s="158">
        <v>294</v>
      </c>
      <c r="K53" s="74">
        <f>10+6</f>
        <v>16</v>
      </c>
      <c r="L53" s="156">
        <v>45246</v>
      </c>
      <c r="M53" s="45">
        <v>2940</v>
      </c>
      <c r="N53" s="45">
        <v>44</v>
      </c>
      <c r="O53" s="45" t="s">
        <v>1602</v>
      </c>
      <c r="P53" s="74" t="s">
        <v>28</v>
      </c>
      <c r="Q53" s="74">
        <v>8500063935</v>
      </c>
      <c r="R53" s="74">
        <v>5001214693</v>
      </c>
      <c r="S53" s="158">
        <v>294</v>
      </c>
      <c r="T53" s="45" t="s">
        <v>87</v>
      </c>
      <c r="U53" s="45">
        <v>8500063934</v>
      </c>
      <c r="V53" s="45">
        <v>5001224057</v>
      </c>
      <c r="W53" s="127">
        <v>45261</v>
      </c>
      <c r="X53" s="152">
        <v>294</v>
      </c>
      <c r="Y53" s="152">
        <v>2940</v>
      </c>
      <c r="Z53" s="152" t="s">
        <v>2141</v>
      </c>
      <c r="AA53" s="152">
        <f t="shared" si="1"/>
        <v>0</v>
      </c>
      <c r="AB53" s="152">
        <f t="shared" si="2"/>
        <v>0</v>
      </c>
      <c r="AC53" s="74"/>
      <c r="AD53" s="74"/>
      <c r="AE53" s="157"/>
      <c r="AF53" s="157"/>
      <c r="AG53" s="157"/>
      <c r="AH53" s="141"/>
    </row>
    <row r="54" spans="1:34" ht="18.75" customHeight="1">
      <c r="A54" s="120" t="s">
        <v>279</v>
      </c>
      <c r="B54" s="121">
        <v>6000026666</v>
      </c>
      <c r="C54" s="122" t="s">
        <v>907</v>
      </c>
      <c r="D54" s="122" t="s">
        <v>1912</v>
      </c>
      <c r="E54" s="74">
        <v>10</v>
      </c>
      <c r="F54" s="74">
        <v>882</v>
      </c>
      <c r="G54" s="45">
        <f>F54*E54</f>
        <v>8820</v>
      </c>
      <c r="H54" s="119" t="s">
        <v>27</v>
      </c>
      <c r="I54" s="128">
        <v>45243</v>
      </c>
      <c r="J54" s="74">
        <v>882</v>
      </c>
      <c r="K54" s="74">
        <f>10+10</f>
        <v>20</v>
      </c>
      <c r="L54" s="156">
        <v>45246</v>
      </c>
      <c r="M54" s="45">
        <v>8820</v>
      </c>
      <c r="N54" s="45">
        <v>103</v>
      </c>
      <c r="O54" s="45" t="s">
        <v>741</v>
      </c>
      <c r="P54" s="74" t="s">
        <v>28</v>
      </c>
      <c r="Q54" s="74">
        <v>8500063920</v>
      </c>
      <c r="R54" s="74">
        <v>5001214700</v>
      </c>
      <c r="S54" s="74">
        <v>882</v>
      </c>
      <c r="T54" s="45" t="s">
        <v>87</v>
      </c>
      <c r="U54" s="45">
        <v>8500063918</v>
      </c>
      <c r="V54" s="45">
        <v>5001224268</v>
      </c>
      <c r="W54" s="127">
        <v>45269</v>
      </c>
      <c r="X54" s="152">
        <v>882</v>
      </c>
      <c r="Y54" s="152">
        <v>8820</v>
      </c>
      <c r="Z54" s="152" t="s">
        <v>1401</v>
      </c>
      <c r="AA54" s="152">
        <f t="shared" si="1"/>
        <v>0</v>
      </c>
      <c r="AB54" s="152">
        <f t="shared" si="2"/>
        <v>0</v>
      </c>
      <c r="AC54" s="74"/>
      <c r="AD54" s="74"/>
      <c r="AE54" s="157"/>
      <c r="AF54" s="157"/>
      <c r="AG54" s="157"/>
      <c r="AH54" s="141"/>
    </row>
    <row r="55" spans="1:34" ht="18.75" customHeight="1">
      <c r="A55" s="120"/>
      <c r="B55" s="121"/>
      <c r="C55" s="122"/>
      <c r="D55" s="122"/>
      <c r="E55" s="74">
        <v>10</v>
      </c>
      <c r="F55" s="74">
        <v>1365</v>
      </c>
      <c r="G55" s="45">
        <f>F55*E55</f>
        <v>13650</v>
      </c>
      <c r="H55" s="119" t="s">
        <v>46</v>
      </c>
      <c r="I55" s="128">
        <v>45243</v>
      </c>
      <c r="J55" s="74">
        <v>1365</v>
      </c>
      <c r="K55" s="74">
        <f>10+15</f>
        <v>25</v>
      </c>
      <c r="L55" s="156">
        <v>45245</v>
      </c>
      <c r="M55" s="45">
        <v>13650</v>
      </c>
      <c r="N55" s="45">
        <v>152</v>
      </c>
      <c r="O55" s="45" t="s">
        <v>1743</v>
      </c>
      <c r="P55" s="74" t="s">
        <v>28</v>
      </c>
      <c r="Q55" s="74">
        <v>8500063920</v>
      </c>
      <c r="R55" s="74">
        <v>5001214700</v>
      </c>
      <c r="S55" s="74">
        <v>1365</v>
      </c>
      <c r="T55" s="45" t="s">
        <v>87</v>
      </c>
      <c r="U55" s="45">
        <v>8500063918</v>
      </c>
      <c r="V55" s="45">
        <v>5001219017</v>
      </c>
      <c r="W55" s="127">
        <v>45269</v>
      </c>
      <c r="X55" s="152">
        <v>1365</v>
      </c>
      <c r="Y55" s="152">
        <v>13650</v>
      </c>
      <c r="Z55" s="152" t="s">
        <v>1619</v>
      </c>
      <c r="AA55" s="152">
        <f t="shared" si="1"/>
        <v>0</v>
      </c>
      <c r="AB55" s="152">
        <f t="shared" si="2"/>
        <v>0</v>
      </c>
      <c r="AC55" s="74"/>
      <c r="AD55" s="74"/>
      <c r="AE55" s="157"/>
      <c r="AF55" s="157"/>
      <c r="AG55" s="157"/>
      <c r="AH55" s="141"/>
    </row>
    <row r="56" spans="1:34" ht="18.75" customHeight="1">
      <c r="A56" s="120"/>
      <c r="B56" s="121"/>
      <c r="C56" s="122"/>
      <c r="D56" s="122"/>
      <c r="E56" s="74">
        <v>10</v>
      </c>
      <c r="F56" s="74">
        <v>784</v>
      </c>
      <c r="G56" s="45">
        <f>F56*E56</f>
        <v>7840</v>
      </c>
      <c r="H56" s="119" t="s">
        <v>37</v>
      </c>
      <c r="I56" s="128">
        <v>45243</v>
      </c>
      <c r="J56" s="74">
        <v>784</v>
      </c>
      <c r="K56" s="74">
        <f>10+13</f>
        <v>23</v>
      </c>
      <c r="L56" s="156">
        <v>45246</v>
      </c>
      <c r="M56" s="45">
        <v>7840</v>
      </c>
      <c r="N56" s="45">
        <v>93</v>
      </c>
      <c r="O56" s="45"/>
      <c r="P56" s="74" t="s">
        <v>28</v>
      </c>
      <c r="Q56" s="74">
        <v>8500063920</v>
      </c>
      <c r="R56" s="74">
        <v>5001214700</v>
      </c>
      <c r="S56" s="74">
        <v>784</v>
      </c>
      <c r="T56" s="45" t="s">
        <v>87</v>
      </c>
      <c r="U56" s="45">
        <v>8500063918</v>
      </c>
      <c r="V56" s="45">
        <v>5001224268</v>
      </c>
      <c r="W56" s="127">
        <v>45262</v>
      </c>
      <c r="X56" s="152">
        <v>784</v>
      </c>
      <c r="Y56" s="152">
        <v>7840</v>
      </c>
      <c r="Z56" s="152" t="s">
        <v>1619</v>
      </c>
      <c r="AA56" s="152">
        <f t="shared" si="1"/>
        <v>0</v>
      </c>
      <c r="AB56" s="152">
        <f t="shared" si="2"/>
        <v>0</v>
      </c>
      <c r="AC56" s="74"/>
      <c r="AD56" s="74"/>
      <c r="AE56" s="157"/>
      <c r="AF56" s="157"/>
      <c r="AG56" s="157"/>
      <c r="AH56" s="141"/>
    </row>
    <row r="57" spans="1:34" ht="18.75" customHeight="1">
      <c r="A57" s="120"/>
      <c r="B57" s="121"/>
      <c r="C57" s="122"/>
      <c r="D57" s="122"/>
      <c r="E57" s="74">
        <v>10</v>
      </c>
      <c r="F57" s="74">
        <v>294</v>
      </c>
      <c r="G57" s="45">
        <f>F57*E57</f>
        <v>2940</v>
      </c>
      <c r="H57" s="119" t="s">
        <v>146</v>
      </c>
      <c r="I57" s="128">
        <v>45248</v>
      </c>
      <c r="J57" s="158">
        <v>294</v>
      </c>
      <c r="K57" s="74">
        <f>10+3</f>
        <v>13</v>
      </c>
      <c r="L57" s="156">
        <v>45246</v>
      </c>
      <c r="M57" s="45">
        <v>2940</v>
      </c>
      <c r="N57" s="45">
        <v>44</v>
      </c>
      <c r="O57" s="45" t="s">
        <v>1602</v>
      </c>
      <c r="P57" s="74" t="s">
        <v>28</v>
      </c>
      <c r="Q57" s="74">
        <v>8500063920</v>
      </c>
      <c r="R57" s="74">
        <v>5001239385</v>
      </c>
      <c r="S57" s="158">
        <v>294</v>
      </c>
      <c r="T57" s="45" t="s">
        <v>87</v>
      </c>
      <c r="U57" s="45">
        <v>8500063918</v>
      </c>
      <c r="V57" s="45">
        <v>5001224268</v>
      </c>
      <c r="W57" s="127">
        <v>45262</v>
      </c>
      <c r="X57" s="152">
        <v>294</v>
      </c>
      <c r="Y57" s="152">
        <v>2940</v>
      </c>
      <c r="Z57" s="152" t="s">
        <v>2141</v>
      </c>
      <c r="AA57" s="152">
        <f t="shared" si="1"/>
        <v>0</v>
      </c>
      <c r="AB57" s="152">
        <f t="shared" si="2"/>
        <v>0</v>
      </c>
      <c r="AC57" s="74"/>
      <c r="AD57" s="74"/>
      <c r="AE57" s="157"/>
      <c r="AF57" s="157"/>
      <c r="AG57" s="157"/>
      <c r="AH57" s="141"/>
    </row>
    <row r="58" spans="1:34" ht="29.25" customHeight="1">
      <c r="A58" s="120" t="s">
        <v>24</v>
      </c>
      <c r="B58" s="121">
        <v>6000026562</v>
      </c>
      <c r="C58" s="122" t="s">
        <v>771</v>
      </c>
      <c r="D58" s="122" t="s">
        <v>1913</v>
      </c>
      <c r="E58" s="74">
        <v>10</v>
      </c>
      <c r="F58" s="74">
        <v>3480</v>
      </c>
      <c r="G58" s="45">
        <f t="shared" si="0"/>
        <v>34800</v>
      </c>
      <c r="H58" s="119" t="s">
        <v>37</v>
      </c>
      <c r="I58" s="128">
        <v>45247</v>
      </c>
      <c r="J58" s="158">
        <v>3480</v>
      </c>
      <c r="K58" s="74">
        <v>35</v>
      </c>
      <c r="L58" s="190" t="s">
        <v>2068</v>
      </c>
      <c r="M58" s="45">
        <f>15300+19500</f>
        <v>34800</v>
      </c>
      <c r="N58" s="45">
        <f>348+20</f>
        <v>368</v>
      </c>
      <c r="O58" s="45"/>
      <c r="P58" s="74" t="s">
        <v>87</v>
      </c>
      <c r="Q58" s="74">
        <v>8500063682</v>
      </c>
      <c r="R58" s="74">
        <v>5001231294</v>
      </c>
      <c r="S58" s="158">
        <v>3480</v>
      </c>
      <c r="T58" s="45" t="s">
        <v>1558</v>
      </c>
      <c r="U58" s="45">
        <v>8500063680</v>
      </c>
      <c r="V58" s="45">
        <v>5001214956</v>
      </c>
      <c r="W58" s="127" t="s">
        <v>2098</v>
      </c>
      <c r="X58" s="152">
        <f>2000+1475+5</f>
        <v>3480</v>
      </c>
      <c r="Y58" s="152">
        <f>15250+19500+50</f>
        <v>34800</v>
      </c>
      <c r="Z58" s="152" t="s">
        <v>2094</v>
      </c>
      <c r="AA58" s="152">
        <f t="shared" si="1"/>
        <v>0</v>
      </c>
      <c r="AB58" s="152">
        <f t="shared" si="2"/>
        <v>0</v>
      </c>
      <c r="AC58" s="74"/>
      <c r="AD58" s="74"/>
      <c r="AE58" s="157"/>
      <c r="AF58" s="157"/>
      <c r="AG58" s="157"/>
      <c r="AH58" s="141"/>
    </row>
    <row r="59" spans="1:34" ht="18.75" customHeight="1">
      <c r="A59" s="120" t="s">
        <v>24</v>
      </c>
      <c r="B59" s="121">
        <v>6000026563</v>
      </c>
      <c r="C59" s="122" t="s">
        <v>25</v>
      </c>
      <c r="D59" s="122" t="s">
        <v>1914</v>
      </c>
      <c r="E59" s="74">
        <v>10</v>
      </c>
      <c r="F59" s="74">
        <v>300</v>
      </c>
      <c r="G59" s="45">
        <f t="shared" si="0"/>
        <v>3000</v>
      </c>
      <c r="H59" s="119" t="s">
        <v>46</v>
      </c>
      <c r="I59" s="128">
        <v>45251</v>
      </c>
      <c r="J59" s="158">
        <v>300</v>
      </c>
      <c r="K59" s="74">
        <f>3+2</f>
        <v>5</v>
      </c>
      <c r="L59" s="156">
        <v>45253</v>
      </c>
      <c r="M59" s="45">
        <v>3000</v>
      </c>
      <c r="N59" s="45">
        <f>30+20</f>
        <v>50</v>
      </c>
      <c r="O59" s="45" t="s">
        <v>1574</v>
      </c>
      <c r="P59" s="74" t="s">
        <v>28</v>
      </c>
      <c r="Q59" s="74">
        <v>8500063732</v>
      </c>
      <c r="R59" s="74">
        <v>5001244093</v>
      </c>
      <c r="S59" s="158">
        <v>300</v>
      </c>
      <c r="T59" s="45" t="s">
        <v>1558</v>
      </c>
      <c r="U59" s="45">
        <v>8500063731</v>
      </c>
      <c r="V59" s="45">
        <v>5001253365</v>
      </c>
      <c r="W59" s="127">
        <v>45267</v>
      </c>
      <c r="X59" s="152">
        <v>300</v>
      </c>
      <c r="Y59" s="152">
        <v>3000</v>
      </c>
      <c r="Z59" s="152" t="s">
        <v>2177</v>
      </c>
      <c r="AA59" s="152">
        <f t="shared" si="1"/>
        <v>0</v>
      </c>
      <c r="AB59" s="152">
        <f t="shared" si="2"/>
        <v>0</v>
      </c>
      <c r="AC59" s="74"/>
      <c r="AD59" s="74"/>
      <c r="AE59" s="157"/>
      <c r="AF59" s="157"/>
      <c r="AG59" s="157"/>
      <c r="AH59" s="141"/>
    </row>
    <row r="60" spans="1:34" ht="18.75" customHeight="1">
      <c r="A60" s="120"/>
      <c r="B60" s="121"/>
      <c r="C60" s="122"/>
      <c r="D60" s="122"/>
      <c r="E60" s="74">
        <v>10</v>
      </c>
      <c r="F60" s="74">
        <v>1800</v>
      </c>
      <c r="G60" s="45">
        <f t="shared" si="0"/>
        <v>18000</v>
      </c>
      <c r="H60" s="119" t="s">
        <v>37</v>
      </c>
      <c r="I60" s="128">
        <v>45248</v>
      </c>
      <c r="J60" s="158">
        <v>1800</v>
      </c>
      <c r="K60" s="74">
        <v>28</v>
      </c>
      <c r="L60" s="156">
        <v>45254</v>
      </c>
      <c r="M60" s="45">
        <v>18000</v>
      </c>
      <c r="N60" s="45">
        <v>200</v>
      </c>
      <c r="O60" s="45" t="s">
        <v>1848</v>
      </c>
      <c r="P60" s="74" t="s">
        <v>28</v>
      </c>
      <c r="Q60" s="74">
        <v>8500063732</v>
      </c>
      <c r="R60" s="74">
        <v>5001239355</v>
      </c>
      <c r="S60" s="158">
        <v>1800</v>
      </c>
      <c r="T60" s="45" t="s">
        <v>1558</v>
      </c>
      <c r="U60" s="45">
        <v>8500063731</v>
      </c>
      <c r="V60" s="45">
        <v>5001257220</v>
      </c>
      <c r="W60" s="151" t="s">
        <v>2095</v>
      </c>
      <c r="X60" s="152">
        <v>1800</v>
      </c>
      <c r="Y60" s="152">
        <v>18000</v>
      </c>
      <c r="Z60" s="152" t="s">
        <v>35</v>
      </c>
      <c r="AA60" s="152">
        <f t="shared" si="1"/>
        <v>0</v>
      </c>
      <c r="AB60" s="152">
        <f t="shared" si="2"/>
        <v>0</v>
      </c>
      <c r="AC60" s="74"/>
      <c r="AD60" s="74"/>
      <c r="AE60" s="157"/>
      <c r="AF60" s="157"/>
      <c r="AG60" s="157"/>
      <c r="AH60" s="141"/>
    </row>
    <row r="61" spans="1:34" ht="30" customHeight="1">
      <c r="A61" s="120" t="s">
        <v>24</v>
      </c>
      <c r="B61" s="121">
        <v>6000026564</v>
      </c>
      <c r="C61" s="122" t="s">
        <v>771</v>
      </c>
      <c r="D61" s="122" t="s">
        <v>1915</v>
      </c>
      <c r="E61" s="74">
        <v>10</v>
      </c>
      <c r="F61" s="74">
        <v>3020</v>
      </c>
      <c r="G61" s="45">
        <f t="shared" si="0"/>
        <v>30200</v>
      </c>
      <c r="H61" s="119" t="s">
        <v>37</v>
      </c>
      <c r="I61" s="128">
        <v>45247</v>
      </c>
      <c r="J61" s="158">
        <v>3020</v>
      </c>
      <c r="K61" s="74">
        <f>30+50</f>
        <v>80</v>
      </c>
      <c r="L61" s="156" t="s">
        <v>2069</v>
      </c>
      <c r="M61" s="45">
        <v>30200</v>
      </c>
      <c r="N61" s="45">
        <f>302+20</f>
        <v>322</v>
      </c>
      <c r="O61" s="45"/>
      <c r="P61" s="74" t="s">
        <v>87</v>
      </c>
      <c r="Q61" s="74">
        <v>8500063689</v>
      </c>
      <c r="R61" s="74">
        <v>5001231295</v>
      </c>
      <c r="S61" s="74">
        <v>3020</v>
      </c>
      <c r="T61" s="45" t="s">
        <v>1558</v>
      </c>
      <c r="U61" s="45">
        <v>8500063688</v>
      </c>
      <c r="V61" s="45">
        <v>5001223986</v>
      </c>
      <c r="W61" s="127" t="s">
        <v>2097</v>
      </c>
      <c r="X61" s="152">
        <f>350+2670</f>
        <v>3020</v>
      </c>
      <c r="Y61" s="152">
        <v>30200</v>
      </c>
      <c r="Z61" s="152" t="s">
        <v>2094</v>
      </c>
      <c r="AA61" s="152">
        <f t="shared" si="1"/>
        <v>0</v>
      </c>
      <c r="AB61" s="152">
        <f t="shared" si="2"/>
        <v>0</v>
      </c>
      <c r="AC61" s="74"/>
      <c r="AD61" s="74"/>
      <c r="AE61" s="157"/>
      <c r="AF61" s="157"/>
      <c r="AG61" s="157"/>
      <c r="AH61" s="141"/>
    </row>
    <row r="62" spans="1:34" ht="18.75" customHeight="1">
      <c r="A62" s="120" t="s">
        <v>24</v>
      </c>
      <c r="B62" s="121">
        <v>6000026565</v>
      </c>
      <c r="C62" s="122" t="s">
        <v>771</v>
      </c>
      <c r="D62" s="122" t="s">
        <v>1916</v>
      </c>
      <c r="E62" s="74">
        <v>10</v>
      </c>
      <c r="F62" s="74">
        <v>3020</v>
      </c>
      <c r="G62" s="45">
        <f>F62*E62</f>
        <v>30200</v>
      </c>
      <c r="H62" s="119" t="s">
        <v>37</v>
      </c>
      <c r="I62" s="128">
        <v>45247</v>
      </c>
      <c r="J62" s="158">
        <v>3020</v>
      </c>
      <c r="K62" s="74">
        <f>30+30</f>
        <v>60</v>
      </c>
      <c r="L62" s="156" t="s">
        <v>2067</v>
      </c>
      <c r="M62" s="45">
        <f>17100+13100</f>
        <v>30200</v>
      </c>
      <c r="N62" s="45">
        <f>302+20</f>
        <v>322</v>
      </c>
      <c r="O62" s="45" t="s">
        <v>2066</v>
      </c>
      <c r="P62" s="74" t="s">
        <v>87</v>
      </c>
      <c r="Q62" s="74">
        <v>8500063692</v>
      </c>
      <c r="R62" s="74">
        <v>5001231296</v>
      </c>
      <c r="S62" s="158">
        <v>3020</v>
      </c>
      <c r="T62" s="45" t="s">
        <v>1558</v>
      </c>
      <c r="U62" s="45">
        <v>8500063691</v>
      </c>
      <c r="V62" s="45">
        <v>5001239645</v>
      </c>
      <c r="W62" s="127">
        <v>45257</v>
      </c>
      <c r="X62" s="152">
        <v>3020</v>
      </c>
      <c r="Y62" s="152">
        <v>30200</v>
      </c>
      <c r="Z62" s="152" t="s">
        <v>817</v>
      </c>
      <c r="AA62" s="152">
        <f t="shared" si="1"/>
        <v>0</v>
      </c>
      <c r="AB62" s="152">
        <f t="shared" si="2"/>
        <v>0</v>
      </c>
      <c r="AC62" s="74" t="s">
        <v>2187</v>
      </c>
      <c r="AD62" s="74"/>
      <c r="AE62" s="157"/>
      <c r="AF62" s="157"/>
      <c r="AG62" s="157"/>
      <c r="AH62" s="141"/>
    </row>
    <row r="63" spans="1:34" ht="18.75" customHeight="1">
      <c r="A63" s="120" t="s">
        <v>24</v>
      </c>
      <c r="B63" s="121">
        <v>6000026566</v>
      </c>
      <c r="C63" s="122" t="s">
        <v>25</v>
      </c>
      <c r="D63" s="122" t="s">
        <v>1917</v>
      </c>
      <c r="E63" s="74">
        <v>10</v>
      </c>
      <c r="F63" s="74">
        <v>2100</v>
      </c>
      <c r="G63" s="45">
        <f t="shared" si="0"/>
        <v>21000</v>
      </c>
      <c r="H63" s="119" t="s">
        <v>46</v>
      </c>
      <c r="I63" s="132">
        <v>45240</v>
      </c>
      <c r="J63" s="158">
        <v>2100</v>
      </c>
      <c r="K63" s="74">
        <v>12</v>
      </c>
      <c r="L63" s="156">
        <v>45240</v>
      </c>
      <c r="M63" s="45">
        <v>21000</v>
      </c>
      <c r="N63" s="45">
        <f>210+20</f>
        <v>230</v>
      </c>
      <c r="O63" s="45"/>
      <c r="P63" s="74" t="s">
        <v>28</v>
      </c>
      <c r="Q63" s="74">
        <v>8500063734</v>
      </c>
      <c r="R63" s="74">
        <v>5001199963</v>
      </c>
      <c r="S63" s="158">
        <v>2100</v>
      </c>
      <c r="T63" s="45" t="s">
        <v>1558</v>
      </c>
      <c r="U63" s="45">
        <v>8500063733</v>
      </c>
      <c r="V63" s="45">
        <v>5001200096</v>
      </c>
      <c r="W63" s="127">
        <v>45246</v>
      </c>
      <c r="X63" s="152">
        <v>2100</v>
      </c>
      <c r="Y63" s="152">
        <v>21000</v>
      </c>
      <c r="Z63" s="152" t="s">
        <v>755</v>
      </c>
      <c r="AA63" s="152">
        <f t="shared" si="1"/>
        <v>0</v>
      </c>
      <c r="AB63" s="152">
        <f t="shared" si="2"/>
        <v>0</v>
      </c>
      <c r="AC63" s="53"/>
      <c r="AD63" s="74"/>
      <c r="AE63" s="157"/>
      <c r="AF63" s="157"/>
      <c r="AG63" s="157"/>
      <c r="AH63" s="141"/>
    </row>
    <row r="64" spans="1:34" ht="18.75" customHeight="1">
      <c r="A64" s="120" t="s">
        <v>24</v>
      </c>
      <c r="B64" s="121">
        <v>6000026567</v>
      </c>
      <c r="C64" s="122" t="s">
        <v>762</v>
      </c>
      <c r="D64" s="122" t="s">
        <v>1918</v>
      </c>
      <c r="E64" s="74">
        <v>10</v>
      </c>
      <c r="F64" s="74">
        <v>2100</v>
      </c>
      <c r="G64" s="45">
        <f t="shared" si="0"/>
        <v>21000</v>
      </c>
      <c r="H64" s="119" t="s">
        <v>27</v>
      </c>
      <c r="I64" s="128">
        <v>45239</v>
      </c>
      <c r="J64" s="158">
        <v>2100</v>
      </c>
      <c r="K64" s="74">
        <v>25</v>
      </c>
      <c r="L64" s="156">
        <v>45248</v>
      </c>
      <c r="M64" s="45">
        <v>21000</v>
      </c>
      <c r="N64" s="45">
        <f>210+20</f>
        <v>230</v>
      </c>
      <c r="O64" s="45" t="s">
        <v>2042</v>
      </c>
      <c r="P64" s="74" t="s">
        <v>28</v>
      </c>
      <c r="Q64" s="74">
        <v>8500063695</v>
      </c>
      <c r="R64" s="74">
        <v>5001195783</v>
      </c>
      <c r="S64" s="158">
        <v>2100</v>
      </c>
      <c r="T64" s="45" t="s">
        <v>1558</v>
      </c>
      <c r="U64" s="45">
        <v>8500063694</v>
      </c>
      <c r="V64" s="45">
        <v>5001239711</v>
      </c>
      <c r="W64" s="127">
        <v>45254</v>
      </c>
      <c r="X64" s="152">
        <v>2100</v>
      </c>
      <c r="Y64" s="152">
        <v>21000</v>
      </c>
      <c r="Z64" s="152" t="s">
        <v>727</v>
      </c>
      <c r="AA64" s="152">
        <f t="shared" si="1"/>
        <v>0</v>
      </c>
      <c r="AB64" s="152">
        <f t="shared" si="2"/>
        <v>0</v>
      </c>
      <c r="AC64" s="74"/>
      <c r="AD64" s="74"/>
      <c r="AE64" s="157"/>
      <c r="AF64" s="157"/>
      <c r="AG64" s="157"/>
      <c r="AH64" s="141"/>
    </row>
    <row r="65" spans="1:34" ht="18.75" customHeight="1">
      <c r="A65" s="120" t="s">
        <v>24</v>
      </c>
      <c r="B65" s="121">
        <v>6000026568</v>
      </c>
      <c r="C65" s="122" t="s">
        <v>25</v>
      </c>
      <c r="D65" s="122" t="s">
        <v>1919</v>
      </c>
      <c r="E65" s="74">
        <v>10</v>
      </c>
      <c r="F65" s="74">
        <v>2100</v>
      </c>
      <c r="G65" s="45">
        <f t="shared" si="0"/>
        <v>21000</v>
      </c>
      <c r="H65" s="119" t="s">
        <v>46</v>
      </c>
      <c r="I65" s="132">
        <v>45243</v>
      </c>
      <c r="J65" s="158">
        <v>2100</v>
      </c>
      <c r="K65" s="74">
        <v>50</v>
      </c>
      <c r="L65" s="156" t="s">
        <v>2087</v>
      </c>
      <c r="M65" s="45">
        <f>14050+6950</f>
        <v>21000</v>
      </c>
      <c r="N65" s="45">
        <f>210+20</f>
        <v>230</v>
      </c>
      <c r="O65" s="45" t="s">
        <v>1784</v>
      </c>
      <c r="P65" s="74" t="s">
        <v>28</v>
      </c>
      <c r="Q65" s="74">
        <v>8500063736</v>
      </c>
      <c r="R65" s="74">
        <v>5001211089</v>
      </c>
      <c r="S65" s="158">
        <v>2100</v>
      </c>
      <c r="T65" s="45" t="s">
        <v>1558</v>
      </c>
      <c r="U65" s="45">
        <v>8500063735</v>
      </c>
      <c r="V65" s="45">
        <v>5001239647</v>
      </c>
      <c r="W65" s="127">
        <v>45264</v>
      </c>
      <c r="X65" s="152">
        <v>2100</v>
      </c>
      <c r="Y65" s="152">
        <v>21000</v>
      </c>
      <c r="Z65" s="152" t="s">
        <v>2153</v>
      </c>
      <c r="AA65" s="152">
        <f t="shared" si="1"/>
        <v>0</v>
      </c>
      <c r="AB65" s="152">
        <f t="shared" si="2"/>
        <v>0</v>
      </c>
      <c r="AC65" s="74"/>
      <c r="AD65" s="74"/>
      <c r="AE65" s="157"/>
      <c r="AF65" s="157"/>
      <c r="AG65" s="157"/>
      <c r="AH65" s="141"/>
    </row>
    <row r="66" spans="1:34" ht="18.75" customHeight="1">
      <c r="A66" s="120" t="s">
        <v>24</v>
      </c>
      <c r="B66" s="121">
        <v>6000026569</v>
      </c>
      <c r="C66" s="122" t="s">
        <v>25</v>
      </c>
      <c r="D66" s="122" t="s">
        <v>1920</v>
      </c>
      <c r="E66" s="74">
        <v>10</v>
      </c>
      <c r="F66" s="74">
        <v>2100</v>
      </c>
      <c r="G66" s="45">
        <f t="shared" si="0"/>
        <v>21000</v>
      </c>
      <c r="H66" s="119" t="s">
        <v>46</v>
      </c>
      <c r="I66" s="128">
        <v>45243</v>
      </c>
      <c r="J66" s="158">
        <v>2100</v>
      </c>
      <c r="K66" s="74">
        <v>20</v>
      </c>
      <c r="L66" s="156" t="s">
        <v>2082</v>
      </c>
      <c r="M66" s="45">
        <f>10200+10800</f>
        <v>21000</v>
      </c>
      <c r="N66" s="45">
        <v>230</v>
      </c>
      <c r="O66" s="45" t="s">
        <v>1848</v>
      </c>
      <c r="P66" s="74" t="s">
        <v>28</v>
      </c>
      <c r="Q66" s="74">
        <v>8500063738</v>
      </c>
      <c r="R66" s="74">
        <v>5001211090</v>
      </c>
      <c r="S66" s="158">
        <v>2100</v>
      </c>
      <c r="T66" s="45" t="s">
        <v>1558</v>
      </c>
      <c r="U66" s="45">
        <v>8500063737</v>
      </c>
      <c r="V66" s="45">
        <v>5001247588</v>
      </c>
      <c r="W66" s="127">
        <v>45257</v>
      </c>
      <c r="X66" s="152">
        <v>2100</v>
      </c>
      <c r="Y66" s="152">
        <v>21000</v>
      </c>
      <c r="Z66" s="152" t="s">
        <v>755</v>
      </c>
      <c r="AA66" s="152">
        <f t="shared" si="1"/>
        <v>0</v>
      </c>
      <c r="AB66" s="152">
        <f t="shared" si="2"/>
        <v>0</v>
      </c>
      <c r="AC66" s="74"/>
      <c r="AD66" s="74"/>
      <c r="AE66" s="157"/>
      <c r="AF66" s="157"/>
      <c r="AG66" s="157"/>
      <c r="AH66" s="141"/>
    </row>
    <row r="67" spans="1:34" ht="18.75" customHeight="1">
      <c r="A67" s="120" t="s">
        <v>24</v>
      </c>
      <c r="B67" s="121">
        <v>6000026570</v>
      </c>
      <c r="C67" s="122" t="s">
        <v>25</v>
      </c>
      <c r="D67" s="122" t="s">
        <v>1921</v>
      </c>
      <c r="E67" s="74">
        <v>10</v>
      </c>
      <c r="F67" s="74">
        <v>2100</v>
      </c>
      <c r="G67" s="45">
        <f t="shared" si="0"/>
        <v>21000</v>
      </c>
      <c r="H67" s="119" t="s">
        <v>37</v>
      </c>
      <c r="I67" s="128">
        <v>45240</v>
      </c>
      <c r="J67" s="158">
        <v>2100</v>
      </c>
      <c r="K67" s="74">
        <v>13</v>
      </c>
      <c r="L67" s="156">
        <v>45240</v>
      </c>
      <c r="M67" s="45">
        <v>21000</v>
      </c>
      <c r="N67" s="45">
        <f>210+20</f>
        <v>230</v>
      </c>
      <c r="O67" s="45"/>
      <c r="P67" s="74" t="s">
        <v>28</v>
      </c>
      <c r="Q67" s="74">
        <v>8500063741</v>
      </c>
      <c r="R67" s="74">
        <v>5001199939</v>
      </c>
      <c r="S67" s="158">
        <v>2100</v>
      </c>
      <c r="T67" s="45" t="s">
        <v>1558</v>
      </c>
      <c r="U67" s="45">
        <v>8500063740</v>
      </c>
      <c r="V67" s="45">
        <v>5001200097</v>
      </c>
      <c r="W67" s="127">
        <v>45246</v>
      </c>
      <c r="X67" s="152">
        <f>1800+300</f>
        <v>2100</v>
      </c>
      <c r="Y67" s="152">
        <f>18000+3000</f>
        <v>21000</v>
      </c>
      <c r="Z67" s="152" t="s">
        <v>1654</v>
      </c>
      <c r="AA67" s="152">
        <f t="shared" si="1"/>
        <v>0</v>
      </c>
      <c r="AB67" s="152">
        <f t="shared" si="2"/>
        <v>0</v>
      </c>
      <c r="AC67" s="74"/>
      <c r="AD67" s="74"/>
      <c r="AE67" s="157"/>
      <c r="AF67" s="157"/>
      <c r="AG67" s="157"/>
      <c r="AH67" s="141"/>
    </row>
    <row r="68" spans="1:34" ht="18.75" customHeight="1">
      <c r="A68" s="120" t="s">
        <v>24</v>
      </c>
      <c r="B68" s="121">
        <v>6000026571</v>
      </c>
      <c r="C68" s="122" t="s">
        <v>25</v>
      </c>
      <c r="D68" s="122" t="s">
        <v>1922</v>
      </c>
      <c r="E68" s="74">
        <v>10</v>
      </c>
      <c r="F68" s="137">
        <v>1900</v>
      </c>
      <c r="G68" s="45">
        <f t="shared" si="0"/>
        <v>19000</v>
      </c>
      <c r="H68" s="119" t="s">
        <v>27</v>
      </c>
      <c r="I68" s="128">
        <v>45239</v>
      </c>
      <c r="J68" s="158">
        <v>1900</v>
      </c>
      <c r="K68" s="74">
        <v>20</v>
      </c>
      <c r="L68" s="156">
        <v>45241</v>
      </c>
      <c r="M68" s="45">
        <v>19000</v>
      </c>
      <c r="N68" s="45">
        <f>190+20</f>
        <v>210</v>
      </c>
      <c r="O68" s="45" t="s">
        <v>1979</v>
      </c>
      <c r="P68" s="74" t="s">
        <v>28</v>
      </c>
      <c r="Q68" s="74">
        <v>8500063744</v>
      </c>
      <c r="R68" s="74">
        <v>5001195786</v>
      </c>
      <c r="S68" s="158">
        <v>1900</v>
      </c>
      <c r="T68" s="45" t="s">
        <v>1558</v>
      </c>
      <c r="U68" s="45">
        <v>8500063742</v>
      </c>
      <c r="V68" s="45">
        <v>5001211042</v>
      </c>
      <c r="W68" s="127">
        <v>45248</v>
      </c>
      <c r="X68" s="152">
        <v>1900</v>
      </c>
      <c r="Y68" s="152">
        <v>19000</v>
      </c>
      <c r="Z68" s="152" t="s">
        <v>727</v>
      </c>
      <c r="AA68" s="152">
        <f t="shared" si="1"/>
        <v>0</v>
      </c>
      <c r="AB68" s="152">
        <f t="shared" si="2"/>
        <v>0</v>
      </c>
      <c r="AC68" s="74"/>
      <c r="AD68" s="74"/>
      <c r="AE68" s="157"/>
      <c r="AF68" s="157"/>
      <c r="AG68" s="157"/>
      <c r="AH68" s="141"/>
    </row>
    <row r="69" spans="1:34" ht="18.75" customHeight="1">
      <c r="A69" s="120"/>
      <c r="B69" s="121"/>
      <c r="C69" s="122"/>
      <c r="D69" s="122"/>
      <c r="E69" s="74">
        <v>10</v>
      </c>
      <c r="F69" s="74">
        <v>200</v>
      </c>
      <c r="G69" s="45">
        <f t="shared" si="0"/>
        <v>2000</v>
      </c>
      <c r="H69" s="119" t="s">
        <v>46</v>
      </c>
      <c r="I69" s="128">
        <v>45240</v>
      </c>
      <c r="J69" s="158">
        <v>200</v>
      </c>
      <c r="K69" s="74">
        <v>4</v>
      </c>
      <c r="L69" s="156">
        <v>45241</v>
      </c>
      <c r="M69" s="45">
        <v>2000</v>
      </c>
      <c r="N69" s="45">
        <f>20+20</f>
        <v>40</v>
      </c>
      <c r="O69" s="45" t="s">
        <v>1687</v>
      </c>
      <c r="P69" s="74" t="s">
        <v>28</v>
      </c>
      <c r="Q69" s="74">
        <v>8500063744</v>
      </c>
      <c r="R69" s="74">
        <v>5001199933</v>
      </c>
      <c r="S69" s="158">
        <v>200</v>
      </c>
      <c r="T69" s="45" t="s">
        <v>1558</v>
      </c>
      <c r="U69" s="45">
        <v>8500063742</v>
      </c>
      <c r="V69" s="45">
        <v>5001211042</v>
      </c>
      <c r="W69" s="127">
        <v>45254</v>
      </c>
      <c r="X69" s="152">
        <v>200</v>
      </c>
      <c r="Y69" s="152">
        <v>2000</v>
      </c>
      <c r="Z69" s="152" t="s">
        <v>755</v>
      </c>
      <c r="AA69" s="152">
        <f t="shared" si="1"/>
        <v>0</v>
      </c>
      <c r="AB69" s="152">
        <f t="shared" si="2"/>
        <v>0</v>
      </c>
      <c r="AC69" s="74"/>
      <c r="AD69" s="74"/>
      <c r="AE69" s="157"/>
      <c r="AF69" s="157"/>
      <c r="AG69" s="157"/>
      <c r="AH69" s="141"/>
    </row>
    <row r="70" spans="1:34" ht="20.25" customHeight="1">
      <c r="A70" s="120" t="s">
        <v>24</v>
      </c>
      <c r="B70" s="121">
        <v>6000026572</v>
      </c>
      <c r="C70" s="122" t="s">
        <v>25</v>
      </c>
      <c r="D70" s="122" t="s">
        <v>1923</v>
      </c>
      <c r="E70" s="74">
        <v>10</v>
      </c>
      <c r="F70" s="74">
        <v>2100</v>
      </c>
      <c r="G70" s="45">
        <f t="shared" si="0"/>
        <v>21000</v>
      </c>
      <c r="H70" s="119" t="s">
        <v>27</v>
      </c>
      <c r="I70" s="128">
        <v>48531</v>
      </c>
      <c r="J70" s="158">
        <v>2100</v>
      </c>
      <c r="K70" s="74">
        <v>24</v>
      </c>
      <c r="L70" s="156" t="s">
        <v>2080</v>
      </c>
      <c r="M70" s="45">
        <f>17400+3600</f>
        <v>21000</v>
      </c>
      <c r="N70" s="45">
        <v>230</v>
      </c>
      <c r="O70" s="45" t="s">
        <v>2081</v>
      </c>
      <c r="P70" s="74" t="s">
        <v>28</v>
      </c>
      <c r="Q70" s="74">
        <v>8500063746</v>
      </c>
      <c r="R70" s="74">
        <v>5001211088</v>
      </c>
      <c r="S70" s="158">
        <v>2100</v>
      </c>
      <c r="T70" s="45" t="s">
        <v>1558</v>
      </c>
      <c r="U70" s="45">
        <v>8500063745</v>
      </c>
      <c r="V70" s="45">
        <v>5001239719</v>
      </c>
      <c r="W70" s="127" t="s">
        <v>2093</v>
      </c>
      <c r="X70" s="152">
        <f>1739+361</f>
        <v>2100</v>
      </c>
      <c r="Y70" s="152">
        <f>17390+3610</f>
        <v>21000</v>
      </c>
      <c r="Z70" s="152" t="s">
        <v>1464</v>
      </c>
      <c r="AA70" s="152">
        <f t="shared" si="1"/>
        <v>0</v>
      </c>
      <c r="AB70" s="152">
        <f t="shared" si="2"/>
        <v>0</v>
      </c>
      <c r="AC70" s="74"/>
      <c r="AD70" s="74"/>
      <c r="AE70" s="157"/>
      <c r="AF70" s="157"/>
      <c r="AG70" s="157"/>
      <c r="AH70" s="141"/>
    </row>
    <row r="71" spans="1:34" ht="18.75" customHeight="1">
      <c r="A71" s="120" t="s">
        <v>24</v>
      </c>
      <c r="B71" s="121">
        <v>6000026573</v>
      </c>
      <c r="C71" s="122" t="s">
        <v>25</v>
      </c>
      <c r="D71" s="122" t="s">
        <v>1924</v>
      </c>
      <c r="E71" s="74">
        <v>10</v>
      </c>
      <c r="F71" s="74">
        <v>2100</v>
      </c>
      <c r="G71" s="45">
        <f t="shared" si="0"/>
        <v>21000</v>
      </c>
      <c r="H71" s="119" t="s">
        <v>46</v>
      </c>
      <c r="I71" s="128">
        <v>45247</v>
      </c>
      <c r="J71" s="158">
        <v>2100</v>
      </c>
      <c r="K71" s="74">
        <v>21</v>
      </c>
      <c r="L71" s="156">
        <v>45248</v>
      </c>
      <c r="M71" s="45">
        <v>21000</v>
      </c>
      <c r="N71" s="45">
        <f>210+20</f>
        <v>230</v>
      </c>
      <c r="O71" s="45" t="s">
        <v>2041</v>
      </c>
      <c r="P71" s="74" t="s">
        <v>28</v>
      </c>
      <c r="Q71" s="74">
        <v>8500063748</v>
      </c>
      <c r="R71" s="74">
        <v>5001231185</v>
      </c>
      <c r="S71" s="158">
        <v>2100</v>
      </c>
      <c r="T71" s="45" t="s">
        <v>1558</v>
      </c>
      <c r="U71" s="45">
        <v>8500063747</v>
      </c>
      <c r="V71" s="45">
        <v>5001239703</v>
      </c>
      <c r="W71" s="127">
        <v>45260</v>
      </c>
      <c r="X71" s="152">
        <v>2100</v>
      </c>
      <c r="Y71" s="152">
        <v>21000</v>
      </c>
      <c r="Z71" s="152" t="s">
        <v>755</v>
      </c>
      <c r="AA71" s="152">
        <f t="shared" si="1"/>
        <v>0</v>
      </c>
      <c r="AB71" s="152">
        <f t="shared" si="2"/>
        <v>0</v>
      </c>
      <c r="AC71" s="74"/>
      <c r="AD71" s="74"/>
      <c r="AE71" s="157"/>
      <c r="AF71" s="157"/>
      <c r="AG71" s="157"/>
      <c r="AH71" s="141"/>
    </row>
    <row r="72" spans="1:34" ht="18.75" customHeight="1">
      <c r="A72" s="120" t="s">
        <v>24</v>
      </c>
      <c r="B72" s="121">
        <v>6000026574</v>
      </c>
      <c r="C72" s="122" t="s">
        <v>771</v>
      </c>
      <c r="D72" s="122" t="s">
        <v>1925</v>
      </c>
      <c r="E72" s="74">
        <v>10</v>
      </c>
      <c r="F72" s="137">
        <v>3480</v>
      </c>
      <c r="G72" s="45">
        <f t="shared" si="0"/>
        <v>34800</v>
      </c>
      <c r="H72" s="119" t="s">
        <v>37</v>
      </c>
      <c r="I72" s="128">
        <v>45247</v>
      </c>
      <c r="J72" s="158">
        <v>3480</v>
      </c>
      <c r="K72" s="74">
        <f>35+25</f>
        <v>60</v>
      </c>
      <c r="L72" s="156">
        <v>45247</v>
      </c>
      <c r="M72" s="45">
        <f>29900+4900</f>
        <v>34800</v>
      </c>
      <c r="N72" s="45">
        <f>348+20</f>
        <v>368</v>
      </c>
      <c r="O72" s="45" t="s">
        <v>1791</v>
      </c>
      <c r="P72" s="74" t="s">
        <v>87</v>
      </c>
      <c r="Q72" s="74">
        <v>8500063686</v>
      </c>
      <c r="R72" s="74">
        <v>5001231297</v>
      </c>
      <c r="S72" s="158">
        <v>3480</v>
      </c>
      <c r="T72" s="45" t="s">
        <v>1558</v>
      </c>
      <c r="U72" s="45">
        <v>8500063684</v>
      </c>
      <c r="V72" s="45">
        <v>5001231355</v>
      </c>
      <c r="W72" s="127" t="s">
        <v>2086</v>
      </c>
      <c r="X72" s="152">
        <f>3000+480</f>
        <v>3480</v>
      </c>
      <c r="Y72" s="152">
        <f>29900+4900</f>
        <v>34800</v>
      </c>
      <c r="Z72" s="152" t="s">
        <v>817</v>
      </c>
      <c r="AA72" s="152">
        <f t="shared" si="1"/>
        <v>0</v>
      </c>
      <c r="AB72" s="152">
        <f t="shared" si="2"/>
        <v>0</v>
      </c>
      <c r="AC72" s="74"/>
      <c r="AD72" s="74"/>
      <c r="AE72" s="157"/>
      <c r="AF72" s="157"/>
      <c r="AG72" s="157"/>
      <c r="AH72" s="141"/>
    </row>
    <row r="73" spans="1:34" ht="18.75" customHeight="1">
      <c r="A73" s="120" t="s">
        <v>24</v>
      </c>
      <c r="B73" s="121">
        <v>6000026575</v>
      </c>
      <c r="C73" s="122" t="s">
        <v>25</v>
      </c>
      <c r="D73" s="122" t="s">
        <v>1926</v>
      </c>
      <c r="E73" s="74">
        <v>10</v>
      </c>
      <c r="F73" s="74">
        <v>2100</v>
      </c>
      <c r="G73" s="45">
        <f t="shared" si="0"/>
        <v>21000</v>
      </c>
      <c r="H73" s="119" t="s">
        <v>37</v>
      </c>
      <c r="I73" s="128" t="s">
        <v>2055</v>
      </c>
      <c r="J73" s="158">
        <f>1707+393</f>
        <v>2100</v>
      </c>
      <c r="K73" s="74">
        <f>20+4</f>
        <v>24</v>
      </c>
      <c r="L73" s="156" t="s">
        <v>2064</v>
      </c>
      <c r="M73" s="45">
        <f>9900+11100</f>
        <v>21000</v>
      </c>
      <c r="N73" s="45">
        <f>210+20</f>
        <v>230</v>
      </c>
      <c r="O73" s="45" t="s">
        <v>1784</v>
      </c>
      <c r="P73" s="74" t="s">
        <v>28</v>
      </c>
      <c r="Q73" s="74">
        <v>8500063750</v>
      </c>
      <c r="R73" s="74">
        <v>5001231181</v>
      </c>
      <c r="S73" s="158">
        <f>1707+393</f>
        <v>2100</v>
      </c>
      <c r="T73" s="45" t="s">
        <v>1558</v>
      </c>
      <c r="U73" s="45">
        <v>8500063749</v>
      </c>
      <c r="V73" s="45">
        <v>5001239744</v>
      </c>
      <c r="W73" s="127" t="s">
        <v>2082</v>
      </c>
      <c r="X73" s="152">
        <f>990+1110</f>
        <v>2100</v>
      </c>
      <c r="Y73" s="152">
        <f>9900+11100</f>
        <v>21000</v>
      </c>
      <c r="Z73" s="152" t="s">
        <v>35</v>
      </c>
      <c r="AA73" s="152">
        <f t="shared" si="1"/>
        <v>0</v>
      </c>
      <c r="AB73" s="152">
        <f t="shared" si="2"/>
        <v>0</v>
      </c>
      <c r="AC73" s="74"/>
      <c r="AD73" s="74"/>
      <c r="AE73" s="157"/>
      <c r="AF73" s="157"/>
      <c r="AG73" s="157"/>
      <c r="AH73" s="141"/>
    </row>
    <row r="74" spans="1:34" ht="18.75" customHeight="1">
      <c r="A74" s="120" t="s">
        <v>24</v>
      </c>
      <c r="B74" s="121">
        <v>6000026576</v>
      </c>
      <c r="C74" s="122" t="s">
        <v>762</v>
      </c>
      <c r="D74" s="122" t="s">
        <v>1927</v>
      </c>
      <c r="E74" s="74">
        <v>10</v>
      </c>
      <c r="F74" s="74">
        <v>2100</v>
      </c>
      <c r="G74" s="45">
        <f t="shared" si="0"/>
        <v>21000</v>
      </c>
      <c r="H74" s="119" t="s">
        <v>27</v>
      </c>
      <c r="I74" s="128">
        <v>45248</v>
      </c>
      <c r="J74" s="158">
        <v>2100</v>
      </c>
      <c r="K74" s="74">
        <v>22</v>
      </c>
      <c r="L74" s="156" t="s">
        <v>2082</v>
      </c>
      <c r="M74" s="45">
        <v>21000</v>
      </c>
      <c r="N74" s="45">
        <v>230</v>
      </c>
      <c r="O74" s="45" t="s">
        <v>2048</v>
      </c>
      <c r="P74" s="74" t="s">
        <v>28</v>
      </c>
      <c r="Q74" s="74">
        <v>8500063697</v>
      </c>
      <c r="R74" s="74">
        <v>5001239352</v>
      </c>
      <c r="S74" s="158">
        <v>2100</v>
      </c>
      <c r="T74" s="45" t="s">
        <v>1558</v>
      </c>
      <c r="U74" s="45">
        <v>8500063696</v>
      </c>
      <c r="V74" s="45">
        <v>5001244005</v>
      </c>
      <c r="W74" s="127" t="s">
        <v>2134</v>
      </c>
      <c r="X74" s="152">
        <v>2100</v>
      </c>
      <c r="Y74" s="152">
        <v>21000</v>
      </c>
      <c r="Z74" s="152" t="s">
        <v>727</v>
      </c>
      <c r="AA74" s="152">
        <f t="shared" si="1"/>
        <v>0</v>
      </c>
      <c r="AB74" s="152">
        <f t="shared" si="2"/>
        <v>0</v>
      </c>
      <c r="AC74" s="74"/>
      <c r="AD74" s="74"/>
      <c r="AE74" s="157"/>
      <c r="AF74" s="157"/>
      <c r="AG74" s="157"/>
      <c r="AH74" s="141"/>
    </row>
    <row r="75" spans="1:34" ht="18.75" customHeight="1">
      <c r="A75" s="120" t="s">
        <v>24</v>
      </c>
      <c r="B75" s="121">
        <v>6000026577</v>
      </c>
      <c r="C75" s="122" t="s">
        <v>762</v>
      </c>
      <c r="D75" s="122" t="s">
        <v>1928</v>
      </c>
      <c r="E75" s="74">
        <v>10</v>
      </c>
      <c r="F75" s="74">
        <v>2100</v>
      </c>
      <c r="G75" s="45">
        <f t="shared" si="0"/>
        <v>21000</v>
      </c>
      <c r="H75" s="119" t="s">
        <v>46</v>
      </c>
      <c r="I75" s="128">
        <v>45248</v>
      </c>
      <c r="J75" s="158">
        <f>1042+1058</f>
        <v>2100</v>
      </c>
      <c r="K75" s="74">
        <v>18</v>
      </c>
      <c r="L75" s="156" t="s">
        <v>2053</v>
      </c>
      <c r="M75" s="45">
        <f>19200+1800</f>
        <v>21000</v>
      </c>
      <c r="N75" s="45">
        <v>230</v>
      </c>
      <c r="O75" s="45" t="s">
        <v>2054</v>
      </c>
      <c r="P75" s="74" t="s">
        <v>28</v>
      </c>
      <c r="Q75" s="74">
        <v>8500063699</v>
      </c>
      <c r="R75" s="74">
        <v>5001239337</v>
      </c>
      <c r="S75" s="158">
        <f>1042+1058</f>
        <v>2100</v>
      </c>
      <c r="T75" s="45" t="s">
        <v>1558</v>
      </c>
      <c r="U75" s="45">
        <v>8500063698</v>
      </c>
      <c r="V75" s="45">
        <v>5001244006</v>
      </c>
      <c r="W75" s="127" t="s">
        <v>2191</v>
      </c>
      <c r="X75" s="152">
        <f>1000+1100</f>
        <v>2100</v>
      </c>
      <c r="Y75" s="152">
        <f>10000+11000</f>
        <v>21000</v>
      </c>
      <c r="Z75" s="152" t="s">
        <v>2177</v>
      </c>
      <c r="AA75" s="152">
        <f t="shared" si="1"/>
        <v>0</v>
      </c>
      <c r="AB75" s="152">
        <f t="shared" si="2"/>
        <v>0</v>
      </c>
      <c r="AC75" s="74"/>
      <c r="AD75" s="74"/>
      <c r="AE75" s="157"/>
      <c r="AF75" s="157"/>
      <c r="AG75" s="157"/>
      <c r="AH75" s="141"/>
    </row>
    <row r="76" spans="1:34" ht="18.75" customHeight="1">
      <c r="A76" s="120" t="s">
        <v>24</v>
      </c>
      <c r="B76" s="121">
        <v>6000026578</v>
      </c>
      <c r="C76" s="122" t="s">
        <v>762</v>
      </c>
      <c r="D76" s="122" t="s">
        <v>1929</v>
      </c>
      <c r="E76" s="74">
        <v>10</v>
      </c>
      <c r="F76" s="137">
        <v>800</v>
      </c>
      <c r="G76" s="45">
        <f t="shared" si="0"/>
        <v>8000</v>
      </c>
      <c r="H76" s="119" t="s">
        <v>27</v>
      </c>
      <c r="I76" s="128">
        <v>45248</v>
      </c>
      <c r="J76" s="137">
        <v>800</v>
      </c>
      <c r="K76" s="74">
        <v>9</v>
      </c>
      <c r="L76" s="156">
        <v>45254</v>
      </c>
      <c r="M76" s="45">
        <v>8000</v>
      </c>
      <c r="N76" s="45">
        <v>100</v>
      </c>
      <c r="O76" s="45" t="s">
        <v>1848</v>
      </c>
      <c r="P76" s="74" t="s">
        <v>28</v>
      </c>
      <c r="Q76" s="74">
        <v>8500063702</v>
      </c>
      <c r="R76" s="74">
        <v>5001239350</v>
      </c>
      <c r="S76" s="137">
        <v>800</v>
      </c>
      <c r="T76" s="45" t="s">
        <v>1558</v>
      </c>
      <c r="U76" s="45">
        <v>8500063701</v>
      </c>
      <c r="V76" s="45">
        <v>5001257221</v>
      </c>
      <c r="W76" s="127">
        <v>45264</v>
      </c>
      <c r="X76" s="152">
        <v>800</v>
      </c>
      <c r="Y76" s="152">
        <v>8000</v>
      </c>
      <c r="Z76" s="152" t="s">
        <v>727</v>
      </c>
      <c r="AA76" s="152">
        <f t="shared" si="1"/>
        <v>0</v>
      </c>
      <c r="AB76" s="152">
        <f t="shared" si="2"/>
        <v>0</v>
      </c>
      <c r="AC76" s="74"/>
      <c r="AD76" s="74"/>
      <c r="AE76" s="157"/>
      <c r="AF76" s="157"/>
      <c r="AG76" s="157"/>
      <c r="AH76" s="141"/>
    </row>
    <row r="77" spans="1:34" ht="18.75" customHeight="1">
      <c r="A77" s="120"/>
      <c r="B77" s="159"/>
      <c r="C77" s="122"/>
      <c r="D77" s="122"/>
      <c r="E77" s="74">
        <v>10</v>
      </c>
      <c r="F77" s="74">
        <v>1300</v>
      </c>
      <c r="G77" s="45">
        <f t="shared" si="0"/>
        <v>13000</v>
      </c>
      <c r="H77" s="119" t="s">
        <v>46</v>
      </c>
      <c r="I77" s="128">
        <v>45248</v>
      </c>
      <c r="J77" s="74">
        <v>1300</v>
      </c>
      <c r="K77" s="74">
        <f>13+3</f>
        <v>16</v>
      </c>
      <c r="L77" s="156">
        <v>45252</v>
      </c>
      <c r="M77" s="45">
        <v>13000</v>
      </c>
      <c r="N77" s="45">
        <f>130+20</f>
        <v>150</v>
      </c>
      <c r="O77" s="45" t="s">
        <v>1848</v>
      </c>
      <c r="P77" s="74" t="s">
        <v>28</v>
      </c>
      <c r="Q77" s="74">
        <v>8500063702</v>
      </c>
      <c r="R77" s="74">
        <v>5001239350</v>
      </c>
      <c r="S77" s="74">
        <v>1300</v>
      </c>
      <c r="T77" s="45" t="s">
        <v>1558</v>
      </c>
      <c r="U77" s="45">
        <v>8500063701</v>
      </c>
      <c r="V77" s="45">
        <v>5001248498</v>
      </c>
      <c r="W77" s="127">
        <v>45275</v>
      </c>
      <c r="X77" s="152">
        <f>200+1100</f>
        <v>1300</v>
      </c>
      <c r="Y77" s="152">
        <f>2000+11000</f>
        <v>13000</v>
      </c>
      <c r="Z77" s="152" t="s">
        <v>2232</v>
      </c>
      <c r="AA77" s="152">
        <f t="shared" si="1"/>
        <v>0</v>
      </c>
      <c r="AB77" s="152">
        <f t="shared" si="2"/>
        <v>0</v>
      </c>
      <c r="AC77" s="74"/>
      <c r="AD77" s="74"/>
      <c r="AE77" s="157"/>
      <c r="AF77" s="157"/>
      <c r="AG77" s="157"/>
      <c r="AH77" s="141"/>
    </row>
    <row r="78" spans="1:34" ht="18.75" customHeight="1">
      <c r="A78" s="120" t="s">
        <v>24</v>
      </c>
      <c r="B78" s="121">
        <v>6000026579</v>
      </c>
      <c r="C78" s="122" t="s">
        <v>25</v>
      </c>
      <c r="D78" s="122" t="s">
        <v>1930</v>
      </c>
      <c r="E78" s="74">
        <v>10</v>
      </c>
      <c r="F78" s="74">
        <v>2100</v>
      </c>
      <c r="G78" s="45">
        <f t="shared" si="0"/>
        <v>21000</v>
      </c>
      <c r="H78" s="119" t="s">
        <v>46</v>
      </c>
      <c r="I78" s="128">
        <v>45247</v>
      </c>
      <c r="J78" s="158">
        <v>2100</v>
      </c>
      <c r="K78" s="74">
        <v>20</v>
      </c>
      <c r="L78" s="156">
        <v>45255</v>
      </c>
      <c r="M78" s="45">
        <v>21000</v>
      </c>
      <c r="N78" s="45">
        <f>210+20</f>
        <v>230</v>
      </c>
      <c r="P78" s="74" t="s">
        <v>28</v>
      </c>
      <c r="Q78" s="74">
        <v>8500063752</v>
      </c>
      <c r="R78" s="74">
        <v>5001231186</v>
      </c>
      <c r="S78" s="158">
        <v>2100</v>
      </c>
      <c r="T78" s="45" t="s">
        <v>1558</v>
      </c>
      <c r="U78" s="45">
        <v>8500063751</v>
      </c>
      <c r="V78" s="45">
        <v>5001260075</v>
      </c>
      <c r="W78" s="127">
        <v>45272</v>
      </c>
      <c r="X78" s="152">
        <v>2100</v>
      </c>
      <c r="Y78" s="152">
        <v>21000</v>
      </c>
      <c r="Z78" s="152" t="s">
        <v>2153</v>
      </c>
      <c r="AA78" s="152">
        <f t="shared" si="1"/>
        <v>0</v>
      </c>
      <c r="AB78" s="152">
        <f t="shared" si="2"/>
        <v>0</v>
      </c>
      <c r="AC78" s="74"/>
      <c r="AD78" s="74"/>
      <c r="AE78" s="157"/>
      <c r="AF78" s="157"/>
      <c r="AG78" s="157"/>
      <c r="AH78" s="141"/>
    </row>
    <row r="79" spans="1:34" ht="59.25" customHeight="1">
      <c r="A79" s="120" t="s">
        <v>24</v>
      </c>
      <c r="B79" s="121">
        <v>6000026580</v>
      </c>
      <c r="C79" s="122" t="s">
        <v>762</v>
      </c>
      <c r="D79" s="122" t="s">
        <v>1931</v>
      </c>
      <c r="E79" s="74">
        <v>10</v>
      </c>
      <c r="F79" s="74">
        <v>2100</v>
      </c>
      <c r="G79" s="45">
        <f t="shared" si="0"/>
        <v>21000</v>
      </c>
      <c r="H79" s="119" t="s">
        <v>46</v>
      </c>
      <c r="I79" s="128">
        <v>45248</v>
      </c>
      <c r="J79" s="158">
        <v>2100</v>
      </c>
      <c r="K79" s="74">
        <v>21</v>
      </c>
      <c r="L79" s="156">
        <v>45250</v>
      </c>
      <c r="M79" s="45">
        <f>16350+4650</f>
        <v>21000</v>
      </c>
      <c r="N79" s="45">
        <f>210+20</f>
        <v>230</v>
      </c>
      <c r="O79" s="45" t="s">
        <v>1848</v>
      </c>
      <c r="P79" s="74" t="s">
        <v>28</v>
      </c>
      <c r="Q79" s="74">
        <v>8500063706</v>
      </c>
      <c r="R79" s="74">
        <v>5001239358</v>
      </c>
      <c r="S79" s="74">
        <v>2100</v>
      </c>
      <c r="T79" s="45" t="s">
        <v>1558</v>
      </c>
      <c r="U79" s="45">
        <v>8500063704</v>
      </c>
      <c r="V79" s="45">
        <v>5001239764</v>
      </c>
      <c r="W79" s="127">
        <v>45252</v>
      </c>
      <c r="X79" s="152">
        <v>2100</v>
      </c>
      <c r="Y79" s="152">
        <v>21000</v>
      </c>
      <c r="Z79" s="152" t="s">
        <v>755</v>
      </c>
      <c r="AA79" s="152">
        <f t="shared" si="1"/>
        <v>0</v>
      </c>
      <c r="AB79" s="152">
        <f t="shared" si="2"/>
        <v>0</v>
      </c>
      <c r="AC79" s="53" t="s">
        <v>2121</v>
      </c>
      <c r="AD79" s="74"/>
      <c r="AE79" s="157"/>
      <c r="AF79" s="157"/>
      <c r="AG79" s="157"/>
      <c r="AH79" s="141"/>
    </row>
    <row r="80" spans="1:34" ht="18.75" customHeight="1">
      <c r="A80" s="120" t="s">
        <v>1727</v>
      </c>
      <c r="B80" s="121">
        <v>6000026497</v>
      </c>
      <c r="C80" s="122" t="s">
        <v>1725</v>
      </c>
      <c r="D80" s="122" t="s">
        <v>1932</v>
      </c>
      <c r="E80" s="74">
        <v>10</v>
      </c>
      <c r="F80" s="137">
        <v>504</v>
      </c>
      <c r="G80" s="45">
        <f t="shared" ref="G80:G118" si="3">F80*E80</f>
        <v>5040</v>
      </c>
      <c r="H80" s="119" t="s">
        <v>27</v>
      </c>
      <c r="I80" s="128">
        <v>45250</v>
      </c>
      <c r="J80" s="137">
        <v>504</v>
      </c>
      <c r="K80" s="74">
        <v>5</v>
      </c>
      <c r="L80" s="156">
        <v>45240</v>
      </c>
      <c r="M80" s="45">
        <v>5040</v>
      </c>
      <c r="N80" s="45">
        <v>26</v>
      </c>
      <c r="O80" s="45" t="s">
        <v>1348</v>
      </c>
      <c r="P80" s="74" t="s">
        <v>1558</v>
      </c>
      <c r="Q80" s="74">
        <v>8500063625</v>
      </c>
      <c r="R80" s="74">
        <v>5001240898</v>
      </c>
      <c r="S80" s="137">
        <v>504</v>
      </c>
      <c r="T80" s="45" t="s">
        <v>152</v>
      </c>
      <c r="U80" s="45">
        <v>8500063624</v>
      </c>
      <c r="V80" s="45">
        <v>5001200095</v>
      </c>
      <c r="W80" s="127" t="s">
        <v>2281</v>
      </c>
      <c r="X80" s="152">
        <v>504</v>
      </c>
      <c r="Y80" s="152">
        <v>5040</v>
      </c>
      <c r="Z80" s="152" t="s">
        <v>1502</v>
      </c>
      <c r="AA80" s="152">
        <f t="shared" ref="AA80:AA143" si="4">J80-X80</f>
        <v>0</v>
      </c>
      <c r="AB80" s="152">
        <f t="shared" ref="AB80:AB143" si="5">M80-Y80</f>
        <v>0</v>
      </c>
      <c r="AC80" s="74"/>
      <c r="AD80" s="74"/>
      <c r="AE80" s="157"/>
      <c r="AF80" s="157"/>
      <c r="AG80" s="157"/>
      <c r="AH80" s="141"/>
    </row>
    <row r="81" spans="1:34" ht="18.75" customHeight="1">
      <c r="A81" s="120"/>
      <c r="B81" s="121"/>
      <c r="C81" s="122"/>
      <c r="D81" s="122"/>
      <c r="E81" s="74">
        <v>10</v>
      </c>
      <c r="F81" s="74">
        <v>1008</v>
      </c>
      <c r="G81" s="45">
        <f t="shared" si="3"/>
        <v>10080</v>
      </c>
      <c r="H81" s="119" t="s">
        <v>46</v>
      </c>
      <c r="I81" s="128">
        <v>45250</v>
      </c>
      <c r="J81" s="74">
        <v>1008</v>
      </c>
      <c r="K81" s="74">
        <v>10</v>
      </c>
      <c r="L81" s="156">
        <v>45240</v>
      </c>
      <c r="M81" s="45">
        <v>10080</v>
      </c>
      <c r="N81" s="45">
        <v>51</v>
      </c>
      <c r="O81" s="45" t="s">
        <v>1791</v>
      </c>
      <c r="P81" s="74" t="s">
        <v>1558</v>
      </c>
      <c r="Q81" s="74">
        <v>8500063625</v>
      </c>
      <c r="R81" s="74">
        <v>5001240898</v>
      </c>
      <c r="S81" s="74">
        <v>1008</v>
      </c>
      <c r="T81" s="45" t="s">
        <v>152</v>
      </c>
      <c r="U81" s="45">
        <v>8500063624</v>
      </c>
      <c r="V81" s="45">
        <v>5001200095</v>
      </c>
      <c r="W81" s="127">
        <v>45253</v>
      </c>
      <c r="X81" s="152">
        <v>1008</v>
      </c>
      <c r="Y81" s="152">
        <v>10080</v>
      </c>
      <c r="Z81" s="152" t="s">
        <v>1988</v>
      </c>
      <c r="AA81" s="152">
        <f t="shared" si="4"/>
        <v>0</v>
      </c>
      <c r="AB81" s="152">
        <f t="shared" si="5"/>
        <v>0</v>
      </c>
      <c r="AC81" s="74"/>
      <c r="AD81" s="74"/>
      <c r="AE81" s="157"/>
      <c r="AF81" s="157"/>
      <c r="AG81" s="157"/>
      <c r="AH81" s="141"/>
    </row>
    <row r="82" spans="1:34" ht="18.75" customHeight="1">
      <c r="A82" s="120"/>
      <c r="B82" s="121"/>
      <c r="C82" s="122"/>
      <c r="D82" s="122"/>
      <c r="E82" s="74">
        <v>10</v>
      </c>
      <c r="F82" s="74">
        <v>1440</v>
      </c>
      <c r="G82" s="45">
        <f t="shared" si="3"/>
        <v>14400</v>
      </c>
      <c r="H82" s="119" t="s">
        <v>37</v>
      </c>
      <c r="I82" s="128">
        <v>45250</v>
      </c>
      <c r="J82" s="74">
        <v>1440</v>
      </c>
      <c r="K82" s="74">
        <v>14</v>
      </c>
      <c r="L82" s="156">
        <v>45240</v>
      </c>
      <c r="M82" s="45">
        <v>14400</v>
      </c>
      <c r="N82" s="45">
        <v>72</v>
      </c>
      <c r="O82" s="45" t="s">
        <v>1784</v>
      </c>
      <c r="P82" s="74" t="s">
        <v>1558</v>
      </c>
      <c r="Q82" s="74">
        <v>8500063625</v>
      </c>
      <c r="R82" s="74">
        <v>5001240898</v>
      </c>
      <c r="S82" s="74">
        <v>1440</v>
      </c>
      <c r="T82" s="45" t="s">
        <v>152</v>
      </c>
      <c r="U82" s="45">
        <v>8500063624</v>
      </c>
      <c r="V82" s="45">
        <v>5001200095</v>
      </c>
      <c r="W82" s="127">
        <v>45260</v>
      </c>
      <c r="X82" s="152">
        <v>1440</v>
      </c>
      <c r="Y82" s="152">
        <v>14400</v>
      </c>
      <c r="Z82" s="152" t="s">
        <v>2006</v>
      </c>
      <c r="AA82" s="152">
        <f t="shared" si="4"/>
        <v>0</v>
      </c>
      <c r="AB82" s="152">
        <f t="shared" si="5"/>
        <v>0</v>
      </c>
      <c r="AC82" s="74"/>
      <c r="AD82" s="74"/>
      <c r="AE82" s="157"/>
      <c r="AF82" s="157"/>
      <c r="AG82" s="157"/>
      <c r="AH82" s="141"/>
    </row>
    <row r="83" spans="1:34" ht="18.75" customHeight="1">
      <c r="A83" s="120"/>
      <c r="B83" s="121"/>
      <c r="C83" s="122"/>
      <c r="D83" s="122"/>
      <c r="E83" s="74">
        <v>10</v>
      </c>
      <c r="F83" s="74">
        <v>738</v>
      </c>
      <c r="G83" s="45">
        <f t="shared" si="3"/>
        <v>7380</v>
      </c>
      <c r="H83" s="119" t="s">
        <v>146</v>
      </c>
      <c r="I83" s="128">
        <v>45250</v>
      </c>
      <c r="J83" s="74">
        <v>738</v>
      </c>
      <c r="K83" s="74">
        <v>7</v>
      </c>
      <c r="L83" s="156">
        <v>45240</v>
      </c>
      <c r="M83" s="45">
        <v>7380</v>
      </c>
      <c r="N83" s="45">
        <v>37</v>
      </c>
      <c r="O83" s="45" t="s">
        <v>1743</v>
      </c>
      <c r="P83" s="74" t="s">
        <v>1558</v>
      </c>
      <c r="Q83" s="74">
        <v>8500063625</v>
      </c>
      <c r="R83" s="74">
        <v>5001240898</v>
      </c>
      <c r="S83" s="74">
        <v>738</v>
      </c>
      <c r="T83" s="45" t="s">
        <v>152</v>
      </c>
      <c r="U83" s="45">
        <v>8500063624</v>
      </c>
      <c r="V83" s="45">
        <v>5001200095</v>
      </c>
      <c r="W83" s="127">
        <v>45271</v>
      </c>
      <c r="X83" s="152">
        <v>738</v>
      </c>
      <c r="Y83" s="152">
        <v>7380</v>
      </c>
      <c r="Z83" s="152" t="s">
        <v>870</v>
      </c>
      <c r="AA83" s="152">
        <f t="shared" si="4"/>
        <v>0</v>
      </c>
      <c r="AB83" s="152">
        <f t="shared" si="5"/>
        <v>0</v>
      </c>
      <c r="AC83" s="74"/>
      <c r="AD83" s="74"/>
      <c r="AE83" s="157"/>
      <c r="AF83" s="157"/>
      <c r="AG83" s="157"/>
      <c r="AH83" s="141"/>
    </row>
    <row r="84" spans="1:34" ht="18.75" customHeight="1">
      <c r="A84" s="120"/>
      <c r="B84" s="121"/>
      <c r="C84" s="122"/>
      <c r="D84" s="126" t="s">
        <v>1934</v>
      </c>
      <c r="E84" s="74"/>
      <c r="F84" s="74"/>
      <c r="G84" s="45"/>
      <c r="H84" s="119"/>
      <c r="I84" s="128"/>
      <c r="J84" s="158"/>
      <c r="K84" s="74"/>
      <c r="L84" s="156"/>
      <c r="M84" s="45"/>
      <c r="N84" s="45"/>
      <c r="O84" s="45"/>
      <c r="P84" s="74"/>
      <c r="Q84" s="74"/>
      <c r="R84" s="74"/>
      <c r="S84" s="74"/>
      <c r="T84" s="45"/>
      <c r="U84" s="45"/>
      <c r="V84" s="45"/>
      <c r="W84" s="127"/>
      <c r="X84" s="152"/>
      <c r="Y84" s="152"/>
      <c r="Z84" s="152"/>
      <c r="AA84" s="152">
        <f t="shared" si="4"/>
        <v>0</v>
      </c>
      <c r="AB84" s="152">
        <f t="shared" si="5"/>
        <v>0</v>
      </c>
      <c r="AC84" s="74"/>
      <c r="AD84" s="74"/>
      <c r="AE84" s="157"/>
      <c r="AF84" s="157"/>
      <c r="AG84" s="157"/>
      <c r="AH84" s="141"/>
    </row>
    <row r="85" spans="1:34" ht="18.75" customHeight="1">
      <c r="A85" s="120" t="s">
        <v>1727</v>
      </c>
      <c r="B85" s="121">
        <v>6000026500</v>
      </c>
      <c r="C85" s="122" t="s">
        <v>1725</v>
      </c>
      <c r="D85" s="122" t="s">
        <v>1933</v>
      </c>
      <c r="E85" s="74">
        <v>10</v>
      </c>
      <c r="F85" s="74">
        <v>1649</v>
      </c>
      <c r="G85" s="45">
        <f t="shared" si="3"/>
        <v>16490</v>
      </c>
      <c r="H85" s="119" t="s">
        <v>46</v>
      </c>
      <c r="I85" s="128">
        <v>45250</v>
      </c>
      <c r="J85" s="74">
        <v>1649</v>
      </c>
      <c r="K85" s="74">
        <v>16</v>
      </c>
      <c r="L85" s="156">
        <v>45239</v>
      </c>
      <c r="M85" s="45">
        <v>16490</v>
      </c>
      <c r="N85" s="45">
        <v>83</v>
      </c>
      <c r="O85" s="45"/>
      <c r="P85" s="74" t="s">
        <v>1558</v>
      </c>
      <c r="Q85" s="74">
        <v>8500063628</v>
      </c>
      <c r="R85" s="74">
        <v>5001240932</v>
      </c>
      <c r="S85" s="74">
        <v>1649</v>
      </c>
      <c r="T85" s="45" t="s">
        <v>152</v>
      </c>
      <c r="U85" s="45">
        <v>8500063627</v>
      </c>
      <c r="V85" s="45">
        <v>5001195770</v>
      </c>
      <c r="W85" s="127">
        <v>45274</v>
      </c>
      <c r="X85" s="152">
        <v>1649</v>
      </c>
      <c r="Y85" s="152">
        <v>16490</v>
      </c>
      <c r="Z85" s="152" t="s">
        <v>1609</v>
      </c>
      <c r="AA85" s="152">
        <f t="shared" si="4"/>
        <v>0</v>
      </c>
      <c r="AB85" s="152">
        <f t="shared" si="5"/>
        <v>0</v>
      </c>
      <c r="AC85" s="74"/>
      <c r="AD85" s="74"/>
      <c r="AE85" s="157"/>
      <c r="AF85" s="157"/>
      <c r="AG85" s="157"/>
      <c r="AH85" s="141"/>
    </row>
    <row r="86" spans="1:34" ht="18.75" customHeight="1">
      <c r="A86" s="120"/>
      <c r="B86" s="121"/>
      <c r="C86" s="122"/>
      <c r="D86" s="122"/>
      <c r="E86" s="74">
        <v>10</v>
      </c>
      <c r="F86" s="74">
        <v>1605</v>
      </c>
      <c r="G86" s="45">
        <f t="shared" si="3"/>
        <v>16050</v>
      </c>
      <c r="H86" s="119" t="s">
        <v>37</v>
      </c>
      <c r="I86" s="128">
        <v>45250</v>
      </c>
      <c r="J86" s="74">
        <v>1605</v>
      </c>
      <c r="K86" s="74">
        <v>16</v>
      </c>
      <c r="L86" s="156">
        <v>45240</v>
      </c>
      <c r="M86" s="45">
        <v>16050</v>
      </c>
      <c r="N86" s="45">
        <v>81</v>
      </c>
      <c r="O86" s="45" t="s">
        <v>1784</v>
      </c>
      <c r="P86" s="74" t="s">
        <v>1558</v>
      </c>
      <c r="Q86" s="74">
        <v>8500063628</v>
      </c>
      <c r="R86" s="74">
        <v>5001240932</v>
      </c>
      <c r="S86" s="74">
        <v>1605</v>
      </c>
      <c r="T86" s="45" t="s">
        <v>152</v>
      </c>
      <c r="U86" s="45">
        <v>8500063627</v>
      </c>
      <c r="V86" s="45">
        <v>5001200094</v>
      </c>
      <c r="W86" s="226">
        <v>45265</v>
      </c>
      <c r="X86" s="152">
        <v>1605</v>
      </c>
      <c r="Y86" s="152">
        <v>16050</v>
      </c>
      <c r="Z86" s="152" t="s">
        <v>35</v>
      </c>
      <c r="AA86" s="152">
        <f t="shared" si="4"/>
        <v>0</v>
      </c>
      <c r="AB86" s="152">
        <f t="shared" si="5"/>
        <v>0</v>
      </c>
      <c r="AC86" s="74"/>
      <c r="AD86" s="74"/>
      <c r="AE86" s="157"/>
      <c r="AF86" s="157"/>
      <c r="AG86" s="157"/>
      <c r="AH86" s="141"/>
    </row>
    <row r="87" spans="1:34" ht="18.75" customHeight="1">
      <c r="A87" s="120"/>
      <c r="B87" s="121"/>
      <c r="C87" s="122"/>
      <c r="D87" s="122"/>
      <c r="E87" s="74">
        <v>10</v>
      </c>
      <c r="F87" s="74">
        <v>436</v>
      </c>
      <c r="G87" s="45">
        <f t="shared" si="3"/>
        <v>4360</v>
      </c>
      <c r="H87" s="119" t="s">
        <v>146</v>
      </c>
      <c r="I87" s="128">
        <v>45250</v>
      </c>
      <c r="J87" s="74">
        <v>436</v>
      </c>
      <c r="K87" s="74">
        <v>4</v>
      </c>
      <c r="L87" s="156">
        <v>45240</v>
      </c>
      <c r="M87" s="45">
        <v>4360</v>
      </c>
      <c r="N87" s="45">
        <v>22</v>
      </c>
      <c r="O87" s="45" t="s">
        <v>858</v>
      </c>
      <c r="P87" s="74" t="s">
        <v>1558</v>
      </c>
      <c r="Q87" s="74">
        <v>8500063628</v>
      </c>
      <c r="R87" s="74">
        <v>5001240932</v>
      </c>
      <c r="S87" s="74">
        <v>436</v>
      </c>
      <c r="T87" s="45" t="s">
        <v>152</v>
      </c>
      <c r="U87" s="45">
        <v>8500063627</v>
      </c>
      <c r="V87" s="45">
        <v>5001200094</v>
      </c>
      <c r="W87" s="127">
        <v>45274</v>
      </c>
      <c r="X87" s="152">
        <v>436</v>
      </c>
      <c r="Y87" s="152">
        <v>4360</v>
      </c>
      <c r="Z87" s="152" t="s">
        <v>870</v>
      </c>
      <c r="AA87" s="152">
        <f t="shared" si="4"/>
        <v>0</v>
      </c>
      <c r="AB87" s="152">
        <f t="shared" si="5"/>
        <v>0</v>
      </c>
      <c r="AC87" s="74"/>
      <c r="AD87" s="74"/>
      <c r="AE87" s="157"/>
      <c r="AF87" s="157"/>
      <c r="AG87" s="157"/>
      <c r="AH87" s="141"/>
    </row>
    <row r="88" spans="1:34" ht="18.75" customHeight="1">
      <c r="A88" s="120"/>
      <c r="B88" s="121"/>
      <c r="C88" s="122"/>
      <c r="D88" s="126" t="s">
        <v>1934</v>
      </c>
      <c r="E88" s="74"/>
      <c r="F88" s="74"/>
      <c r="G88" s="45">
        <f t="shared" si="3"/>
        <v>0</v>
      </c>
      <c r="H88" s="119"/>
      <c r="I88" s="128"/>
      <c r="J88" s="158"/>
      <c r="K88" s="74"/>
      <c r="L88" s="156"/>
      <c r="M88" s="45"/>
      <c r="N88" s="45"/>
      <c r="O88" s="45"/>
      <c r="P88" s="74"/>
      <c r="Q88" s="74"/>
      <c r="R88" s="74"/>
      <c r="S88" s="74"/>
      <c r="T88" s="45"/>
      <c r="U88" s="45"/>
      <c r="V88" s="45"/>
      <c r="W88" s="151"/>
      <c r="X88" s="152"/>
      <c r="Y88" s="152"/>
      <c r="Z88" s="152"/>
      <c r="AA88" s="152">
        <f t="shared" si="4"/>
        <v>0</v>
      </c>
      <c r="AB88" s="152">
        <f t="shared" si="5"/>
        <v>0</v>
      </c>
      <c r="AC88" s="74"/>
      <c r="AD88" s="74"/>
      <c r="AE88" s="157"/>
      <c r="AF88" s="157"/>
      <c r="AG88" s="157"/>
      <c r="AH88" s="141"/>
    </row>
    <row r="89" spans="1:34" ht="18.75" customHeight="1">
      <c r="A89" s="120" t="s">
        <v>1943</v>
      </c>
      <c r="B89" s="121">
        <v>6000026230</v>
      </c>
      <c r="C89" s="122" t="s">
        <v>711</v>
      </c>
      <c r="D89" s="122">
        <v>6000026230</v>
      </c>
      <c r="E89" s="74">
        <v>10</v>
      </c>
      <c r="F89" s="74">
        <v>200</v>
      </c>
      <c r="G89" s="45">
        <f t="shared" si="3"/>
        <v>2000</v>
      </c>
      <c r="H89" s="119" t="s">
        <v>27</v>
      </c>
      <c r="I89" s="128">
        <v>45248</v>
      </c>
      <c r="J89" s="74">
        <v>200</v>
      </c>
      <c r="K89" s="74">
        <v>3</v>
      </c>
      <c r="L89" s="156">
        <v>45239</v>
      </c>
      <c r="M89" s="45">
        <v>2000</v>
      </c>
      <c r="N89" s="45">
        <v>20</v>
      </c>
      <c r="O89" s="45" t="s">
        <v>821</v>
      </c>
      <c r="P89" s="74" t="s">
        <v>28</v>
      </c>
      <c r="Q89" s="74">
        <v>8500063497</v>
      </c>
      <c r="R89" s="74">
        <v>5001239470</v>
      </c>
      <c r="S89" s="74"/>
      <c r="T89" s="45" t="s">
        <v>87</v>
      </c>
      <c r="U89" s="45">
        <v>8500063496</v>
      </c>
      <c r="V89" s="45">
        <v>5001199005</v>
      </c>
      <c r="W89" s="151" t="s">
        <v>2057</v>
      </c>
      <c r="X89" s="152">
        <v>200</v>
      </c>
      <c r="Y89" s="152">
        <v>2000</v>
      </c>
      <c r="Z89" s="152" t="s">
        <v>1980</v>
      </c>
      <c r="AA89" s="152">
        <f t="shared" si="4"/>
        <v>0</v>
      </c>
      <c r="AB89" s="152">
        <f t="shared" si="5"/>
        <v>0</v>
      </c>
      <c r="AC89" s="74"/>
      <c r="AD89" s="74"/>
      <c r="AE89" s="157"/>
      <c r="AF89" s="157"/>
      <c r="AG89" s="157"/>
      <c r="AH89" s="141"/>
    </row>
    <row r="90" spans="1:34" ht="18.75" customHeight="1">
      <c r="A90" s="120"/>
      <c r="B90" s="121"/>
      <c r="C90" s="122"/>
      <c r="D90" s="122"/>
      <c r="E90" s="74">
        <v>10</v>
      </c>
      <c r="F90" s="74">
        <v>800</v>
      </c>
      <c r="G90" s="45">
        <f t="shared" si="3"/>
        <v>8000</v>
      </c>
      <c r="H90" s="119" t="s">
        <v>46</v>
      </c>
      <c r="I90" s="128">
        <v>45248</v>
      </c>
      <c r="J90" s="74">
        <v>800</v>
      </c>
      <c r="K90" s="74">
        <f>10+1</f>
        <v>11</v>
      </c>
      <c r="L90" s="156">
        <v>45239</v>
      </c>
      <c r="M90" s="45">
        <v>8000</v>
      </c>
      <c r="N90" s="45">
        <v>80</v>
      </c>
      <c r="O90" s="45" t="s">
        <v>1754</v>
      </c>
      <c r="P90" s="74" t="s">
        <v>28</v>
      </c>
      <c r="Q90" s="74">
        <v>8500063497</v>
      </c>
      <c r="R90" s="74">
        <v>5001239470</v>
      </c>
      <c r="S90" s="74"/>
      <c r="T90" s="45" t="s">
        <v>87</v>
      </c>
      <c r="U90" s="45">
        <v>8500063496</v>
      </c>
      <c r="V90" s="45">
        <v>5001199005</v>
      </c>
      <c r="W90" s="151" t="s">
        <v>2057</v>
      </c>
      <c r="X90" s="152">
        <v>800</v>
      </c>
      <c r="Y90" s="152">
        <v>8000</v>
      </c>
      <c r="Z90" s="152" t="s">
        <v>1980</v>
      </c>
      <c r="AA90" s="152">
        <f t="shared" si="4"/>
        <v>0</v>
      </c>
      <c r="AB90" s="152">
        <f t="shared" si="5"/>
        <v>0</v>
      </c>
      <c r="AC90" s="74"/>
      <c r="AD90" s="74"/>
      <c r="AE90" s="157"/>
      <c r="AF90" s="157"/>
      <c r="AG90" s="157"/>
      <c r="AH90" s="141"/>
    </row>
    <row r="91" spans="1:34" ht="18.75" customHeight="1">
      <c r="A91" s="120"/>
      <c r="B91" s="121"/>
      <c r="C91" s="122"/>
      <c r="D91" s="122"/>
      <c r="E91" s="74">
        <v>10</v>
      </c>
      <c r="F91" s="74">
        <v>800</v>
      </c>
      <c r="G91" s="45">
        <f t="shared" si="3"/>
        <v>8000</v>
      </c>
      <c r="H91" s="119" t="s">
        <v>37</v>
      </c>
      <c r="I91" s="128">
        <v>45254</v>
      </c>
      <c r="J91" s="74"/>
      <c r="K91" s="74"/>
      <c r="L91" s="156">
        <v>45239</v>
      </c>
      <c r="M91" s="45">
        <v>8000</v>
      </c>
      <c r="N91" s="45">
        <v>80</v>
      </c>
      <c r="O91" s="45" t="s">
        <v>1754</v>
      </c>
      <c r="P91" s="74" t="s">
        <v>2073</v>
      </c>
      <c r="Q91" s="74">
        <v>8500063497</v>
      </c>
      <c r="R91" s="74">
        <v>5001256340</v>
      </c>
      <c r="S91" s="74"/>
      <c r="T91" s="45" t="s">
        <v>87</v>
      </c>
      <c r="U91" s="45">
        <v>8500063496</v>
      </c>
      <c r="V91" s="45">
        <v>5001199005</v>
      </c>
      <c r="W91" s="151" t="s">
        <v>2057</v>
      </c>
      <c r="X91" s="152"/>
      <c r="Y91" s="152">
        <v>8000</v>
      </c>
      <c r="Z91" s="152" t="s">
        <v>1980</v>
      </c>
      <c r="AA91" s="152">
        <f t="shared" si="4"/>
        <v>0</v>
      </c>
      <c r="AB91" s="152">
        <f t="shared" si="5"/>
        <v>0</v>
      </c>
      <c r="AC91" s="74"/>
      <c r="AD91" s="74"/>
      <c r="AE91" s="157"/>
      <c r="AF91" s="157"/>
      <c r="AG91" s="157"/>
      <c r="AH91" s="141"/>
    </row>
    <row r="92" spans="1:34" ht="18.75" customHeight="1">
      <c r="A92" s="120"/>
      <c r="B92" s="121"/>
      <c r="C92" s="122"/>
      <c r="D92" s="122"/>
      <c r="E92" s="74">
        <v>10</v>
      </c>
      <c r="F92" s="74">
        <v>200</v>
      </c>
      <c r="G92" s="45">
        <f t="shared" si="3"/>
        <v>2000</v>
      </c>
      <c r="H92" s="119" t="s">
        <v>146</v>
      </c>
      <c r="I92" s="128">
        <v>45248</v>
      </c>
      <c r="J92" s="74">
        <v>200</v>
      </c>
      <c r="K92" s="74">
        <v>4</v>
      </c>
      <c r="L92" s="156">
        <v>45239</v>
      </c>
      <c r="M92" s="45">
        <v>2000</v>
      </c>
      <c r="N92" s="45">
        <v>20</v>
      </c>
      <c r="O92" s="45" t="s">
        <v>821</v>
      </c>
      <c r="P92" s="74" t="s">
        <v>28</v>
      </c>
      <c r="Q92" s="74">
        <v>8500063497</v>
      </c>
      <c r="R92" s="74">
        <v>5001239470</v>
      </c>
      <c r="S92" s="74"/>
      <c r="T92" s="45" t="s">
        <v>87</v>
      </c>
      <c r="U92" s="45">
        <v>8500063496</v>
      </c>
      <c r="V92" s="45">
        <v>5001199005</v>
      </c>
      <c r="W92" s="151" t="s">
        <v>2057</v>
      </c>
      <c r="X92" s="152">
        <v>200</v>
      </c>
      <c r="Y92" s="152">
        <v>2000</v>
      </c>
      <c r="Z92" s="152" t="s">
        <v>1980</v>
      </c>
      <c r="AA92" s="152">
        <f t="shared" si="4"/>
        <v>0</v>
      </c>
      <c r="AB92" s="152">
        <f t="shared" si="5"/>
        <v>0</v>
      </c>
      <c r="AC92" s="74"/>
      <c r="AD92" s="74"/>
      <c r="AE92" s="157"/>
      <c r="AF92" s="157"/>
      <c r="AG92" s="157"/>
      <c r="AH92" s="141"/>
    </row>
    <row r="93" spans="1:34" ht="18.75" customHeight="1">
      <c r="A93" s="120" t="s">
        <v>868</v>
      </c>
      <c r="B93" s="121">
        <v>6000026400</v>
      </c>
      <c r="C93" s="122" t="s">
        <v>1544</v>
      </c>
      <c r="D93" s="122">
        <v>6000026400</v>
      </c>
      <c r="E93" s="74">
        <v>20</v>
      </c>
      <c r="F93" s="137">
        <v>50</v>
      </c>
      <c r="G93" s="45">
        <f t="shared" si="3"/>
        <v>1000</v>
      </c>
      <c r="H93" s="119" t="s">
        <v>243</v>
      </c>
      <c r="I93" s="128">
        <v>45251</v>
      </c>
      <c r="J93" s="137">
        <v>50</v>
      </c>
      <c r="K93" s="74">
        <v>3</v>
      </c>
      <c r="L93" s="156">
        <v>45251</v>
      </c>
      <c r="M93" s="45">
        <v>1000</v>
      </c>
      <c r="N93" s="45">
        <v>20</v>
      </c>
      <c r="O93" s="45" t="s">
        <v>1613</v>
      </c>
      <c r="P93" s="74" t="s">
        <v>28</v>
      </c>
      <c r="Q93" s="74">
        <v>8500063524</v>
      </c>
      <c r="R93" s="74">
        <v>5001244090</v>
      </c>
      <c r="S93" s="137">
        <v>50</v>
      </c>
      <c r="T93" s="45" t="s">
        <v>655</v>
      </c>
      <c r="U93" s="45">
        <v>8500063523</v>
      </c>
      <c r="V93" s="45">
        <v>5001244809</v>
      </c>
      <c r="W93" s="127">
        <v>45280</v>
      </c>
      <c r="X93" s="152">
        <v>50</v>
      </c>
      <c r="Y93" s="152">
        <v>1000</v>
      </c>
      <c r="Z93" s="152" t="s">
        <v>2266</v>
      </c>
      <c r="AA93" s="152">
        <f t="shared" si="4"/>
        <v>0</v>
      </c>
      <c r="AB93" s="152">
        <f t="shared" si="5"/>
        <v>0</v>
      </c>
      <c r="AC93" s="74"/>
      <c r="AD93" s="74"/>
      <c r="AE93" s="157"/>
      <c r="AF93" s="157"/>
      <c r="AG93" s="157"/>
      <c r="AH93" s="141"/>
    </row>
    <row r="94" spans="1:34" ht="18.75" customHeight="1">
      <c r="A94" s="120"/>
      <c r="B94" s="121"/>
      <c r="C94" s="122"/>
      <c r="D94" s="122"/>
      <c r="E94" s="74">
        <v>20</v>
      </c>
      <c r="F94" s="74">
        <v>550</v>
      </c>
      <c r="G94" s="45">
        <f t="shared" si="3"/>
        <v>11000</v>
      </c>
      <c r="H94" s="119" t="s">
        <v>46</v>
      </c>
      <c r="I94" s="128">
        <v>45251</v>
      </c>
      <c r="J94" s="74">
        <v>550</v>
      </c>
      <c r="K94" s="74">
        <v>6</v>
      </c>
      <c r="L94" s="156">
        <v>45250</v>
      </c>
      <c r="M94" s="45">
        <v>11000</v>
      </c>
      <c r="N94" s="45">
        <v>100</v>
      </c>
      <c r="O94" s="45" t="s">
        <v>862</v>
      </c>
      <c r="P94" s="74" t="s">
        <v>28</v>
      </c>
      <c r="Q94" s="74">
        <v>8500063524</v>
      </c>
      <c r="R94" s="74">
        <v>5001244090</v>
      </c>
      <c r="S94" s="74">
        <v>550</v>
      </c>
      <c r="T94" s="45" t="s">
        <v>655</v>
      </c>
      <c r="U94" s="45">
        <v>8500063523</v>
      </c>
      <c r="V94" s="45">
        <v>5001240954</v>
      </c>
      <c r="W94" s="127" t="s">
        <v>2216</v>
      </c>
      <c r="X94" s="152">
        <f>300+250</f>
        <v>550</v>
      </c>
      <c r="Y94" s="152">
        <f>6000+5000</f>
        <v>11000</v>
      </c>
      <c r="Z94" s="152" t="s">
        <v>1609</v>
      </c>
      <c r="AA94" s="152">
        <f t="shared" si="4"/>
        <v>0</v>
      </c>
      <c r="AB94" s="152">
        <f t="shared" si="5"/>
        <v>0</v>
      </c>
      <c r="AC94" s="74"/>
      <c r="AD94" s="74"/>
      <c r="AE94" s="157"/>
      <c r="AF94" s="157"/>
      <c r="AG94" s="157"/>
      <c r="AH94" s="141"/>
    </row>
    <row r="95" spans="1:34" ht="18.75" customHeight="1">
      <c r="A95" s="120"/>
      <c r="B95" s="121"/>
      <c r="C95" s="122"/>
      <c r="D95" s="122"/>
      <c r="E95" s="74">
        <v>20</v>
      </c>
      <c r="F95" s="74">
        <v>450</v>
      </c>
      <c r="G95" s="45">
        <f t="shared" si="3"/>
        <v>9000</v>
      </c>
      <c r="H95" s="119" t="s">
        <v>37</v>
      </c>
      <c r="I95" s="128">
        <v>45251</v>
      </c>
      <c r="J95" s="74">
        <v>450</v>
      </c>
      <c r="K95" s="74">
        <v>4</v>
      </c>
      <c r="L95" s="156">
        <v>45251</v>
      </c>
      <c r="M95" s="45">
        <v>9000</v>
      </c>
      <c r="N95" s="163">
        <v>28</v>
      </c>
      <c r="O95" s="45" t="s">
        <v>741</v>
      </c>
      <c r="P95" s="74" t="s">
        <v>28</v>
      </c>
      <c r="Q95" s="74">
        <v>8500063524</v>
      </c>
      <c r="R95" s="74">
        <v>5001244090</v>
      </c>
      <c r="S95" s="74">
        <v>450</v>
      </c>
      <c r="T95" s="45" t="s">
        <v>655</v>
      </c>
      <c r="U95" s="45">
        <v>8500063523</v>
      </c>
      <c r="V95" s="45">
        <v>5001244809</v>
      </c>
      <c r="W95" s="127">
        <v>45267</v>
      </c>
      <c r="X95" s="152">
        <v>450</v>
      </c>
      <c r="Y95" s="152">
        <v>9000</v>
      </c>
      <c r="Z95" s="152" t="s">
        <v>35</v>
      </c>
      <c r="AA95" s="152">
        <f t="shared" si="4"/>
        <v>0</v>
      </c>
      <c r="AB95" s="152">
        <f t="shared" si="5"/>
        <v>0</v>
      </c>
      <c r="AC95" s="74"/>
      <c r="AD95" s="74"/>
      <c r="AE95" s="157"/>
      <c r="AF95" s="157"/>
      <c r="AG95" s="157"/>
      <c r="AH95" s="141"/>
    </row>
    <row r="96" spans="1:34" ht="18.75" customHeight="1">
      <c r="A96" s="120" t="s">
        <v>868</v>
      </c>
      <c r="B96" s="121">
        <v>6000026400</v>
      </c>
      <c r="C96" s="122" t="s">
        <v>1546</v>
      </c>
      <c r="D96" s="122">
        <v>6000026400</v>
      </c>
      <c r="E96" s="74">
        <v>20</v>
      </c>
      <c r="F96" s="74">
        <v>170</v>
      </c>
      <c r="G96" s="45">
        <f t="shared" si="3"/>
        <v>3400</v>
      </c>
      <c r="H96" s="119" t="s">
        <v>27</v>
      </c>
      <c r="I96" s="128">
        <v>45251</v>
      </c>
      <c r="J96" s="74">
        <v>170</v>
      </c>
      <c r="K96" s="74">
        <v>4</v>
      </c>
      <c r="L96" s="156">
        <v>45246</v>
      </c>
      <c r="M96" s="45">
        <v>3400</v>
      </c>
      <c r="N96" s="45">
        <v>44</v>
      </c>
      <c r="O96" s="45" t="s">
        <v>1580</v>
      </c>
      <c r="P96" s="74" t="s">
        <v>28</v>
      </c>
      <c r="Q96" s="74">
        <v>8500063526</v>
      </c>
      <c r="R96" s="74">
        <v>5001244091</v>
      </c>
      <c r="S96" s="74">
        <v>170</v>
      </c>
      <c r="T96" s="45" t="s">
        <v>655</v>
      </c>
      <c r="U96" s="45">
        <v>8500063525</v>
      </c>
      <c r="V96" s="45">
        <v>5001227539</v>
      </c>
      <c r="W96" s="127">
        <v>45271</v>
      </c>
      <c r="X96" s="152">
        <v>170</v>
      </c>
      <c r="Y96" s="152">
        <v>3400</v>
      </c>
      <c r="Z96" s="152" t="s">
        <v>1472</v>
      </c>
      <c r="AA96" s="152">
        <f t="shared" si="4"/>
        <v>0</v>
      </c>
      <c r="AB96" s="152">
        <f t="shared" si="5"/>
        <v>0</v>
      </c>
      <c r="AC96" s="74"/>
      <c r="AD96" s="74"/>
      <c r="AE96" s="157"/>
      <c r="AF96" s="157"/>
      <c r="AG96" s="157"/>
      <c r="AH96" s="141"/>
    </row>
    <row r="97" spans="1:34" ht="18.75" customHeight="1">
      <c r="A97" s="120"/>
      <c r="B97" s="121"/>
      <c r="C97" s="122"/>
      <c r="D97" s="122"/>
      <c r="E97" s="74">
        <v>20</v>
      </c>
      <c r="F97" s="74">
        <v>350</v>
      </c>
      <c r="G97" s="45">
        <f t="shared" si="3"/>
        <v>7000</v>
      </c>
      <c r="H97" s="119" t="s">
        <v>46</v>
      </c>
      <c r="I97" s="128">
        <v>45251</v>
      </c>
      <c r="J97" s="74">
        <v>350</v>
      </c>
      <c r="K97" s="74">
        <v>5</v>
      </c>
      <c r="L97" s="156">
        <v>45247</v>
      </c>
      <c r="M97" s="45">
        <v>7000</v>
      </c>
      <c r="N97" s="45">
        <v>100</v>
      </c>
      <c r="O97" s="45" t="s">
        <v>1848</v>
      </c>
      <c r="P97" s="74" t="s">
        <v>28</v>
      </c>
      <c r="Q97" s="74">
        <v>8500063526</v>
      </c>
      <c r="R97" s="74">
        <v>5001244091</v>
      </c>
      <c r="S97" s="74">
        <v>350</v>
      </c>
      <c r="T97" s="45" t="s">
        <v>655</v>
      </c>
      <c r="U97" s="45">
        <v>8500063525</v>
      </c>
      <c r="V97" s="45">
        <v>5001231680</v>
      </c>
      <c r="W97" s="127">
        <v>45273</v>
      </c>
      <c r="X97" s="152">
        <v>350</v>
      </c>
      <c r="Y97" s="152">
        <v>7000</v>
      </c>
      <c r="Z97" s="152" t="s">
        <v>267</v>
      </c>
      <c r="AA97" s="152">
        <f t="shared" si="4"/>
        <v>0</v>
      </c>
      <c r="AB97" s="152">
        <f t="shared" si="5"/>
        <v>0</v>
      </c>
      <c r="AC97" s="74"/>
      <c r="AD97" s="74"/>
      <c r="AE97" s="157"/>
      <c r="AF97" s="157"/>
      <c r="AG97" s="157"/>
      <c r="AH97" s="141"/>
    </row>
    <row r="98" spans="1:34" ht="18.75" customHeight="1">
      <c r="A98" s="120" t="s">
        <v>868</v>
      </c>
      <c r="B98" s="121">
        <v>6000026402</v>
      </c>
      <c r="C98" s="122" t="s">
        <v>1544</v>
      </c>
      <c r="D98" s="122">
        <v>6000026402</v>
      </c>
      <c r="E98" s="74">
        <v>20</v>
      </c>
      <c r="F98" s="74">
        <v>580</v>
      </c>
      <c r="G98" s="45">
        <f t="shared" si="3"/>
        <v>11600</v>
      </c>
      <c r="H98" s="119" t="s">
        <v>37</v>
      </c>
      <c r="I98" s="128" t="s">
        <v>2097</v>
      </c>
      <c r="J98" s="158">
        <f>573+7</f>
        <v>580</v>
      </c>
      <c r="K98" s="74">
        <v>9</v>
      </c>
      <c r="L98" s="156" t="s">
        <v>2105</v>
      </c>
      <c r="M98" s="45">
        <f>11350+250</f>
        <v>11600</v>
      </c>
      <c r="N98" s="45">
        <v>130</v>
      </c>
      <c r="O98" s="45" t="s">
        <v>797</v>
      </c>
      <c r="P98" s="74" t="s">
        <v>28</v>
      </c>
      <c r="Q98" s="74">
        <v>8500063528</v>
      </c>
      <c r="R98" s="74">
        <v>5001244009</v>
      </c>
      <c r="S98" s="158">
        <f>573+7</f>
        <v>580</v>
      </c>
      <c r="T98" s="45" t="s">
        <v>655</v>
      </c>
      <c r="U98" s="45">
        <v>8500063527</v>
      </c>
      <c r="V98" s="45">
        <v>5001240951</v>
      </c>
      <c r="W98" s="127">
        <v>45267</v>
      </c>
      <c r="X98" s="152">
        <v>580</v>
      </c>
      <c r="Y98" s="152">
        <v>11600</v>
      </c>
      <c r="Z98" s="152" t="s">
        <v>35</v>
      </c>
      <c r="AA98" s="152">
        <f t="shared" si="4"/>
        <v>0</v>
      </c>
      <c r="AB98" s="152">
        <f t="shared" si="5"/>
        <v>0</v>
      </c>
      <c r="AC98" s="74"/>
      <c r="AD98" s="74"/>
      <c r="AE98" s="157"/>
      <c r="AF98" s="157"/>
      <c r="AG98" s="157"/>
      <c r="AH98" s="141"/>
    </row>
    <row r="99" spans="1:34" ht="18.75" customHeight="1">
      <c r="A99" s="120" t="s">
        <v>868</v>
      </c>
      <c r="B99" s="121">
        <v>6000026402</v>
      </c>
      <c r="C99" s="122" t="s">
        <v>869</v>
      </c>
      <c r="D99" s="122">
        <v>6000026402</v>
      </c>
      <c r="E99" s="74">
        <v>20</v>
      </c>
      <c r="F99" s="74">
        <v>50</v>
      </c>
      <c r="G99" s="45">
        <f t="shared" si="3"/>
        <v>1000</v>
      </c>
      <c r="H99" s="119" t="s">
        <v>243</v>
      </c>
      <c r="I99" s="128">
        <v>45251</v>
      </c>
      <c r="J99" s="74">
        <v>50</v>
      </c>
      <c r="K99" s="74">
        <v>2</v>
      </c>
      <c r="L99" s="156">
        <v>45248</v>
      </c>
      <c r="M99" s="45">
        <v>1000</v>
      </c>
      <c r="N99" s="45">
        <v>20</v>
      </c>
      <c r="O99" s="45" t="s">
        <v>736</v>
      </c>
      <c r="P99" s="74" t="s">
        <v>28</v>
      </c>
      <c r="Q99" s="74">
        <v>8500063530</v>
      </c>
      <c r="R99" s="74">
        <v>5001244092</v>
      </c>
      <c r="S99" s="74">
        <v>50</v>
      </c>
      <c r="T99" s="45" t="s">
        <v>655</v>
      </c>
      <c r="U99" s="45">
        <v>8500063529</v>
      </c>
      <c r="V99" s="45">
        <v>5001231673</v>
      </c>
      <c r="W99" s="127">
        <v>45262</v>
      </c>
      <c r="X99" s="152">
        <v>50</v>
      </c>
      <c r="Y99" s="152">
        <v>1000</v>
      </c>
      <c r="Z99" s="152" t="s">
        <v>800</v>
      </c>
      <c r="AA99" s="152">
        <f t="shared" si="4"/>
        <v>0</v>
      </c>
      <c r="AB99" s="152">
        <f t="shared" si="5"/>
        <v>0</v>
      </c>
      <c r="AC99" s="74"/>
      <c r="AD99" s="74"/>
      <c r="AE99" s="157"/>
      <c r="AF99" s="157"/>
      <c r="AG99" s="157"/>
      <c r="AH99" s="141"/>
    </row>
    <row r="100" spans="1:34" ht="18.75" customHeight="1">
      <c r="A100" s="120"/>
      <c r="B100" s="121"/>
      <c r="C100" s="122"/>
      <c r="D100" s="122"/>
      <c r="E100" s="74">
        <v>20</v>
      </c>
      <c r="F100" s="74">
        <v>300</v>
      </c>
      <c r="G100" s="45">
        <f t="shared" si="3"/>
        <v>6000</v>
      </c>
      <c r="H100" s="119" t="s">
        <v>27</v>
      </c>
      <c r="I100" s="128">
        <v>45251</v>
      </c>
      <c r="J100" s="74">
        <v>300</v>
      </c>
      <c r="K100" s="74">
        <v>3</v>
      </c>
      <c r="L100" s="156">
        <v>45248</v>
      </c>
      <c r="M100" s="45">
        <v>6000</v>
      </c>
      <c r="N100" s="45">
        <v>100</v>
      </c>
      <c r="O100" s="45" t="s">
        <v>921</v>
      </c>
      <c r="P100" s="74" t="s">
        <v>28</v>
      </c>
      <c r="Q100" s="74">
        <v>8500063530</v>
      </c>
      <c r="R100" s="74">
        <v>5001244092</v>
      </c>
      <c r="S100" s="74">
        <v>300</v>
      </c>
      <c r="T100" s="45" t="s">
        <v>655</v>
      </c>
      <c r="U100" s="45">
        <v>8500063529</v>
      </c>
      <c r="V100" s="45">
        <v>5001231673</v>
      </c>
      <c r="W100" s="127">
        <v>45262</v>
      </c>
      <c r="X100" s="152">
        <v>300</v>
      </c>
      <c r="Y100" s="152">
        <v>6000</v>
      </c>
      <c r="Z100" s="152" t="s">
        <v>800</v>
      </c>
      <c r="AA100" s="152">
        <f t="shared" si="4"/>
        <v>0</v>
      </c>
      <c r="AB100" s="152">
        <f t="shared" si="5"/>
        <v>0</v>
      </c>
      <c r="AC100" s="74"/>
      <c r="AD100" s="74"/>
      <c r="AE100" s="157"/>
      <c r="AF100" s="157"/>
      <c r="AG100" s="157"/>
      <c r="AH100" s="141"/>
    </row>
    <row r="101" spans="1:34" ht="18.75" customHeight="1">
      <c r="A101" s="120"/>
      <c r="B101" s="121"/>
      <c r="C101" s="122"/>
      <c r="D101" s="122"/>
      <c r="E101" s="74">
        <v>20</v>
      </c>
      <c r="F101" s="74">
        <v>400</v>
      </c>
      <c r="G101" s="45">
        <f t="shared" si="3"/>
        <v>8000</v>
      </c>
      <c r="H101" s="119" t="s">
        <v>46</v>
      </c>
      <c r="I101" s="128">
        <v>45251</v>
      </c>
      <c r="J101" s="74">
        <v>400</v>
      </c>
      <c r="K101" s="74">
        <v>5</v>
      </c>
      <c r="L101" s="156">
        <v>45248</v>
      </c>
      <c r="M101" s="45">
        <v>8000</v>
      </c>
      <c r="N101" s="45">
        <v>100</v>
      </c>
      <c r="O101" s="45" t="s">
        <v>1848</v>
      </c>
      <c r="P101" s="74" t="s">
        <v>28</v>
      </c>
      <c r="Q101" s="74">
        <v>8500063530</v>
      </c>
      <c r="R101" s="74">
        <v>5001244092</v>
      </c>
      <c r="S101" s="74">
        <v>400</v>
      </c>
      <c r="T101" s="45" t="s">
        <v>655</v>
      </c>
      <c r="U101" s="45">
        <v>8500063529</v>
      </c>
      <c r="V101" s="45">
        <v>5001231673</v>
      </c>
      <c r="W101" s="127">
        <v>45262</v>
      </c>
      <c r="X101" s="152">
        <v>400</v>
      </c>
      <c r="Y101" s="152">
        <v>8000</v>
      </c>
      <c r="Z101" s="152" t="s">
        <v>800</v>
      </c>
      <c r="AA101" s="152">
        <f t="shared" si="4"/>
        <v>0</v>
      </c>
      <c r="AB101" s="152">
        <f t="shared" si="5"/>
        <v>0</v>
      </c>
      <c r="AC101" s="74"/>
      <c r="AD101" s="74"/>
      <c r="AE101" s="157"/>
      <c r="AF101" s="157"/>
      <c r="AG101" s="157"/>
      <c r="AH101" s="141"/>
    </row>
    <row r="102" spans="1:34" ht="18.75" customHeight="1">
      <c r="A102" s="120"/>
      <c r="B102" s="121"/>
      <c r="C102" s="122"/>
      <c r="D102" s="122"/>
      <c r="E102" s="74">
        <v>20</v>
      </c>
      <c r="F102" s="74">
        <v>250</v>
      </c>
      <c r="G102" s="45">
        <f t="shared" si="3"/>
        <v>5000</v>
      </c>
      <c r="H102" s="119" t="s">
        <v>37</v>
      </c>
      <c r="I102" s="128">
        <v>45251</v>
      </c>
      <c r="J102" s="74">
        <v>250</v>
      </c>
      <c r="K102" s="74">
        <v>4</v>
      </c>
      <c r="L102" s="156">
        <v>45248</v>
      </c>
      <c r="M102" s="45">
        <v>5000</v>
      </c>
      <c r="N102" s="45">
        <v>50</v>
      </c>
      <c r="O102" s="45" t="s">
        <v>857</v>
      </c>
      <c r="P102" s="74" t="s">
        <v>28</v>
      </c>
      <c r="Q102" s="74">
        <v>8500063530</v>
      </c>
      <c r="R102" s="74">
        <v>5001244092</v>
      </c>
      <c r="S102" s="74">
        <v>250</v>
      </c>
      <c r="T102" s="45" t="s">
        <v>655</v>
      </c>
      <c r="U102" s="45">
        <v>8500063529</v>
      </c>
      <c r="V102" s="45">
        <v>5001231673</v>
      </c>
      <c r="W102" s="127">
        <v>45269</v>
      </c>
      <c r="X102" s="152">
        <v>250</v>
      </c>
      <c r="Y102" s="152">
        <v>5000</v>
      </c>
      <c r="Z102" s="152" t="s">
        <v>800</v>
      </c>
      <c r="AA102" s="152">
        <f t="shared" si="4"/>
        <v>0</v>
      </c>
      <c r="AB102" s="152">
        <f t="shared" si="5"/>
        <v>0</v>
      </c>
      <c r="AC102" s="74"/>
      <c r="AD102" s="74"/>
      <c r="AE102" s="157"/>
      <c r="AF102" s="157"/>
      <c r="AG102" s="157"/>
      <c r="AH102" s="141"/>
    </row>
    <row r="103" spans="1:34" ht="18.75" customHeight="1">
      <c r="A103" s="120" t="s">
        <v>692</v>
      </c>
      <c r="B103" s="121">
        <v>6000026398</v>
      </c>
      <c r="C103" s="122" t="s">
        <v>1529</v>
      </c>
      <c r="D103" s="122" t="s">
        <v>1948</v>
      </c>
      <c r="E103" s="74">
        <v>20</v>
      </c>
      <c r="F103" s="74">
        <v>350</v>
      </c>
      <c r="G103" s="45">
        <f t="shared" si="3"/>
        <v>7000</v>
      </c>
      <c r="H103" s="119" t="s">
        <v>27</v>
      </c>
      <c r="I103" s="128">
        <v>45244</v>
      </c>
      <c r="J103" s="74">
        <v>350</v>
      </c>
      <c r="K103" s="74">
        <f>5+2</f>
        <v>7</v>
      </c>
      <c r="L103" s="156">
        <v>45238</v>
      </c>
      <c r="M103" s="45">
        <v>7000</v>
      </c>
      <c r="N103" s="45">
        <v>70</v>
      </c>
      <c r="O103" s="45" t="s">
        <v>1439</v>
      </c>
      <c r="P103" s="74" t="s">
        <v>160</v>
      </c>
      <c r="Q103" s="74">
        <v>8500063581</v>
      </c>
      <c r="R103" s="74">
        <v>5001215016</v>
      </c>
      <c r="S103" s="74">
        <v>350</v>
      </c>
      <c r="T103" s="45" t="s">
        <v>1558</v>
      </c>
      <c r="U103" s="45">
        <v>8500063580</v>
      </c>
      <c r="V103" s="45">
        <v>5001195661</v>
      </c>
      <c r="W103" s="127" t="s">
        <v>2336</v>
      </c>
      <c r="X103" s="152">
        <f>200+150</f>
        <v>350</v>
      </c>
      <c r="Y103" s="152">
        <f>4000+3000</f>
        <v>7000</v>
      </c>
      <c r="Z103" s="152" t="s">
        <v>2337</v>
      </c>
      <c r="AA103" s="152">
        <f t="shared" si="4"/>
        <v>0</v>
      </c>
      <c r="AB103" s="152">
        <f t="shared" si="5"/>
        <v>0</v>
      </c>
      <c r="AC103" s="74"/>
      <c r="AD103" s="74"/>
      <c r="AE103" s="157"/>
      <c r="AF103" s="157"/>
      <c r="AG103" s="157"/>
      <c r="AH103" s="141"/>
    </row>
    <row r="104" spans="1:34" ht="18.75" customHeight="1">
      <c r="A104" s="120"/>
      <c r="B104" s="121"/>
      <c r="C104" s="122"/>
      <c r="D104" s="122" t="s">
        <v>1949</v>
      </c>
      <c r="E104" s="74">
        <v>20</v>
      </c>
      <c r="F104" s="74">
        <v>640</v>
      </c>
      <c r="G104" s="45">
        <f t="shared" si="3"/>
        <v>12800</v>
      </c>
      <c r="H104" s="119" t="s">
        <v>46</v>
      </c>
      <c r="I104" s="128">
        <v>45244</v>
      </c>
      <c r="J104" s="74">
        <v>640</v>
      </c>
      <c r="K104" s="74">
        <f>8+2</f>
        <v>10</v>
      </c>
      <c r="L104" s="156">
        <v>45238</v>
      </c>
      <c r="M104" s="45">
        <v>12800</v>
      </c>
      <c r="N104" s="45">
        <v>128</v>
      </c>
      <c r="O104" s="45" t="s">
        <v>1439</v>
      </c>
      <c r="P104" s="74" t="s">
        <v>160</v>
      </c>
      <c r="Q104" s="74">
        <v>8500063579</v>
      </c>
      <c r="R104" s="74">
        <v>5001215018</v>
      </c>
      <c r="S104" s="74">
        <v>640</v>
      </c>
      <c r="T104" s="45" t="s">
        <v>1558</v>
      </c>
      <c r="U104" s="45">
        <v>8500063578</v>
      </c>
      <c r="V104" s="45">
        <v>5001195662</v>
      </c>
      <c r="W104" s="127" t="s">
        <v>2272</v>
      </c>
      <c r="X104" s="152">
        <f>200+140+300</f>
        <v>640</v>
      </c>
      <c r="Y104" s="152">
        <f>4000+2800+6000</f>
        <v>12800</v>
      </c>
      <c r="Z104" s="152" t="s">
        <v>2338</v>
      </c>
      <c r="AA104" s="152">
        <f t="shared" si="4"/>
        <v>0</v>
      </c>
      <c r="AB104" s="152">
        <f t="shared" si="5"/>
        <v>0</v>
      </c>
      <c r="AC104" s="74"/>
      <c r="AD104" s="74"/>
      <c r="AE104" s="157"/>
      <c r="AF104" s="157"/>
      <c r="AG104" s="157"/>
      <c r="AH104" s="141"/>
    </row>
    <row r="105" spans="1:34" ht="18.75" customHeight="1">
      <c r="A105" s="120"/>
      <c r="B105" s="121"/>
      <c r="C105" s="136"/>
      <c r="D105" s="122" t="s">
        <v>1947</v>
      </c>
      <c r="E105" s="74">
        <v>20</v>
      </c>
      <c r="F105" s="74">
        <v>400</v>
      </c>
      <c r="G105" s="45">
        <f t="shared" si="3"/>
        <v>8000</v>
      </c>
      <c r="H105" s="119" t="s">
        <v>37</v>
      </c>
      <c r="I105" s="128">
        <v>45244</v>
      </c>
      <c r="J105" s="74">
        <v>400</v>
      </c>
      <c r="K105" s="74">
        <f>5+2</f>
        <v>7</v>
      </c>
      <c r="L105" s="156">
        <v>45239</v>
      </c>
      <c r="M105" s="45">
        <v>8000</v>
      </c>
      <c r="N105" s="45">
        <v>80</v>
      </c>
      <c r="O105" s="45" t="s">
        <v>862</v>
      </c>
      <c r="P105" s="74" t="s">
        <v>160</v>
      </c>
      <c r="Q105" s="74">
        <v>8500063577</v>
      </c>
      <c r="R105" s="74">
        <v>5001215020</v>
      </c>
      <c r="S105" s="74">
        <v>400</v>
      </c>
      <c r="T105" s="45" t="s">
        <v>1558</v>
      </c>
      <c r="U105" s="45">
        <v>8500063576</v>
      </c>
      <c r="V105" s="45">
        <v>5001195665</v>
      </c>
      <c r="W105" s="127">
        <v>45271</v>
      </c>
      <c r="X105" s="152">
        <f>200+200</f>
        <v>400</v>
      </c>
      <c r="Y105" s="152">
        <f>4000+4000</f>
        <v>8000</v>
      </c>
      <c r="Z105" s="152" t="s">
        <v>2339</v>
      </c>
      <c r="AA105" s="152">
        <f t="shared" si="4"/>
        <v>0</v>
      </c>
      <c r="AB105" s="152">
        <f t="shared" si="5"/>
        <v>0</v>
      </c>
      <c r="AC105" s="74"/>
      <c r="AD105" s="74"/>
      <c r="AE105" s="157"/>
      <c r="AF105" s="157"/>
      <c r="AG105" s="157"/>
      <c r="AH105" s="141"/>
    </row>
    <row r="106" spans="1:34" ht="18.75" customHeight="1">
      <c r="A106" s="120"/>
      <c r="B106" s="121"/>
      <c r="C106" s="136"/>
      <c r="D106" s="122" t="s">
        <v>1950</v>
      </c>
      <c r="E106" s="74">
        <v>20</v>
      </c>
      <c r="F106" s="74">
        <v>150</v>
      </c>
      <c r="G106" s="45">
        <f t="shared" si="3"/>
        <v>3000</v>
      </c>
      <c r="H106" s="119" t="s">
        <v>146</v>
      </c>
      <c r="I106" s="128">
        <v>45244</v>
      </c>
      <c r="J106" s="74">
        <v>150</v>
      </c>
      <c r="K106" s="74">
        <f>3+1+9</f>
        <v>13</v>
      </c>
      <c r="L106" s="156">
        <v>45239</v>
      </c>
      <c r="M106" s="45">
        <v>3000</v>
      </c>
      <c r="N106" s="45">
        <v>30</v>
      </c>
      <c r="O106" s="45" t="s">
        <v>823</v>
      </c>
      <c r="P106" s="74" t="s">
        <v>160</v>
      </c>
      <c r="Q106" s="74">
        <v>8500063583</v>
      </c>
      <c r="R106" s="74">
        <v>5001215023</v>
      </c>
      <c r="S106" s="74">
        <v>150</v>
      </c>
      <c r="T106" s="45" t="s">
        <v>1558</v>
      </c>
      <c r="U106" s="45">
        <v>8500063582</v>
      </c>
      <c r="V106" s="45">
        <v>5001195666</v>
      </c>
      <c r="W106" s="127">
        <v>45271</v>
      </c>
      <c r="X106" s="152">
        <v>150</v>
      </c>
      <c r="Y106" s="152">
        <v>3000</v>
      </c>
      <c r="Z106" s="152" t="s">
        <v>2197</v>
      </c>
      <c r="AA106" s="152">
        <f t="shared" si="4"/>
        <v>0</v>
      </c>
      <c r="AB106" s="152">
        <f t="shared" si="5"/>
        <v>0</v>
      </c>
      <c r="AC106" s="74"/>
      <c r="AD106" s="74"/>
      <c r="AE106" s="157"/>
      <c r="AF106" s="157"/>
      <c r="AG106" s="157"/>
      <c r="AH106" s="141"/>
    </row>
    <row r="107" spans="1:34" ht="18.75" customHeight="1">
      <c r="A107" s="120" t="s">
        <v>692</v>
      </c>
      <c r="B107" s="121">
        <v>6000026705</v>
      </c>
      <c r="C107" s="122" t="s">
        <v>1399</v>
      </c>
      <c r="D107" s="122" t="s">
        <v>2034</v>
      </c>
      <c r="E107" s="74">
        <v>10</v>
      </c>
      <c r="F107" s="74">
        <v>800</v>
      </c>
      <c r="G107" s="45">
        <f t="shared" si="3"/>
        <v>8000</v>
      </c>
      <c r="H107" s="119" t="s">
        <v>27</v>
      </c>
      <c r="I107" s="128">
        <v>45248</v>
      </c>
      <c r="J107" s="74">
        <v>800</v>
      </c>
      <c r="K107" s="74">
        <f>16/4</f>
        <v>4</v>
      </c>
      <c r="L107" s="156">
        <v>45252</v>
      </c>
      <c r="M107" s="45">
        <v>8000</v>
      </c>
      <c r="N107" s="45">
        <v>80</v>
      </c>
      <c r="O107" s="45" t="s">
        <v>1662</v>
      </c>
      <c r="P107" s="74" t="s">
        <v>160</v>
      </c>
      <c r="Q107" s="74">
        <v>8500063979</v>
      </c>
      <c r="R107" s="74">
        <v>5001239596</v>
      </c>
      <c r="S107" s="74">
        <v>800</v>
      </c>
      <c r="T107" s="45" t="s">
        <v>1558</v>
      </c>
      <c r="U107" s="45">
        <v>8500063978</v>
      </c>
      <c r="V107" s="45">
        <v>5001248463</v>
      </c>
      <c r="W107" s="127" t="s">
        <v>2267</v>
      </c>
      <c r="X107" s="152">
        <f>300+200+300</f>
        <v>800</v>
      </c>
      <c r="Y107" s="152">
        <f>3000+2000+3000</f>
        <v>8000</v>
      </c>
      <c r="Z107" s="152" t="s">
        <v>2139</v>
      </c>
      <c r="AA107" s="152">
        <f>J107-X107</f>
        <v>0</v>
      </c>
      <c r="AB107" s="152">
        <f>M107-Y107</f>
        <v>0</v>
      </c>
      <c r="AC107" s="74"/>
      <c r="AD107" s="74"/>
      <c r="AE107" s="157"/>
      <c r="AF107" s="157"/>
      <c r="AG107" s="157"/>
      <c r="AH107" s="141"/>
    </row>
    <row r="108" spans="1:34" ht="18.75" customHeight="1">
      <c r="A108" s="120"/>
      <c r="B108" s="121"/>
      <c r="C108" s="122"/>
      <c r="D108" s="122" t="s">
        <v>2033</v>
      </c>
      <c r="E108" s="74">
        <v>10</v>
      </c>
      <c r="F108" s="74">
        <v>1272</v>
      </c>
      <c r="G108" s="45">
        <f t="shared" si="3"/>
        <v>12720</v>
      </c>
      <c r="H108" s="119" t="s">
        <v>46</v>
      </c>
      <c r="I108" s="128">
        <v>45248</v>
      </c>
      <c r="J108" s="74">
        <v>1272</v>
      </c>
      <c r="K108" s="74">
        <f>26+2</f>
        <v>28</v>
      </c>
      <c r="L108" s="156">
        <v>45252</v>
      </c>
      <c r="M108" s="45">
        <v>12720</v>
      </c>
      <c r="N108" s="45">
        <v>127</v>
      </c>
      <c r="O108" s="45" t="s">
        <v>1848</v>
      </c>
      <c r="P108" s="74" t="s">
        <v>160</v>
      </c>
      <c r="Q108" s="74">
        <v>8500063977</v>
      </c>
      <c r="R108" s="74">
        <v>5001239546</v>
      </c>
      <c r="S108" s="74">
        <v>1272</v>
      </c>
      <c r="T108" s="45" t="s">
        <v>1558</v>
      </c>
      <c r="U108" s="45">
        <v>8500063976</v>
      </c>
      <c r="V108" s="45">
        <v>5001248465</v>
      </c>
      <c r="W108" s="127" t="s">
        <v>2267</v>
      </c>
      <c r="X108" s="152">
        <f>300+200+772</f>
        <v>1272</v>
      </c>
      <c r="Y108" s="152">
        <f>3000+2000+7720</f>
        <v>12720</v>
      </c>
      <c r="Z108" s="152" t="s">
        <v>2139</v>
      </c>
      <c r="AA108" s="152">
        <f>J108-X108</f>
        <v>0</v>
      </c>
      <c r="AB108" s="152">
        <f>M108-Y108</f>
        <v>0</v>
      </c>
      <c r="AC108" s="74"/>
      <c r="AD108" s="74"/>
      <c r="AE108" s="157"/>
      <c r="AF108" s="157"/>
      <c r="AG108" s="157"/>
      <c r="AH108" s="141"/>
    </row>
    <row r="109" spans="1:34" ht="18.75" customHeight="1">
      <c r="A109" s="120"/>
      <c r="B109" s="121"/>
      <c r="C109" s="122"/>
      <c r="D109" s="122" t="s">
        <v>2032</v>
      </c>
      <c r="E109" s="74">
        <v>10</v>
      </c>
      <c r="F109" s="74">
        <v>700</v>
      </c>
      <c r="G109" s="45">
        <f t="shared" si="3"/>
        <v>7000</v>
      </c>
      <c r="H109" s="119" t="s">
        <v>37</v>
      </c>
      <c r="I109" s="128">
        <v>45248</v>
      </c>
      <c r="J109" s="74">
        <v>700</v>
      </c>
      <c r="K109" s="74">
        <f>8+6</f>
        <v>14</v>
      </c>
      <c r="L109" s="156">
        <v>45252</v>
      </c>
      <c r="M109" s="45">
        <v>7000</v>
      </c>
      <c r="N109" s="45">
        <v>70</v>
      </c>
      <c r="O109" s="45" t="s">
        <v>1547</v>
      </c>
      <c r="P109" s="74" t="s">
        <v>160</v>
      </c>
      <c r="Q109" s="74">
        <v>8500063975</v>
      </c>
      <c r="R109" s="74">
        <v>5001239549</v>
      </c>
      <c r="S109" s="74">
        <v>700</v>
      </c>
      <c r="T109" s="45" t="s">
        <v>1558</v>
      </c>
      <c r="U109" s="45">
        <v>8500063974</v>
      </c>
      <c r="V109" s="45">
        <v>5001248466</v>
      </c>
      <c r="W109" s="127">
        <v>45266</v>
      </c>
      <c r="X109" s="152">
        <v>700</v>
      </c>
      <c r="Y109" s="152">
        <v>7000</v>
      </c>
      <c r="Z109" s="152" t="s">
        <v>800</v>
      </c>
      <c r="AA109" s="152">
        <f>J109-X109</f>
        <v>0</v>
      </c>
      <c r="AB109" s="152">
        <f>M109-Y109</f>
        <v>0</v>
      </c>
      <c r="AC109" s="74"/>
      <c r="AD109" s="74"/>
      <c r="AE109" s="157"/>
      <c r="AF109" s="157"/>
      <c r="AG109" s="157"/>
      <c r="AH109" s="141"/>
    </row>
    <row r="110" spans="1:34" ht="18.75" customHeight="1">
      <c r="A110" s="200" t="s">
        <v>804</v>
      </c>
      <c r="B110" s="195">
        <v>6000026293</v>
      </c>
      <c r="C110" s="203" t="s">
        <v>807</v>
      </c>
      <c r="D110" s="203">
        <v>6000026293</v>
      </c>
      <c r="E110" s="94"/>
      <c r="F110" s="94"/>
      <c r="G110" s="94"/>
      <c r="H110" s="119"/>
      <c r="I110" s="128"/>
      <c r="J110" s="158"/>
      <c r="K110" s="74"/>
      <c r="L110" s="156"/>
      <c r="M110" s="45"/>
      <c r="N110" s="45"/>
      <c r="O110" s="45"/>
      <c r="P110" s="74"/>
      <c r="Q110" s="74">
        <v>8500063473</v>
      </c>
      <c r="R110" s="74">
        <v>5001244002</v>
      </c>
      <c r="S110" s="74"/>
      <c r="T110" s="45"/>
      <c r="U110" s="45">
        <v>8500063464</v>
      </c>
      <c r="V110" s="45">
        <v>5001243890</v>
      </c>
      <c r="W110" s="127"/>
      <c r="X110" s="152"/>
      <c r="Y110" s="152"/>
      <c r="Z110" s="152"/>
      <c r="AA110" s="152">
        <f t="shared" si="4"/>
        <v>0</v>
      </c>
      <c r="AB110" s="152">
        <f t="shared" si="5"/>
        <v>0</v>
      </c>
      <c r="AC110" s="74" t="s">
        <v>2154</v>
      </c>
      <c r="AD110" s="74"/>
      <c r="AE110" s="157"/>
      <c r="AF110" s="157"/>
      <c r="AG110" s="157"/>
      <c r="AH110" s="141"/>
    </row>
    <row r="111" spans="1:34" ht="18.75" customHeight="1">
      <c r="A111" s="200" t="s">
        <v>804</v>
      </c>
      <c r="B111" s="195">
        <v>6000026293</v>
      </c>
      <c r="C111" s="203" t="s">
        <v>1962</v>
      </c>
      <c r="D111" s="203">
        <v>6000026293</v>
      </c>
      <c r="E111" s="74">
        <v>10</v>
      </c>
      <c r="F111" s="74">
        <v>550</v>
      </c>
      <c r="G111" s="45">
        <f t="shared" si="3"/>
        <v>5500</v>
      </c>
      <c r="H111" s="119" t="s">
        <v>37</v>
      </c>
      <c r="I111" s="128" t="s">
        <v>2126</v>
      </c>
      <c r="J111" s="158">
        <v>550</v>
      </c>
      <c r="K111" s="74">
        <v>7</v>
      </c>
      <c r="L111" s="156">
        <v>45272</v>
      </c>
      <c r="M111" s="45">
        <v>5500</v>
      </c>
      <c r="N111" s="45">
        <v>55</v>
      </c>
      <c r="O111" s="45"/>
      <c r="P111" s="74" t="s">
        <v>1643</v>
      </c>
      <c r="Q111" s="74">
        <v>8500063475</v>
      </c>
      <c r="R111" s="74">
        <v>5001244004</v>
      </c>
      <c r="S111" s="74"/>
      <c r="T111" s="45" t="s">
        <v>1666</v>
      </c>
      <c r="U111" s="45">
        <v>8500063474</v>
      </c>
      <c r="V111" s="45">
        <v>5001243666</v>
      </c>
      <c r="W111" s="127" t="s">
        <v>2430</v>
      </c>
      <c r="X111" s="152">
        <f>340+210</f>
        <v>550</v>
      </c>
      <c r="Y111" s="152">
        <f>3400+2100</f>
        <v>5500</v>
      </c>
      <c r="Z111" s="152" t="s">
        <v>2431</v>
      </c>
      <c r="AA111" s="152">
        <f t="shared" si="4"/>
        <v>0</v>
      </c>
      <c r="AB111" s="152">
        <f t="shared" si="5"/>
        <v>0</v>
      </c>
      <c r="AC111" s="74"/>
      <c r="AD111" s="74"/>
      <c r="AE111" s="157"/>
      <c r="AF111" s="157"/>
      <c r="AG111" s="157"/>
      <c r="AH111" s="141"/>
    </row>
    <row r="112" spans="1:34" ht="18.75" customHeight="1">
      <c r="A112" s="200"/>
      <c r="B112" s="195"/>
      <c r="C112" s="196"/>
      <c r="D112" s="199"/>
      <c r="E112" s="74">
        <v>10</v>
      </c>
      <c r="F112" s="74">
        <v>100</v>
      </c>
      <c r="G112" s="45">
        <f t="shared" si="3"/>
        <v>1000</v>
      </c>
      <c r="H112" s="119" t="s">
        <v>146</v>
      </c>
      <c r="I112" s="128"/>
      <c r="J112" s="158"/>
      <c r="K112" s="74"/>
      <c r="L112" s="156">
        <v>45240</v>
      </c>
      <c r="M112" s="45">
        <v>1000</v>
      </c>
      <c r="N112" s="45">
        <v>10</v>
      </c>
      <c r="O112" s="45" t="s">
        <v>1390</v>
      </c>
      <c r="P112" s="74"/>
      <c r="Q112" s="74">
        <v>8500063475</v>
      </c>
      <c r="R112" s="74">
        <v>5001244004</v>
      </c>
      <c r="S112" s="74"/>
      <c r="T112" s="45" t="s">
        <v>87</v>
      </c>
      <c r="U112" s="45">
        <v>8500063474</v>
      </c>
      <c r="V112" s="45">
        <v>5001202673</v>
      </c>
      <c r="W112" s="127">
        <v>45246</v>
      </c>
      <c r="X112" s="152"/>
      <c r="Y112" s="152">
        <v>1000</v>
      </c>
      <c r="Z112" s="152" t="s">
        <v>1980</v>
      </c>
      <c r="AA112" s="152">
        <f t="shared" si="4"/>
        <v>0</v>
      </c>
      <c r="AB112" s="152">
        <f t="shared" si="5"/>
        <v>0</v>
      </c>
      <c r="AC112" s="74"/>
      <c r="AD112" s="74"/>
      <c r="AE112" s="157"/>
      <c r="AF112" s="157"/>
      <c r="AG112" s="157"/>
      <c r="AH112" s="141"/>
    </row>
    <row r="113" spans="1:34" ht="18.75" customHeight="1">
      <c r="A113" s="120" t="s">
        <v>573</v>
      </c>
      <c r="B113" s="121">
        <v>6000026581</v>
      </c>
      <c r="C113" s="122" t="s">
        <v>574</v>
      </c>
      <c r="D113" s="122">
        <v>6000026581</v>
      </c>
      <c r="E113" s="74">
        <v>10</v>
      </c>
      <c r="F113" s="74">
        <v>350</v>
      </c>
      <c r="G113" s="45">
        <f t="shared" si="3"/>
        <v>3500</v>
      </c>
      <c r="H113" s="119" t="s">
        <v>27</v>
      </c>
      <c r="I113" s="128">
        <v>45248</v>
      </c>
      <c r="J113" s="158">
        <v>350</v>
      </c>
      <c r="K113" s="74">
        <f>4+2</f>
        <v>6</v>
      </c>
      <c r="L113" s="156">
        <v>45257</v>
      </c>
      <c r="M113" s="45">
        <v>3500</v>
      </c>
      <c r="N113" s="45">
        <v>35</v>
      </c>
      <c r="O113" s="45" t="s">
        <v>2109</v>
      </c>
      <c r="P113" s="80" t="s">
        <v>160</v>
      </c>
      <c r="Q113" s="74">
        <v>8500063927</v>
      </c>
      <c r="R113" s="74">
        <v>5001239561</v>
      </c>
      <c r="S113" s="158">
        <v>350</v>
      </c>
      <c r="T113" s="45" t="s">
        <v>1558</v>
      </c>
      <c r="U113" s="45">
        <v>8500063926</v>
      </c>
      <c r="V113" s="45">
        <v>5001270873</v>
      </c>
      <c r="W113" s="127">
        <v>45278</v>
      </c>
      <c r="X113" s="152">
        <f>350</f>
        <v>350</v>
      </c>
      <c r="Y113" s="152">
        <v>3500</v>
      </c>
      <c r="Z113" s="152" t="s">
        <v>2238</v>
      </c>
      <c r="AA113" s="152">
        <f t="shared" si="4"/>
        <v>0</v>
      </c>
      <c r="AB113" s="152">
        <f t="shared" si="5"/>
        <v>0</v>
      </c>
      <c r="AC113" s="74"/>
      <c r="AD113" s="74"/>
      <c r="AE113" s="157"/>
      <c r="AF113" s="157"/>
      <c r="AG113" s="157"/>
      <c r="AH113" s="141"/>
    </row>
    <row r="114" spans="1:34" ht="18.75" customHeight="1">
      <c r="A114" s="120"/>
      <c r="B114" s="121"/>
      <c r="C114" s="136"/>
      <c r="D114" s="80"/>
      <c r="E114" s="74">
        <v>10</v>
      </c>
      <c r="F114" s="74">
        <v>1200</v>
      </c>
      <c r="G114" s="45">
        <f t="shared" si="3"/>
        <v>12000</v>
      </c>
      <c r="H114" s="119" t="s">
        <v>46</v>
      </c>
      <c r="I114" s="128">
        <v>45248</v>
      </c>
      <c r="J114" s="158">
        <v>1200</v>
      </c>
      <c r="K114" s="74">
        <f>13+3</f>
        <v>16</v>
      </c>
      <c r="L114" s="156">
        <v>45257</v>
      </c>
      <c r="M114" s="45">
        <v>12000</v>
      </c>
      <c r="N114" s="45">
        <v>120</v>
      </c>
      <c r="O114" s="45" t="s">
        <v>1754</v>
      </c>
      <c r="P114" s="80" t="s">
        <v>160</v>
      </c>
      <c r="Q114" s="74">
        <v>8500063927</v>
      </c>
      <c r="R114" s="74">
        <v>5001239567</v>
      </c>
      <c r="S114" s="158">
        <v>1200</v>
      </c>
      <c r="T114" s="45" t="s">
        <v>1558</v>
      </c>
      <c r="U114" s="45">
        <v>8500063926</v>
      </c>
      <c r="V114" s="45">
        <v>5001270873</v>
      </c>
      <c r="W114" s="127" t="s">
        <v>2283</v>
      </c>
      <c r="X114" s="152">
        <f>500+700</f>
        <v>1200</v>
      </c>
      <c r="Y114" s="152">
        <f>5000+7000</f>
        <v>12000</v>
      </c>
      <c r="Z114" s="152" t="s">
        <v>2284</v>
      </c>
      <c r="AA114" s="152">
        <f t="shared" si="4"/>
        <v>0</v>
      </c>
      <c r="AB114" s="152">
        <f t="shared" si="5"/>
        <v>0</v>
      </c>
      <c r="AC114" s="74"/>
      <c r="AD114" s="74"/>
      <c r="AE114" s="157"/>
      <c r="AF114" s="157"/>
      <c r="AG114" s="157"/>
      <c r="AH114" s="141"/>
    </row>
    <row r="115" spans="1:34" ht="18.75" customHeight="1">
      <c r="A115" s="120"/>
      <c r="B115" s="121"/>
      <c r="C115" s="74"/>
      <c r="D115" s="84"/>
      <c r="E115" s="74">
        <v>10</v>
      </c>
      <c r="F115" s="74">
        <v>1900</v>
      </c>
      <c r="G115" s="45">
        <f t="shared" si="3"/>
        <v>19000</v>
      </c>
      <c r="H115" s="119" t="s">
        <v>37</v>
      </c>
      <c r="I115" s="128">
        <v>45248</v>
      </c>
      <c r="J115" s="158">
        <v>1900</v>
      </c>
      <c r="K115" s="74">
        <v>20</v>
      </c>
      <c r="L115" s="156">
        <v>45257</v>
      </c>
      <c r="M115" s="45">
        <v>19000</v>
      </c>
      <c r="N115" s="45">
        <v>190</v>
      </c>
      <c r="O115" s="45" t="s">
        <v>1754</v>
      </c>
      <c r="P115" s="80" t="s">
        <v>160</v>
      </c>
      <c r="Q115" s="74">
        <v>8500063927</v>
      </c>
      <c r="R115" s="74">
        <v>5001239561</v>
      </c>
      <c r="S115" s="158">
        <v>1900</v>
      </c>
      <c r="T115" s="45" t="s">
        <v>1558</v>
      </c>
      <c r="U115" s="45">
        <v>8500063926</v>
      </c>
      <c r="V115" s="45">
        <v>5001270873</v>
      </c>
      <c r="W115" s="127">
        <v>45281</v>
      </c>
      <c r="X115" s="152">
        <v>1900</v>
      </c>
      <c r="Y115" s="152">
        <v>19000</v>
      </c>
      <c r="Z115" s="152" t="s">
        <v>2238</v>
      </c>
      <c r="AA115" s="152">
        <f t="shared" si="4"/>
        <v>0</v>
      </c>
      <c r="AB115" s="152">
        <f t="shared" si="5"/>
        <v>0</v>
      </c>
      <c r="AC115" s="74"/>
      <c r="AD115" s="74"/>
      <c r="AE115" s="157"/>
      <c r="AF115" s="157"/>
      <c r="AG115" s="157"/>
      <c r="AH115" s="141"/>
    </row>
    <row r="116" spans="1:34" ht="18.75" customHeight="1">
      <c r="A116" s="120"/>
      <c r="B116" s="121"/>
      <c r="C116" s="74"/>
      <c r="D116" s="84"/>
      <c r="E116" s="74">
        <v>10</v>
      </c>
      <c r="F116" s="74">
        <v>800</v>
      </c>
      <c r="G116" s="45">
        <f t="shared" si="3"/>
        <v>8000</v>
      </c>
      <c r="H116" s="119" t="s">
        <v>146</v>
      </c>
      <c r="I116" s="128">
        <v>45248</v>
      </c>
      <c r="J116" s="158">
        <v>800</v>
      </c>
      <c r="K116" s="74">
        <f>9+4</f>
        <v>13</v>
      </c>
      <c r="L116" s="156">
        <v>45257</v>
      </c>
      <c r="M116" s="45">
        <v>8000</v>
      </c>
      <c r="N116" s="45">
        <v>80</v>
      </c>
      <c r="O116" s="45" t="s">
        <v>874</v>
      </c>
      <c r="P116" s="80" t="s">
        <v>160</v>
      </c>
      <c r="Q116" s="74">
        <v>8500063927</v>
      </c>
      <c r="R116" s="74">
        <v>5001239561</v>
      </c>
      <c r="S116" s="158">
        <v>800</v>
      </c>
      <c r="T116" s="45" t="s">
        <v>1558</v>
      </c>
      <c r="U116" s="45">
        <v>8500063926</v>
      </c>
      <c r="V116" s="45">
        <v>5001270873</v>
      </c>
      <c r="W116" s="127">
        <v>45281</v>
      </c>
      <c r="X116" s="152">
        <f>383+417</f>
        <v>800</v>
      </c>
      <c r="Y116" s="152">
        <f>3830+4170</f>
        <v>8000</v>
      </c>
      <c r="Z116" s="152" t="s">
        <v>2273</v>
      </c>
      <c r="AA116" s="152">
        <f t="shared" si="4"/>
        <v>0</v>
      </c>
      <c r="AB116" s="152">
        <f t="shared" si="5"/>
        <v>0</v>
      </c>
      <c r="AC116" s="111"/>
      <c r="AD116" s="74"/>
      <c r="AE116" s="157"/>
      <c r="AF116" s="157"/>
      <c r="AG116" s="157"/>
      <c r="AH116" s="141"/>
    </row>
    <row r="117" spans="1:34" ht="18.75" customHeight="1">
      <c r="A117" s="120" t="s">
        <v>573</v>
      </c>
      <c r="B117" s="121">
        <v>6000026581</v>
      </c>
      <c r="C117" s="2" t="s">
        <v>1963</v>
      </c>
      <c r="D117" s="122">
        <v>6000026581</v>
      </c>
      <c r="E117" s="74">
        <v>10</v>
      </c>
      <c r="F117" s="74">
        <v>100</v>
      </c>
      <c r="G117" s="45">
        <f t="shared" si="3"/>
        <v>1000</v>
      </c>
      <c r="H117" s="119" t="s">
        <v>27</v>
      </c>
      <c r="I117" s="128">
        <v>45248</v>
      </c>
      <c r="J117" s="158">
        <v>100</v>
      </c>
      <c r="K117" s="74">
        <f>2+3</f>
        <v>5</v>
      </c>
      <c r="L117" s="156">
        <v>45257</v>
      </c>
      <c r="M117" s="45">
        <v>1000</v>
      </c>
      <c r="N117" s="45">
        <v>10</v>
      </c>
      <c r="O117" s="45" t="s">
        <v>2110</v>
      </c>
      <c r="P117" s="80" t="s">
        <v>160</v>
      </c>
      <c r="Q117" s="74">
        <v>8500063929</v>
      </c>
      <c r="R117" s="74">
        <v>5001239571</v>
      </c>
      <c r="S117" s="158">
        <v>100</v>
      </c>
      <c r="T117" s="45" t="s">
        <v>1558</v>
      </c>
      <c r="U117" s="45">
        <v>8500063928</v>
      </c>
      <c r="V117" s="45">
        <v>5001270875</v>
      </c>
      <c r="W117" s="127">
        <v>45282</v>
      </c>
      <c r="X117" s="152">
        <v>100</v>
      </c>
      <c r="Y117" s="152">
        <v>1000</v>
      </c>
      <c r="Z117" s="152" t="s">
        <v>1502</v>
      </c>
      <c r="AA117" s="152">
        <f t="shared" si="4"/>
        <v>0</v>
      </c>
      <c r="AB117" s="152">
        <f t="shared" si="5"/>
        <v>0</v>
      </c>
      <c r="AC117" s="111"/>
      <c r="AD117" s="74"/>
      <c r="AE117" s="157"/>
      <c r="AF117" s="157"/>
      <c r="AG117" s="157"/>
      <c r="AH117" s="141"/>
    </row>
    <row r="118" spans="1:34" ht="24.75" customHeight="1">
      <c r="A118" s="120" t="s">
        <v>1610</v>
      </c>
      <c r="B118" s="121">
        <v>6000026674</v>
      </c>
      <c r="C118" s="2" t="s">
        <v>1752</v>
      </c>
      <c r="D118" s="122" t="s">
        <v>1964</v>
      </c>
      <c r="E118" s="74">
        <v>4</v>
      </c>
      <c r="F118" s="74">
        <v>5100</v>
      </c>
      <c r="G118" s="45">
        <f t="shared" si="3"/>
        <v>20400</v>
      </c>
      <c r="H118" s="119" t="s">
        <v>37</v>
      </c>
      <c r="I118" s="128">
        <v>45247</v>
      </c>
      <c r="J118" s="158">
        <f>2340+2760</f>
        <v>5100</v>
      </c>
      <c r="K118" s="74">
        <v>51</v>
      </c>
      <c r="L118" s="156">
        <v>45244</v>
      </c>
      <c r="M118" s="45">
        <v>20400</v>
      </c>
      <c r="N118" s="45">
        <v>102</v>
      </c>
      <c r="O118" s="45"/>
      <c r="P118" s="80" t="s">
        <v>160</v>
      </c>
      <c r="Q118" s="74">
        <v>8500063951</v>
      </c>
      <c r="R118" s="74">
        <v>5001227897</v>
      </c>
      <c r="S118" s="158">
        <f>2340+2760</f>
        <v>5100</v>
      </c>
      <c r="T118" s="45" t="s">
        <v>152</v>
      </c>
      <c r="U118" s="45">
        <v>8500063946</v>
      </c>
      <c r="V118" s="45">
        <v>5001218807</v>
      </c>
      <c r="W118" s="127" t="s">
        <v>2144</v>
      </c>
      <c r="X118" s="152">
        <f>870+1090+3140</f>
        <v>5100</v>
      </c>
      <c r="Y118" s="152">
        <f>3480+4360+12560</f>
        <v>20400</v>
      </c>
      <c r="Z118" s="152" t="s">
        <v>2140</v>
      </c>
      <c r="AA118" s="152">
        <f t="shared" si="4"/>
        <v>0</v>
      </c>
      <c r="AB118" s="152">
        <f t="shared" si="5"/>
        <v>0</v>
      </c>
      <c r="AC118" s="111"/>
      <c r="AD118" s="74"/>
      <c r="AE118" s="157"/>
      <c r="AF118" s="157"/>
      <c r="AG118" s="157"/>
      <c r="AH118" s="141"/>
    </row>
    <row r="119" spans="1:34" ht="48" customHeight="1">
      <c r="A119" s="120" t="s">
        <v>1610</v>
      </c>
      <c r="B119" s="121">
        <v>6000026676</v>
      </c>
      <c r="C119" s="2" t="s">
        <v>1752</v>
      </c>
      <c r="D119" s="122" t="s">
        <v>1971</v>
      </c>
      <c r="E119" s="74">
        <v>4</v>
      </c>
      <c r="F119" s="74">
        <v>4900</v>
      </c>
      <c r="G119" s="45">
        <f>F119*E119</f>
        <v>19600</v>
      </c>
      <c r="H119" s="119" t="s">
        <v>146</v>
      </c>
      <c r="I119" s="128" t="s">
        <v>2020</v>
      </c>
      <c r="J119" s="158">
        <f>1871+3029</f>
        <v>4900</v>
      </c>
      <c r="K119" s="74">
        <v>49</v>
      </c>
      <c r="L119" s="156">
        <v>45245</v>
      </c>
      <c r="M119" s="45">
        <v>19600</v>
      </c>
      <c r="N119" s="45">
        <v>98</v>
      </c>
      <c r="O119" s="45"/>
      <c r="P119" s="80" t="s">
        <v>160</v>
      </c>
      <c r="Q119" s="74">
        <v>8500063961</v>
      </c>
      <c r="R119" s="74">
        <v>5001220470</v>
      </c>
      <c r="S119" s="158">
        <f>1871+3029</f>
        <v>4900</v>
      </c>
      <c r="T119" s="45" t="s">
        <v>152</v>
      </c>
      <c r="U119" s="45">
        <v>8500063960</v>
      </c>
      <c r="V119" s="45">
        <v>5001220313</v>
      </c>
      <c r="W119" s="127" t="s">
        <v>2176</v>
      </c>
      <c r="X119" s="152">
        <f>3000+1900</f>
        <v>4900</v>
      </c>
      <c r="Y119" s="152">
        <f>12000+7600</f>
        <v>19600</v>
      </c>
      <c r="Z119" s="152" t="s">
        <v>759</v>
      </c>
      <c r="AA119" s="152">
        <f t="shared" si="4"/>
        <v>0</v>
      </c>
      <c r="AB119" s="152">
        <f t="shared" si="5"/>
        <v>0</v>
      </c>
      <c r="AC119" s="111" t="s">
        <v>2269</v>
      </c>
      <c r="AD119" s="74"/>
      <c r="AE119" s="157"/>
      <c r="AF119" s="157"/>
      <c r="AG119" s="157"/>
      <c r="AH119" s="141"/>
    </row>
    <row r="120" spans="1:34" ht="28.5" customHeight="1">
      <c r="A120" s="120" t="s">
        <v>1610</v>
      </c>
      <c r="B120" s="121">
        <v>6000026677</v>
      </c>
      <c r="C120" s="2" t="s">
        <v>1752</v>
      </c>
      <c r="D120" s="122" t="s">
        <v>1972</v>
      </c>
      <c r="E120" s="74">
        <v>4</v>
      </c>
      <c r="F120" s="74">
        <v>4900</v>
      </c>
      <c r="G120" s="45">
        <f t="shared" ref="G120:G186" si="6">F120*E120</f>
        <v>19600</v>
      </c>
      <c r="H120" s="119" t="s">
        <v>146</v>
      </c>
      <c r="I120" s="128" t="s">
        <v>2076</v>
      </c>
      <c r="J120" s="158">
        <f>4577+320+3</f>
        <v>4900</v>
      </c>
      <c r="K120" s="74">
        <f>49+18</f>
        <v>67</v>
      </c>
      <c r="L120" s="156">
        <v>45247</v>
      </c>
      <c r="M120" s="45">
        <v>19600</v>
      </c>
      <c r="N120" s="45">
        <v>98</v>
      </c>
      <c r="O120" s="45" t="s">
        <v>1743</v>
      </c>
      <c r="P120" s="80" t="s">
        <v>160</v>
      </c>
      <c r="Q120" s="74">
        <v>8500063964</v>
      </c>
      <c r="R120" s="74">
        <v>5001220432</v>
      </c>
      <c r="S120" s="158">
        <f>4577+320+3</f>
        <v>4900</v>
      </c>
      <c r="T120" s="45" t="s">
        <v>152</v>
      </c>
      <c r="U120" s="45">
        <v>8500063962</v>
      </c>
      <c r="V120" s="45">
        <v>5001227879</v>
      </c>
      <c r="W120" s="127" t="s">
        <v>2202</v>
      </c>
      <c r="X120" s="152">
        <f>3000+1900</f>
        <v>4900</v>
      </c>
      <c r="Y120" s="152">
        <f>12000+7600</f>
        <v>19600</v>
      </c>
      <c r="Z120" s="152" t="s">
        <v>759</v>
      </c>
      <c r="AA120" s="152">
        <f t="shared" si="4"/>
        <v>0</v>
      </c>
      <c r="AB120" s="152">
        <f t="shared" si="5"/>
        <v>0</v>
      </c>
      <c r="AC120" s="74"/>
      <c r="AD120" s="74"/>
      <c r="AE120" s="157"/>
      <c r="AF120" s="157"/>
      <c r="AG120" s="157"/>
      <c r="AH120" s="141"/>
    </row>
    <row r="121" spans="1:34" ht="48" customHeight="1">
      <c r="A121" s="120" t="s">
        <v>1610</v>
      </c>
      <c r="B121" s="121">
        <v>6000026678</v>
      </c>
      <c r="C121" s="2" t="s">
        <v>1752</v>
      </c>
      <c r="D121" s="122" t="s">
        <v>1973</v>
      </c>
      <c r="E121" s="74">
        <v>4</v>
      </c>
      <c r="F121" s="74">
        <v>5100</v>
      </c>
      <c r="G121" s="45">
        <f t="shared" si="6"/>
        <v>20400</v>
      </c>
      <c r="H121" s="119" t="s">
        <v>46</v>
      </c>
      <c r="I121" s="128" t="s">
        <v>2020</v>
      </c>
      <c r="J121" s="158">
        <f>4894+206</f>
        <v>5100</v>
      </c>
      <c r="K121" s="74">
        <f>51+14</f>
        <v>65</v>
      </c>
      <c r="L121" s="156">
        <v>45246</v>
      </c>
      <c r="M121" s="45">
        <v>20400</v>
      </c>
      <c r="N121" s="45">
        <v>102</v>
      </c>
      <c r="O121" s="45" t="s">
        <v>1743</v>
      </c>
      <c r="P121" s="80" t="s">
        <v>160</v>
      </c>
      <c r="Q121" s="74">
        <v>8500063969</v>
      </c>
      <c r="R121" s="74">
        <v>5001220436</v>
      </c>
      <c r="S121" s="158">
        <f>4894+206</f>
        <v>5100</v>
      </c>
      <c r="T121" s="45" t="s">
        <v>152</v>
      </c>
      <c r="U121" s="45">
        <v>8500063968</v>
      </c>
      <c r="V121" s="45">
        <v>5001224375</v>
      </c>
      <c r="W121" s="127" t="s">
        <v>2143</v>
      </c>
      <c r="X121" s="152">
        <f>1000+1520+400 +2180</f>
        <v>5100</v>
      </c>
      <c r="Y121" s="152">
        <f>4000+6080+1600+8720</f>
        <v>20400</v>
      </c>
      <c r="Z121" s="152" t="s">
        <v>2142</v>
      </c>
      <c r="AA121" s="152">
        <f t="shared" si="4"/>
        <v>0</v>
      </c>
      <c r="AB121" s="152">
        <f t="shared" si="5"/>
        <v>0</v>
      </c>
      <c r="AC121" s="74"/>
      <c r="AD121" s="74"/>
      <c r="AE121" s="157"/>
      <c r="AF121" s="157"/>
      <c r="AG121" s="157"/>
      <c r="AH121" s="141"/>
    </row>
    <row r="122" spans="1:34" ht="27.75" customHeight="1">
      <c r="A122" s="120" t="s">
        <v>1610</v>
      </c>
      <c r="B122" s="121">
        <v>6000026679</v>
      </c>
      <c r="C122" s="2" t="s">
        <v>1752</v>
      </c>
      <c r="D122" s="122" t="s">
        <v>1974</v>
      </c>
      <c r="E122" s="74">
        <v>4</v>
      </c>
      <c r="F122" s="74">
        <v>4900</v>
      </c>
      <c r="G122" s="45">
        <f t="shared" si="6"/>
        <v>19600</v>
      </c>
      <c r="H122" s="119" t="s">
        <v>146</v>
      </c>
      <c r="I122" s="128" t="s">
        <v>2020</v>
      </c>
      <c r="J122" s="158">
        <f>3191+1709</f>
        <v>4900</v>
      </c>
      <c r="K122" s="74">
        <v>49</v>
      </c>
      <c r="L122" s="156">
        <v>45246</v>
      </c>
      <c r="M122" s="45">
        <v>19600</v>
      </c>
      <c r="N122" s="45">
        <v>98</v>
      </c>
      <c r="O122" s="45" t="s">
        <v>1784</v>
      </c>
      <c r="P122" s="80" t="s">
        <v>160</v>
      </c>
      <c r="Q122" s="74">
        <v>8500063971</v>
      </c>
      <c r="R122" s="74">
        <v>5001220430</v>
      </c>
      <c r="S122" s="158">
        <f>3191+1709</f>
        <v>4900</v>
      </c>
      <c r="T122" s="45" t="s">
        <v>152</v>
      </c>
      <c r="U122" s="45">
        <v>8500063970</v>
      </c>
      <c r="V122" s="45">
        <v>5001224370</v>
      </c>
      <c r="W122" s="127">
        <v>45275</v>
      </c>
      <c r="X122" s="152">
        <v>4900</v>
      </c>
      <c r="Y122" s="152">
        <v>19600</v>
      </c>
      <c r="Z122" s="152" t="s">
        <v>759</v>
      </c>
      <c r="AA122" s="152">
        <f t="shared" si="4"/>
        <v>0</v>
      </c>
      <c r="AB122" s="152">
        <f t="shared" si="5"/>
        <v>0</v>
      </c>
      <c r="AC122" s="74"/>
      <c r="AD122" s="74"/>
      <c r="AE122" s="157"/>
      <c r="AF122" s="157"/>
      <c r="AG122" s="157"/>
      <c r="AH122" s="141"/>
    </row>
    <row r="123" spans="1:34" ht="18.75" customHeight="1">
      <c r="A123" s="120" t="s">
        <v>1610</v>
      </c>
      <c r="B123" s="121">
        <v>6000026680</v>
      </c>
      <c r="C123" s="2" t="s">
        <v>1752</v>
      </c>
      <c r="D123" s="122" t="s">
        <v>1975</v>
      </c>
      <c r="E123" s="74">
        <v>4</v>
      </c>
      <c r="F123" s="74">
        <v>5100</v>
      </c>
      <c r="G123" s="45">
        <f t="shared" si="6"/>
        <v>20400</v>
      </c>
      <c r="H123" s="119" t="s">
        <v>46</v>
      </c>
      <c r="I123" s="128">
        <v>45244</v>
      </c>
      <c r="J123" s="158">
        <f>2649+2451</f>
        <v>5100</v>
      </c>
      <c r="K123" s="74">
        <f>51+9</f>
        <v>60</v>
      </c>
      <c r="L123" s="156">
        <v>45246</v>
      </c>
      <c r="M123" s="45">
        <v>20400</v>
      </c>
      <c r="N123" s="45">
        <v>102</v>
      </c>
      <c r="O123" s="45" t="s">
        <v>2015</v>
      </c>
      <c r="P123" s="80" t="s">
        <v>160</v>
      </c>
      <c r="Q123" s="74">
        <v>8500063952</v>
      </c>
      <c r="R123" s="74">
        <v>5001216175</v>
      </c>
      <c r="S123" s="158">
        <f>2649+2451</f>
        <v>5100</v>
      </c>
      <c r="T123" s="45" t="s">
        <v>152</v>
      </c>
      <c r="U123" s="45">
        <v>8500063948</v>
      </c>
      <c r="V123" s="45">
        <v>5001224366</v>
      </c>
      <c r="W123" s="127" t="s">
        <v>2215</v>
      </c>
      <c r="X123" s="152">
        <f>1500+1500+2100</f>
        <v>5100</v>
      </c>
      <c r="Y123" s="152">
        <f>6000+6000+8400</f>
        <v>20400</v>
      </c>
      <c r="Z123" s="152" t="s">
        <v>2192</v>
      </c>
      <c r="AA123" s="152">
        <f t="shared" si="4"/>
        <v>0</v>
      </c>
      <c r="AB123" s="152">
        <f t="shared" si="5"/>
        <v>0</v>
      </c>
      <c r="AC123" s="74"/>
      <c r="AD123" s="74"/>
      <c r="AE123" s="157"/>
      <c r="AF123" s="157"/>
      <c r="AG123" s="157"/>
      <c r="AH123" s="141"/>
    </row>
    <row r="124" spans="1:34" ht="36.75" customHeight="1">
      <c r="A124" s="120" t="s">
        <v>1610</v>
      </c>
      <c r="B124" s="121">
        <v>6000026681</v>
      </c>
      <c r="C124" s="2" t="s">
        <v>1752</v>
      </c>
      <c r="D124" s="122" t="s">
        <v>1976</v>
      </c>
      <c r="E124" s="74">
        <v>4</v>
      </c>
      <c r="F124" s="74">
        <v>1500</v>
      </c>
      <c r="G124" s="45">
        <f t="shared" si="6"/>
        <v>6000</v>
      </c>
      <c r="H124" s="119" t="s">
        <v>27</v>
      </c>
      <c r="I124" s="128" t="s">
        <v>2020</v>
      </c>
      <c r="J124" s="158">
        <f>900+600</f>
        <v>1500</v>
      </c>
      <c r="K124" s="74">
        <f>15+5</f>
        <v>20</v>
      </c>
      <c r="L124" s="156">
        <v>45246</v>
      </c>
      <c r="M124" s="45">
        <v>6000</v>
      </c>
      <c r="N124" s="45">
        <v>30</v>
      </c>
      <c r="O124" s="45" t="s">
        <v>1743</v>
      </c>
      <c r="P124" s="80" t="s">
        <v>160</v>
      </c>
      <c r="Q124" s="74">
        <v>8500063959</v>
      </c>
      <c r="R124" s="74">
        <v>5001220358</v>
      </c>
      <c r="S124" s="158">
        <f>900+600</f>
        <v>1500</v>
      </c>
      <c r="T124" s="45" t="s">
        <v>152</v>
      </c>
      <c r="U124" s="45">
        <v>8500063957</v>
      </c>
      <c r="V124" s="45">
        <v>5001227890</v>
      </c>
      <c r="W124" s="127" t="s">
        <v>2257</v>
      </c>
      <c r="X124" s="152">
        <f>150+500+850</f>
        <v>1500</v>
      </c>
      <c r="Y124" s="152">
        <f>600+2000+3400</f>
        <v>6000</v>
      </c>
      <c r="Z124" s="152" t="s">
        <v>2258</v>
      </c>
      <c r="AA124" s="152">
        <f t="shared" si="4"/>
        <v>0</v>
      </c>
      <c r="AB124" s="152">
        <f t="shared" si="5"/>
        <v>0</v>
      </c>
      <c r="AC124" s="74"/>
      <c r="AD124" s="74"/>
      <c r="AE124" s="157"/>
      <c r="AF124" s="157"/>
      <c r="AG124" s="157"/>
      <c r="AH124" s="141"/>
    </row>
    <row r="125" spans="1:34" ht="18.75" customHeight="1">
      <c r="A125" s="120"/>
      <c r="B125" s="121"/>
      <c r="C125" s="74"/>
      <c r="D125" s="80"/>
      <c r="E125" s="74">
        <v>4</v>
      </c>
      <c r="F125" s="74">
        <v>2900</v>
      </c>
      <c r="G125" s="45">
        <f t="shared" si="6"/>
        <v>11600</v>
      </c>
      <c r="H125" s="119" t="s">
        <v>37</v>
      </c>
      <c r="I125" s="128" t="s">
        <v>2036</v>
      </c>
      <c r="J125" s="158">
        <v>2900</v>
      </c>
      <c r="K125" s="74">
        <f>21+12</f>
        <v>33</v>
      </c>
      <c r="L125" s="156" t="s">
        <v>2013</v>
      </c>
      <c r="M125" s="45">
        <f>7100+4500</f>
        <v>11600</v>
      </c>
      <c r="N125" s="45">
        <v>58</v>
      </c>
      <c r="O125" s="45" t="s">
        <v>2014</v>
      </c>
      <c r="P125" s="80" t="s">
        <v>160</v>
      </c>
      <c r="Q125" s="74">
        <v>8500063959</v>
      </c>
      <c r="R125" s="74">
        <v>5001220358</v>
      </c>
      <c r="S125" s="158">
        <v>2900</v>
      </c>
      <c r="T125" s="45" t="s">
        <v>152</v>
      </c>
      <c r="U125" s="45">
        <v>8500063957</v>
      </c>
      <c r="V125" s="45">
        <v>5001220330</v>
      </c>
      <c r="W125" s="127" t="s">
        <v>2191</v>
      </c>
      <c r="X125" s="152">
        <f>1000+1900</f>
        <v>2900</v>
      </c>
      <c r="Y125" s="152">
        <f>4000+7600</f>
        <v>11600</v>
      </c>
      <c r="Z125" s="152" t="s">
        <v>1502</v>
      </c>
      <c r="AA125" s="152">
        <f t="shared" si="4"/>
        <v>0</v>
      </c>
      <c r="AB125" s="152">
        <f t="shared" si="5"/>
        <v>0</v>
      </c>
      <c r="AC125" s="74"/>
      <c r="AD125" s="74"/>
      <c r="AE125" s="157"/>
      <c r="AF125" s="157"/>
      <c r="AG125" s="157"/>
      <c r="AH125" s="141"/>
    </row>
    <row r="126" spans="1:34" ht="18.75" customHeight="1">
      <c r="A126" s="120"/>
      <c r="B126" s="121"/>
      <c r="C126" s="136"/>
      <c r="D126" s="84"/>
      <c r="E126" s="74">
        <v>4</v>
      </c>
      <c r="F126" s="74">
        <v>700</v>
      </c>
      <c r="G126" s="45">
        <f t="shared" si="6"/>
        <v>2800</v>
      </c>
      <c r="H126" s="119" t="s">
        <v>146</v>
      </c>
      <c r="I126" s="128">
        <v>45245</v>
      </c>
      <c r="J126" s="158">
        <v>700</v>
      </c>
      <c r="K126" s="74">
        <f>7+6</f>
        <v>13</v>
      </c>
      <c r="L126" s="156">
        <v>45246</v>
      </c>
      <c r="M126" s="45">
        <v>2800</v>
      </c>
      <c r="N126" s="45">
        <v>14</v>
      </c>
      <c r="O126" s="45" t="s">
        <v>877</v>
      </c>
      <c r="P126" s="80" t="s">
        <v>160</v>
      </c>
      <c r="Q126" s="74">
        <v>8500063959</v>
      </c>
      <c r="R126" s="74">
        <v>5001220358</v>
      </c>
      <c r="S126" s="158">
        <v>700</v>
      </c>
      <c r="T126" s="45" t="s">
        <v>152</v>
      </c>
      <c r="U126" s="45">
        <v>8500063957</v>
      </c>
      <c r="V126" s="45">
        <v>5001224362</v>
      </c>
      <c r="W126" s="127">
        <v>45262</v>
      </c>
      <c r="X126" s="152">
        <v>700</v>
      </c>
      <c r="Y126" s="152">
        <v>2800</v>
      </c>
      <c r="Z126" s="152" t="s">
        <v>759</v>
      </c>
      <c r="AA126" s="152">
        <f t="shared" si="4"/>
        <v>0</v>
      </c>
      <c r="AB126" s="152">
        <f t="shared" si="5"/>
        <v>0</v>
      </c>
      <c r="AC126" s="74"/>
      <c r="AD126" s="74"/>
      <c r="AE126" s="157"/>
      <c r="AF126" s="157"/>
      <c r="AG126" s="157"/>
      <c r="AH126" s="141"/>
    </row>
    <row r="127" spans="1:34" ht="18.75" customHeight="1">
      <c r="A127" s="120" t="s">
        <v>1610</v>
      </c>
      <c r="B127" s="121">
        <v>6000026688</v>
      </c>
      <c r="C127" s="2" t="s">
        <v>1611</v>
      </c>
      <c r="D127" s="2" t="s">
        <v>1989</v>
      </c>
      <c r="E127" s="74">
        <v>4</v>
      </c>
      <c r="F127" s="74">
        <v>5100</v>
      </c>
      <c r="G127" s="45">
        <f t="shared" si="6"/>
        <v>20400</v>
      </c>
      <c r="H127" s="119" t="s">
        <v>46</v>
      </c>
      <c r="I127" s="128">
        <v>45247</v>
      </c>
      <c r="J127" s="158">
        <v>5100</v>
      </c>
      <c r="K127" s="74">
        <f>51+9</f>
        <v>60</v>
      </c>
      <c r="L127" s="156">
        <v>45250</v>
      </c>
      <c r="M127" s="45">
        <v>20400</v>
      </c>
      <c r="N127" s="45">
        <v>102</v>
      </c>
      <c r="O127" s="45"/>
      <c r="P127" s="80" t="s">
        <v>160</v>
      </c>
      <c r="Q127" s="74">
        <v>8500064627</v>
      </c>
      <c r="R127" s="74">
        <v>5001247864</v>
      </c>
      <c r="S127" s="158">
        <v>5100</v>
      </c>
      <c r="T127" s="45" t="s">
        <v>152</v>
      </c>
      <c r="U127" s="45">
        <v>8500064626</v>
      </c>
      <c r="V127" s="45">
        <v>5001247863</v>
      </c>
      <c r="W127" s="127">
        <v>45251</v>
      </c>
      <c r="X127" s="152">
        <f>500+4600</f>
        <v>5100</v>
      </c>
      <c r="Y127" s="152">
        <f>2000+18400</f>
        <v>20400</v>
      </c>
      <c r="Z127" s="152" t="s">
        <v>2088</v>
      </c>
      <c r="AA127" s="152">
        <f t="shared" si="4"/>
        <v>0</v>
      </c>
      <c r="AB127" s="152">
        <f t="shared" si="5"/>
        <v>0</v>
      </c>
      <c r="AC127" s="74"/>
      <c r="AD127" s="74"/>
      <c r="AE127" s="157"/>
      <c r="AF127" s="157"/>
      <c r="AG127" s="157"/>
      <c r="AH127" s="141"/>
    </row>
    <row r="128" spans="1:34" ht="18.75" customHeight="1">
      <c r="A128" s="120" t="s">
        <v>1610</v>
      </c>
      <c r="B128" s="121">
        <v>6000026692</v>
      </c>
      <c r="C128" s="2" t="s">
        <v>1611</v>
      </c>
      <c r="D128" s="2" t="s">
        <v>2027</v>
      </c>
      <c r="E128" s="74">
        <v>4</v>
      </c>
      <c r="F128" s="74">
        <v>5100</v>
      </c>
      <c r="G128" s="45">
        <f>F128*E128</f>
        <v>20400</v>
      </c>
      <c r="H128" s="119" t="s">
        <v>46</v>
      </c>
      <c r="I128" s="128">
        <v>45252</v>
      </c>
      <c r="J128" s="158">
        <v>5100</v>
      </c>
      <c r="K128" s="74">
        <v>51</v>
      </c>
      <c r="L128" s="156">
        <v>45251</v>
      </c>
      <c r="M128" s="45">
        <v>20400</v>
      </c>
      <c r="N128" s="45">
        <v>102</v>
      </c>
      <c r="O128" s="45" t="s">
        <v>1848</v>
      </c>
      <c r="P128" s="80" t="s">
        <v>2059</v>
      </c>
      <c r="Q128" s="74">
        <v>8500064725</v>
      </c>
      <c r="R128" s="74">
        <v>5001298560</v>
      </c>
      <c r="S128" s="158">
        <v>5100</v>
      </c>
      <c r="T128" s="45" t="s">
        <v>152</v>
      </c>
      <c r="U128" s="45">
        <v>8500064724</v>
      </c>
      <c r="V128" s="45">
        <v>5001298519</v>
      </c>
      <c r="W128" s="127" t="s">
        <v>2250</v>
      </c>
      <c r="X128" s="152">
        <f>1000+2000+2100</f>
        <v>5100</v>
      </c>
      <c r="Y128" s="152">
        <f>4000+8000+8400</f>
        <v>20400</v>
      </c>
      <c r="Z128" s="152" t="s">
        <v>2249</v>
      </c>
      <c r="AA128" s="152">
        <f t="shared" si="4"/>
        <v>0</v>
      </c>
      <c r="AB128" s="152">
        <f t="shared" si="5"/>
        <v>0</v>
      </c>
      <c r="AC128" s="74"/>
      <c r="AD128" s="74"/>
      <c r="AE128" s="157"/>
      <c r="AF128" s="157"/>
      <c r="AG128" s="157"/>
      <c r="AH128" s="141"/>
    </row>
    <row r="129" spans="1:34" ht="18.75" customHeight="1">
      <c r="A129" s="120" t="s">
        <v>1610</v>
      </c>
      <c r="B129" s="121">
        <v>6000026695</v>
      </c>
      <c r="C129" s="192" t="s">
        <v>1611</v>
      </c>
      <c r="D129" s="192" t="s">
        <v>2028</v>
      </c>
      <c r="E129" s="74">
        <v>4</v>
      </c>
      <c r="F129" s="74">
        <v>5100</v>
      </c>
      <c r="G129" s="45">
        <f>F129*E129</f>
        <v>20400</v>
      </c>
      <c r="H129" s="119" t="s">
        <v>46</v>
      </c>
      <c r="I129" s="128" t="s">
        <v>2127</v>
      </c>
      <c r="J129" s="158">
        <v>3300</v>
      </c>
      <c r="K129" s="74">
        <f>20+30</f>
        <v>50</v>
      </c>
      <c r="L129" s="156">
        <v>45254</v>
      </c>
      <c r="M129" s="45">
        <v>20400</v>
      </c>
      <c r="N129" s="45">
        <v>102</v>
      </c>
      <c r="O129" s="45"/>
      <c r="P129" s="80" t="s">
        <v>2059</v>
      </c>
      <c r="Q129" s="74">
        <v>8500064727</v>
      </c>
      <c r="R129" s="74">
        <v>5001298582</v>
      </c>
      <c r="S129" s="158">
        <v>3300</v>
      </c>
      <c r="T129" s="45" t="s">
        <v>152</v>
      </c>
      <c r="U129" s="45">
        <v>8500064726</v>
      </c>
      <c r="V129" s="45">
        <v>5001298567</v>
      </c>
      <c r="W129" s="127" t="s">
        <v>2255</v>
      </c>
      <c r="X129" s="152">
        <v>3300</v>
      </c>
      <c r="Y129" s="152">
        <f>7200+13200</f>
        <v>20400</v>
      </c>
      <c r="Z129" s="152" t="s">
        <v>2256</v>
      </c>
      <c r="AA129" s="152">
        <f t="shared" si="4"/>
        <v>0</v>
      </c>
      <c r="AB129" s="152">
        <f t="shared" si="5"/>
        <v>0</v>
      </c>
      <c r="AC129" s="74"/>
      <c r="AD129" s="74"/>
      <c r="AE129" s="157"/>
      <c r="AF129" s="157"/>
      <c r="AG129" s="157"/>
      <c r="AH129" s="141"/>
    </row>
    <row r="130" spans="1:34" ht="31.5" customHeight="1">
      <c r="A130" s="120" t="s">
        <v>1610</v>
      </c>
      <c r="B130" s="121">
        <v>6000026769</v>
      </c>
      <c r="C130" s="2" t="s">
        <v>1752</v>
      </c>
      <c r="D130" s="2" t="s">
        <v>2029</v>
      </c>
      <c r="E130" s="74">
        <v>4</v>
      </c>
      <c r="F130" s="74">
        <v>4900</v>
      </c>
      <c r="G130" s="45">
        <f>F130*E130</f>
        <v>19600</v>
      </c>
      <c r="H130" s="119" t="s">
        <v>146</v>
      </c>
      <c r="I130" s="128">
        <v>45248</v>
      </c>
      <c r="J130" s="158">
        <v>4900</v>
      </c>
      <c r="K130" s="74">
        <f>9+44</f>
        <v>53</v>
      </c>
      <c r="L130" s="156">
        <v>45258</v>
      </c>
      <c r="M130" s="45">
        <v>19600</v>
      </c>
      <c r="N130" s="45">
        <v>98</v>
      </c>
      <c r="O130" s="45" t="s">
        <v>1439</v>
      </c>
      <c r="P130" s="80" t="s">
        <v>160</v>
      </c>
      <c r="Q130" s="74">
        <v>8500064428</v>
      </c>
      <c r="R130" s="74">
        <v>5001239507</v>
      </c>
      <c r="S130" s="158">
        <v>4900</v>
      </c>
      <c r="T130" s="45" t="s">
        <v>152</v>
      </c>
      <c r="U130" s="45">
        <v>8500064427</v>
      </c>
      <c r="V130" s="45">
        <v>5001271946</v>
      </c>
      <c r="W130" s="127" t="s">
        <v>2335</v>
      </c>
      <c r="X130" s="152">
        <f>320+4580-320+320</f>
        <v>4900</v>
      </c>
      <c r="Y130" s="152">
        <f>1280+18320-1280+1280</f>
        <v>19600</v>
      </c>
      <c r="Z130" s="152" t="s">
        <v>2334</v>
      </c>
      <c r="AA130" s="152">
        <f t="shared" si="4"/>
        <v>0</v>
      </c>
      <c r="AB130" s="152">
        <f t="shared" si="5"/>
        <v>0</v>
      </c>
      <c r="AC130" s="74" t="s">
        <v>2333</v>
      </c>
      <c r="AD130" s="74"/>
      <c r="AE130" s="157"/>
      <c r="AF130" s="157"/>
      <c r="AG130" s="157"/>
      <c r="AH130" s="141"/>
    </row>
    <row r="131" spans="1:34" ht="18.75" customHeight="1">
      <c r="A131" s="120" t="s">
        <v>1610</v>
      </c>
      <c r="B131" s="121">
        <v>6000027034</v>
      </c>
      <c r="C131" s="2" t="s">
        <v>1752</v>
      </c>
      <c r="D131" s="2" t="s">
        <v>2135</v>
      </c>
      <c r="E131" s="74">
        <v>4</v>
      </c>
      <c r="F131" s="74">
        <v>4900</v>
      </c>
      <c r="G131" s="45">
        <f>F131*E131</f>
        <v>19600</v>
      </c>
      <c r="H131" s="119" t="s">
        <v>37</v>
      </c>
      <c r="I131" s="128">
        <v>45265</v>
      </c>
      <c r="J131" s="158">
        <v>4900</v>
      </c>
      <c r="K131" s="74">
        <f>50+1</f>
        <v>51</v>
      </c>
      <c r="L131" s="156">
        <v>45266</v>
      </c>
      <c r="M131" s="45">
        <v>19600</v>
      </c>
      <c r="N131" s="45">
        <v>98</v>
      </c>
      <c r="O131" s="45" t="s">
        <v>2015</v>
      </c>
      <c r="P131" s="80" t="s">
        <v>160</v>
      </c>
      <c r="Q131" s="74">
        <v>8500064743</v>
      </c>
      <c r="R131" s="74">
        <v>5001298484</v>
      </c>
      <c r="S131" s="158">
        <v>4900</v>
      </c>
      <c r="T131" s="45" t="s">
        <v>152</v>
      </c>
      <c r="U131" s="45">
        <v>8500064742</v>
      </c>
      <c r="V131" s="45"/>
      <c r="W131" s="127" t="s">
        <v>2312</v>
      </c>
      <c r="X131" s="152">
        <f>600+170+4130</f>
        <v>4900</v>
      </c>
      <c r="Y131" s="152">
        <f>2400+680+16520</f>
        <v>19600</v>
      </c>
      <c r="Z131" s="152" t="s">
        <v>2313</v>
      </c>
      <c r="AA131" s="152">
        <f t="shared" si="4"/>
        <v>0</v>
      </c>
      <c r="AB131" s="152">
        <f t="shared" si="5"/>
        <v>0</v>
      </c>
      <c r="AC131" s="74"/>
      <c r="AD131" s="74"/>
      <c r="AE131" s="157"/>
      <c r="AF131" s="157"/>
      <c r="AG131" s="157"/>
      <c r="AH131" s="141"/>
    </row>
    <row r="132" spans="1:34" ht="18.75" customHeight="1">
      <c r="A132" s="120" t="s">
        <v>652</v>
      </c>
      <c r="B132" s="121">
        <v>6000026276</v>
      </c>
      <c r="C132" s="2" t="s">
        <v>1337</v>
      </c>
      <c r="D132" s="122">
        <v>6000026276</v>
      </c>
      <c r="E132" s="74">
        <v>10</v>
      </c>
      <c r="F132" s="74">
        <v>120</v>
      </c>
      <c r="G132" s="45">
        <f t="shared" si="6"/>
        <v>1200</v>
      </c>
      <c r="H132" s="119" t="s">
        <v>46</v>
      </c>
      <c r="I132" s="128">
        <v>45248</v>
      </c>
      <c r="J132" s="158">
        <v>120</v>
      </c>
      <c r="K132" s="74">
        <f>2+1</f>
        <v>3</v>
      </c>
      <c r="L132" s="156">
        <v>45241</v>
      </c>
      <c r="M132" s="45">
        <v>1200</v>
      </c>
      <c r="N132" s="45">
        <v>12</v>
      </c>
      <c r="O132" s="45" t="s">
        <v>1641</v>
      </c>
      <c r="P132" s="80" t="s">
        <v>160</v>
      </c>
      <c r="Q132" s="74">
        <v>8500063822</v>
      </c>
      <c r="R132" s="74">
        <v>5001275131</v>
      </c>
      <c r="S132" s="158">
        <v>120</v>
      </c>
      <c r="T132" s="45" t="s">
        <v>1558</v>
      </c>
      <c r="U132" s="45">
        <v>8500063821</v>
      </c>
      <c r="V132" s="45">
        <v>5001275119</v>
      </c>
      <c r="W132" s="127">
        <v>45278</v>
      </c>
      <c r="X132" s="152">
        <v>120</v>
      </c>
      <c r="Y132" s="152">
        <v>1200</v>
      </c>
      <c r="Z132" s="152" t="s">
        <v>800</v>
      </c>
      <c r="AA132" s="152">
        <f t="shared" si="4"/>
        <v>0</v>
      </c>
      <c r="AB132" s="152">
        <f t="shared" si="5"/>
        <v>0</v>
      </c>
      <c r="AC132" s="74"/>
      <c r="AD132" s="74"/>
      <c r="AE132" s="157"/>
      <c r="AF132" s="157"/>
      <c r="AG132" s="157"/>
      <c r="AH132" s="141"/>
    </row>
    <row r="133" spans="1:34" ht="22.5" customHeight="1">
      <c r="A133" s="120"/>
      <c r="B133" s="121"/>
      <c r="C133" s="2"/>
      <c r="D133" s="122"/>
      <c r="E133" s="74">
        <v>10</v>
      </c>
      <c r="F133" s="74">
        <v>60</v>
      </c>
      <c r="G133" s="45">
        <f t="shared" si="6"/>
        <v>600</v>
      </c>
      <c r="H133" s="119" t="s">
        <v>37</v>
      </c>
      <c r="I133" s="128">
        <v>45250</v>
      </c>
      <c r="J133" s="158">
        <v>60</v>
      </c>
      <c r="K133" s="74">
        <f>2+2</f>
        <v>4</v>
      </c>
      <c r="L133" s="156">
        <v>45241</v>
      </c>
      <c r="M133" s="45">
        <v>600</v>
      </c>
      <c r="N133" s="45">
        <v>6</v>
      </c>
      <c r="O133" s="45" t="s">
        <v>1641</v>
      </c>
      <c r="P133" s="80" t="s">
        <v>160</v>
      </c>
      <c r="Q133" s="74">
        <v>8500063822</v>
      </c>
      <c r="R133" s="74">
        <v>5001275131</v>
      </c>
      <c r="S133" s="158">
        <v>60</v>
      </c>
      <c r="T133" s="45" t="s">
        <v>1558</v>
      </c>
      <c r="U133" s="45">
        <v>8500063821</v>
      </c>
      <c r="V133" s="45">
        <v>5001275119</v>
      </c>
      <c r="W133" s="127">
        <v>45286</v>
      </c>
      <c r="X133" s="152">
        <v>60</v>
      </c>
      <c r="Y133" s="152">
        <v>600</v>
      </c>
      <c r="Z133" s="152" t="s">
        <v>800</v>
      </c>
      <c r="AA133" s="152">
        <f t="shared" si="4"/>
        <v>0</v>
      </c>
      <c r="AB133" s="152">
        <f t="shared" si="5"/>
        <v>0</v>
      </c>
      <c r="AC133" s="74"/>
      <c r="AD133" s="74"/>
      <c r="AE133" s="157"/>
      <c r="AF133" s="157"/>
      <c r="AG133" s="157"/>
      <c r="AH133" s="141"/>
    </row>
    <row r="134" spans="1:34" ht="18.75" customHeight="1">
      <c r="A134" s="120"/>
      <c r="B134" s="121"/>
      <c r="C134" s="2"/>
      <c r="D134" s="122"/>
      <c r="E134" s="74">
        <v>10</v>
      </c>
      <c r="F134" s="74">
        <v>120</v>
      </c>
      <c r="G134" s="45">
        <f t="shared" si="6"/>
        <v>1200</v>
      </c>
      <c r="H134" s="119" t="s">
        <v>146</v>
      </c>
      <c r="I134" s="128">
        <v>45265</v>
      </c>
      <c r="J134" s="158">
        <v>120</v>
      </c>
      <c r="K134" s="74">
        <f>2+2</f>
        <v>4</v>
      </c>
      <c r="L134" s="156">
        <v>45259</v>
      </c>
      <c r="M134" s="45">
        <v>1200</v>
      </c>
      <c r="N134" s="45">
        <v>12</v>
      </c>
      <c r="O134" s="45" t="s">
        <v>2152</v>
      </c>
      <c r="P134" s="80" t="s">
        <v>160</v>
      </c>
      <c r="Q134" s="74">
        <v>8500064748</v>
      </c>
      <c r="R134" s="74">
        <v>5001298487</v>
      </c>
      <c r="S134" s="158">
        <v>120</v>
      </c>
      <c r="T134" s="45" t="s">
        <v>1558</v>
      </c>
      <c r="U134" s="45">
        <v>8500064747</v>
      </c>
      <c r="V134" s="45">
        <v>5001297424</v>
      </c>
      <c r="W134" s="127">
        <v>45286</v>
      </c>
      <c r="X134" s="152">
        <v>120</v>
      </c>
      <c r="Y134" s="152">
        <v>1200</v>
      </c>
      <c r="Z134" s="152" t="s">
        <v>800</v>
      </c>
      <c r="AA134" s="152">
        <f t="shared" si="4"/>
        <v>0</v>
      </c>
      <c r="AB134" s="152">
        <f t="shared" si="5"/>
        <v>0</v>
      </c>
      <c r="AC134" s="74"/>
      <c r="AD134" s="74"/>
      <c r="AE134" s="157"/>
      <c r="AF134" s="157"/>
      <c r="AG134" s="157"/>
      <c r="AH134" s="141"/>
    </row>
    <row r="135" spans="1:34" ht="18.75" customHeight="1">
      <c r="A135" s="120" t="s">
        <v>652</v>
      </c>
      <c r="B135" s="121">
        <v>6000026276</v>
      </c>
      <c r="C135" s="2" t="s">
        <v>1338</v>
      </c>
      <c r="D135" s="122">
        <v>6000026276</v>
      </c>
      <c r="E135" s="74">
        <v>10</v>
      </c>
      <c r="F135" s="74">
        <v>120</v>
      </c>
      <c r="G135" s="45">
        <f t="shared" si="6"/>
        <v>1200</v>
      </c>
      <c r="H135" s="119" t="s">
        <v>46</v>
      </c>
      <c r="I135" s="128">
        <v>45248</v>
      </c>
      <c r="J135" s="74">
        <v>120</v>
      </c>
      <c r="K135" s="74">
        <f>2+2</f>
        <v>4</v>
      </c>
      <c r="L135" s="156">
        <v>45246</v>
      </c>
      <c r="M135" s="45">
        <v>1200</v>
      </c>
      <c r="N135" s="45">
        <v>12</v>
      </c>
      <c r="O135" s="45" t="s">
        <v>1890</v>
      </c>
      <c r="P135" s="80" t="s">
        <v>160</v>
      </c>
      <c r="Q135" s="74">
        <v>8500063824</v>
      </c>
      <c r="R135" s="74">
        <v>5001275132</v>
      </c>
      <c r="S135" s="74">
        <v>120</v>
      </c>
      <c r="T135" s="45" t="s">
        <v>1558</v>
      </c>
      <c r="U135" s="45">
        <v>8500063823</v>
      </c>
      <c r="V135" s="45">
        <v>5001275133</v>
      </c>
      <c r="W135" s="127">
        <v>45286</v>
      </c>
      <c r="X135" s="152">
        <v>120</v>
      </c>
      <c r="Y135" s="152">
        <v>1200</v>
      </c>
      <c r="Z135" s="152" t="s">
        <v>800</v>
      </c>
      <c r="AA135" s="152">
        <f t="shared" si="4"/>
        <v>0</v>
      </c>
      <c r="AB135" s="152">
        <f t="shared" si="5"/>
        <v>0</v>
      </c>
      <c r="AC135" s="74"/>
      <c r="AD135" s="74"/>
      <c r="AE135" s="157"/>
      <c r="AF135" s="157"/>
      <c r="AG135" s="157"/>
      <c r="AH135" s="141"/>
    </row>
    <row r="136" spans="1:34" ht="18.75" customHeight="1">
      <c r="A136" s="120"/>
      <c r="B136" s="121"/>
      <c r="C136" s="2"/>
      <c r="D136" s="122"/>
      <c r="E136" s="74">
        <v>10</v>
      </c>
      <c r="F136" s="74">
        <v>250</v>
      </c>
      <c r="G136" s="45">
        <f t="shared" si="6"/>
        <v>2500</v>
      </c>
      <c r="H136" s="119" t="s">
        <v>37</v>
      </c>
      <c r="I136" s="128">
        <v>45248</v>
      </c>
      <c r="J136" s="74">
        <v>250</v>
      </c>
      <c r="K136" s="74">
        <f>4+6</f>
        <v>10</v>
      </c>
      <c r="L136" s="156">
        <v>45246</v>
      </c>
      <c r="M136" s="45">
        <v>2500</v>
      </c>
      <c r="N136" s="45">
        <v>25</v>
      </c>
      <c r="O136" s="45" t="s">
        <v>1768</v>
      </c>
      <c r="P136" s="80" t="s">
        <v>160</v>
      </c>
      <c r="Q136" s="74">
        <v>8500063824</v>
      </c>
      <c r="R136" s="74">
        <v>5001275132</v>
      </c>
      <c r="S136" s="74">
        <v>250</v>
      </c>
      <c r="T136" s="45" t="s">
        <v>1558</v>
      </c>
      <c r="U136" s="45">
        <v>8500063823</v>
      </c>
      <c r="V136" s="45">
        <v>5001275133</v>
      </c>
      <c r="W136" s="127">
        <v>45281</v>
      </c>
      <c r="X136" s="152">
        <v>250</v>
      </c>
      <c r="Y136" s="152">
        <v>2500</v>
      </c>
      <c r="Z136" s="152" t="s">
        <v>800</v>
      </c>
      <c r="AA136" s="152">
        <f t="shared" si="4"/>
        <v>0</v>
      </c>
      <c r="AB136" s="152">
        <f t="shared" si="5"/>
        <v>0</v>
      </c>
      <c r="AC136" s="74"/>
      <c r="AD136" s="74"/>
      <c r="AE136" s="157"/>
      <c r="AF136" s="157"/>
      <c r="AG136" s="157"/>
      <c r="AH136" s="141"/>
    </row>
    <row r="137" spans="1:34" ht="18.75" customHeight="1">
      <c r="A137" s="120"/>
      <c r="B137" s="121"/>
      <c r="C137" s="2"/>
      <c r="D137" s="122"/>
      <c r="E137" s="74">
        <v>10</v>
      </c>
      <c r="F137" s="74">
        <v>180</v>
      </c>
      <c r="G137" s="45">
        <f t="shared" si="6"/>
        <v>1800</v>
      </c>
      <c r="H137" s="119" t="s">
        <v>37</v>
      </c>
      <c r="I137" s="128">
        <v>45265</v>
      </c>
      <c r="J137" s="74">
        <v>180</v>
      </c>
      <c r="K137" s="74">
        <v>2</v>
      </c>
      <c r="L137" s="156">
        <v>45264</v>
      </c>
      <c r="M137" s="45">
        <v>1800</v>
      </c>
      <c r="N137" s="45">
        <v>18</v>
      </c>
      <c r="O137" s="45" t="s">
        <v>2152</v>
      </c>
      <c r="P137" s="80" t="s">
        <v>160</v>
      </c>
      <c r="Q137" s="74">
        <v>8500064750</v>
      </c>
      <c r="R137" s="74">
        <v>5001298490</v>
      </c>
      <c r="S137" s="74">
        <v>180</v>
      </c>
      <c r="T137" s="45" t="s">
        <v>1558</v>
      </c>
      <c r="U137" s="45">
        <v>8500064749</v>
      </c>
      <c r="V137" s="45">
        <v>5001297425</v>
      </c>
      <c r="W137" s="127">
        <v>45281</v>
      </c>
      <c r="X137" s="152">
        <v>180</v>
      </c>
      <c r="Y137" s="152">
        <v>1800</v>
      </c>
      <c r="Z137" s="152" t="s">
        <v>800</v>
      </c>
      <c r="AA137" s="152">
        <f t="shared" si="4"/>
        <v>0</v>
      </c>
      <c r="AB137" s="152">
        <f t="shared" si="5"/>
        <v>0</v>
      </c>
      <c r="AC137" s="74"/>
      <c r="AD137" s="74"/>
      <c r="AE137" s="157"/>
      <c r="AF137" s="157"/>
      <c r="AG137" s="157"/>
      <c r="AH137" s="141"/>
    </row>
    <row r="138" spans="1:34" ht="18.75" customHeight="1">
      <c r="A138" s="120"/>
      <c r="B138" s="121"/>
      <c r="C138" s="74"/>
      <c r="D138" s="80"/>
      <c r="E138" s="74">
        <v>10</v>
      </c>
      <c r="F138" s="74">
        <v>360</v>
      </c>
      <c r="G138" s="45">
        <f t="shared" si="6"/>
        <v>3600</v>
      </c>
      <c r="H138" s="119" t="s">
        <v>146</v>
      </c>
      <c r="I138" s="128">
        <v>45248</v>
      </c>
      <c r="J138" s="74">
        <v>360</v>
      </c>
      <c r="K138" s="74">
        <f>5+3</f>
        <v>8</v>
      </c>
      <c r="L138" s="156">
        <v>45246</v>
      </c>
      <c r="M138" s="45">
        <v>3600</v>
      </c>
      <c r="N138" s="45">
        <v>36</v>
      </c>
      <c r="O138" s="45" t="s">
        <v>1768</v>
      </c>
      <c r="P138" s="80" t="s">
        <v>160</v>
      </c>
      <c r="Q138" s="74">
        <v>8500063824</v>
      </c>
      <c r="R138" s="74">
        <v>5001275132</v>
      </c>
      <c r="S138" s="74">
        <v>360</v>
      </c>
      <c r="T138" s="45" t="s">
        <v>1558</v>
      </c>
      <c r="U138" s="45">
        <v>8500063823</v>
      </c>
      <c r="V138" s="45">
        <v>5001275133</v>
      </c>
      <c r="W138" s="127">
        <v>45286</v>
      </c>
      <c r="X138" s="152">
        <v>60</v>
      </c>
      <c r="Y138" s="152">
        <v>600</v>
      </c>
      <c r="Z138" s="161" t="s">
        <v>800</v>
      </c>
      <c r="AA138" s="152">
        <f t="shared" si="4"/>
        <v>300</v>
      </c>
      <c r="AB138" s="152">
        <f t="shared" si="5"/>
        <v>3000</v>
      </c>
      <c r="AC138" s="74" t="s">
        <v>2293</v>
      </c>
      <c r="AD138" s="74"/>
      <c r="AE138" s="157"/>
      <c r="AF138" s="157"/>
      <c r="AG138" s="157"/>
      <c r="AH138" s="141"/>
    </row>
    <row r="139" spans="1:34" ht="18.75" customHeight="1">
      <c r="A139" s="120" t="s">
        <v>316</v>
      </c>
      <c r="B139" s="121">
        <v>6000026522</v>
      </c>
      <c r="C139" s="2" t="s">
        <v>317</v>
      </c>
      <c r="D139" s="122" t="s">
        <v>2003</v>
      </c>
      <c r="E139" s="74">
        <v>10</v>
      </c>
      <c r="F139" s="74">
        <v>448</v>
      </c>
      <c r="G139" s="45">
        <f t="shared" si="6"/>
        <v>4480</v>
      </c>
      <c r="H139" s="119" t="s">
        <v>27</v>
      </c>
      <c r="I139" s="128">
        <v>45248</v>
      </c>
      <c r="J139" s="74">
        <v>448</v>
      </c>
      <c r="K139" s="74">
        <f>10+2</f>
        <v>12</v>
      </c>
      <c r="L139" s="156">
        <v>45244</v>
      </c>
      <c r="M139" s="45">
        <v>4480</v>
      </c>
      <c r="N139" s="45">
        <v>23</v>
      </c>
      <c r="O139" s="45" t="s">
        <v>1344</v>
      </c>
      <c r="P139" s="80" t="s">
        <v>160</v>
      </c>
      <c r="Q139" s="74">
        <v>8500063754</v>
      </c>
      <c r="R139" s="74">
        <v>5001239479</v>
      </c>
      <c r="S139" s="74">
        <v>448</v>
      </c>
      <c r="T139" s="45" t="s">
        <v>152</v>
      </c>
      <c r="U139" s="45">
        <v>8500063753</v>
      </c>
      <c r="V139" s="45">
        <v>5001218806</v>
      </c>
      <c r="W139" s="127">
        <v>45276</v>
      </c>
      <c r="X139" s="152">
        <v>448</v>
      </c>
      <c r="Y139" s="152">
        <v>4480</v>
      </c>
      <c r="Z139" s="152" t="s">
        <v>2238</v>
      </c>
      <c r="AA139" s="152">
        <f t="shared" si="4"/>
        <v>0</v>
      </c>
      <c r="AB139" s="152">
        <f t="shared" si="5"/>
        <v>0</v>
      </c>
      <c r="AC139" s="74"/>
      <c r="AD139" s="74"/>
      <c r="AE139" s="157"/>
      <c r="AF139" s="157"/>
      <c r="AG139" s="157"/>
      <c r="AH139" s="141"/>
    </row>
    <row r="140" spans="1:34" ht="18.75" customHeight="1">
      <c r="A140" s="120"/>
      <c r="B140" s="121"/>
      <c r="C140" s="74"/>
      <c r="D140" s="80"/>
      <c r="E140" s="74">
        <v>10</v>
      </c>
      <c r="F140" s="74">
        <v>1200</v>
      </c>
      <c r="G140" s="45">
        <f t="shared" si="6"/>
        <v>12000</v>
      </c>
      <c r="H140" s="119" t="s">
        <v>46</v>
      </c>
      <c r="I140" s="128">
        <v>45248</v>
      </c>
      <c r="J140" s="74">
        <v>1200</v>
      </c>
      <c r="K140" s="74">
        <f>24+8</f>
        <v>32</v>
      </c>
      <c r="L140" s="156">
        <v>45245</v>
      </c>
      <c r="M140" s="45">
        <v>12000</v>
      </c>
      <c r="N140" s="45">
        <v>60</v>
      </c>
      <c r="O140" s="45" t="s">
        <v>1848</v>
      </c>
      <c r="P140" s="80" t="s">
        <v>160</v>
      </c>
      <c r="Q140" s="74">
        <v>8500063754</v>
      </c>
      <c r="R140" s="74">
        <v>5001239479</v>
      </c>
      <c r="S140" s="74">
        <v>1200</v>
      </c>
      <c r="T140" s="45" t="s">
        <v>152</v>
      </c>
      <c r="U140" s="45">
        <v>8500063753</v>
      </c>
      <c r="V140" s="45">
        <v>5001220291</v>
      </c>
      <c r="W140" s="127" t="s">
        <v>2247</v>
      </c>
      <c r="X140" s="152">
        <f>500+700</f>
        <v>1200</v>
      </c>
      <c r="Y140" s="152">
        <f>5000+7000</f>
        <v>12000</v>
      </c>
      <c r="Z140" s="152" t="s">
        <v>2239</v>
      </c>
      <c r="AA140" s="152">
        <f t="shared" si="4"/>
        <v>0</v>
      </c>
      <c r="AB140" s="152">
        <f t="shared" si="5"/>
        <v>0</v>
      </c>
      <c r="AC140" s="74"/>
      <c r="AD140" s="74"/>
      <c r="AE140" s="157"/>
      <c r="AF140" s="157"/>
      <c r="AG140" s="157"/>
      <c r="AH140" s="141"/>
    </row>
    <row r="141" spans="1:34" ht="18.75" customHeight="1">
      <c r="A141" s="120"/>
      <c r="B141" s="121"/>
      <c r="C141" s="74"/>
      <c r="D141" s="80"/>
      <c r="E141" s="74">
        <v>10</v>
      </c>
      <c r="F141" s="74">
        <v>1904</v>
      </c>
      <c r="G141" s="45">
        <f t="shared" si="6"/>
        <v>19040</v>
      </c>
      <c r="H141" s="119" t="s">
        <v>37</v>
      </c>
      <c r="I141" s="128">
        <v>45248</v>
      </c>
      <c r="J141" s="74">
        <v>1904</v>
      </c>
      <c r="K141" s="74">
        <f>39+2</f>
        <v>41</v>
      </c>
      <c r="L141" s="156">
        <v>45245</v>
      </c>
      <c r="M141" s="45">
        <v>19040</v>
      </c>
      <c r="N141" s="45">
        <v>96</v>
      </c>
      <c r="O141" s="45" t="s">
        <v>1743</v>
      </c>
      <c r="P141" s="80" t="s">
        <v>160</v>
      </c>
      <c r="Q141" s="74">
        <v>8500063754</v>
      </c>
      <c r="R141" s="74">
        <v>5001239479</v>
      </c>
      <c r="S141" s="74">
        <v>1904</v>
      </c>
      <c r="T141" s="45" t="s">
        <v>152</v>
      </c>
      <c r="U141" s="45">
        <v>8500063753</v>
      </c>
      <c r="V141" s="45">
        <v>5001220291</v>
      </c>
      <c r="W141" s="127">
        <v>45278</v>
      </c>
      <c r="X141" s="152">
        <f>1686+218</f>
        <v>1904</v>
      </c>
      <c r="Y141" s="152">
        <f>16860+2180</f>
        <v>19040</v>
      </c>
      <c r="Z141" s="152" t="s">
        <v>2248</v>
      </c>
      <c r="AA141" s="152">
        <f t="shared" si="4"/>
        <v>0</v>
      </c>
      <c r="AB141" s="152">
        <f t="shared" si="5"/>
        <v>0</v>
      </c>
      <c r="AC141" s="74"/>
      <c r="AD141" s="74"/>
      <c r="AE141" s="157"/>
      <c r="AF141" s="157"/>
      <c r="AG141" s="157"/>
      <c r="AH141" s="141"/>
    </row>
    <row r="142" spans="1:34" ht="18.75" customHeight="1">
      <c r="A142" s="120"/>
      <c r="B142" s="121"/>
      <c r="C142" s="74"/>
      <c r="D142" s="80"/>
      <c r="E142" s="74">
        <v>10</v>
      </c>
      <c r="F142" s="74">
        <v>448</v>
      </c>
      <c r="G142" s="45">
        <f t="shared" si="6"/>
        <v>4480</v>
      </c>
      <c r="H142" s="119" t="s">
        <v>146</v>
      </c>
      <c r="I142" s="128">
        <v>45248</v>
      </c>
      <c r="J142" s="74">
        <v>448</v>
      </c>
      <c r="K142" s="74">
        <f>9+1</f>
        <v>10</v>
      </c>
      <c r="L142" s="156">
        <v>45245</v>
      </c>
      <c r="M142" s="45">
        <v>4480</v>
      </c>
      <c r="N142" s="45">
        <v>23</v>
      </c>
      <c r="O142" s="45" t="s">
        <v>1403</v>
      </c>
      <c r="P142" s="80" t="s">
        <v>160</v>
      </c>
      <c r="Q142" s="74">
        <v>8500023756</v>
      </c>
      <c r="R142" s="74">
        <v>5001239500</v>
      </c>
      <c r="S142" s="74">
        <v>448</v>
      </c>
      <c r="T142" s="45" t="s">
        <v>152</v>
      </c>
      <c r="U142" s="45">
        <v>8500063755</v>
      </c>
      <c r="V142" s="45">
        <v>5001220292</v>
      </c>
      <c r="W142" s="127">
        <v>45276</v>
      </c>
      <c r="X142" s="152">
        <v>448</v>
      </c>
      <c r="Y142" s="152">
        <v>4480</v>
      </c>
      <c r="Z142" s="152" t="s">
        <v>800</v>
      </c>
      <c r="AA142" s="152">
        <f t="shared" si="4"/>
        <v>0</v>
      </c>
      <c r="AB142" s="152">
        <f t="shared" si="5"/>
        <v>0</v>
      </c>
      <c r="AC142" s="74"/>
      <c r="AD142" s="74"/>
      <c r="AE142" s="157"/>
      <c r="AF142" s="157"/>
      <c r="AG142" s="157"/>
      <c r="AH142" s="141"/>
    </row>
    <row r="143" spans="1:34" ht="18.75" customHeight="1">
      <c r="A143" s="120" t="s">
        <v>868</v>
      </c>
      <c r="B143" s="121">
        <v>6000026698</v>
      </c>
      <c r="C143" s="2" t="s">
        <v>1544</v>
      </c>
      <c r="D143" s="122">
        <v>6000026698</v>
      </c>
      <c r="E143" s="74">
        <v>20</v>
      </c>
      <c r="F143" s="74">
        <v>100</v>
      </c>
      <c r="G143" s="45">
        <f t="shared" si="6"/>
        <v>2000</v>
      </c>
      <c r="H143" s="119" t="s">
        <v>27</v>
      </c>
      <c r="I143" s="128">
        <v>45250</v>
      </c>
      <c r="J143" s="158">
        <v>100</v>
      </c>
      <c r="K143" s="74">
        <v>3</v>
      </c>
      <c r="L143" s="156">
        <v>45251</v>
      </c>
      <c r="M143" s="45">
        <v>2000</v>
      </c>
      <c r="N143" s="45">
        <v>50</v>
      </c>
      <c r="O143" s="45" t="s">
        <v>1613</v>
      </c>
      <c r="P143" s="74" t="s">
        <v>28</v>
      </c>
      <c r="Q143" s="74">
        <v>8500063982</v>
      </c>
      <c r="R143" s="74">
        <v>5001240871</v>
      </c>
      <c r="S143" s="158">
        <v>100</v>
      </c>
      <c r="T143" s="45" t="s">
        <v>655</v>
      </c>
      <c r="U143" s="45">
        <v>8500063980</v>
      </c>
      <c r="V143" s="45">
        <v>5001244803</v>
      </c>
      <c r="W143" s="151" t="s">
        <v>2281</v>
      </c>
      <c r="X143" s="152">
        <v>100</v>
      </c>
      <c r="Y143" s="152">
        <v>2000</v>
      </c>
      <c r="Z143" s="152" t="s">
        <v>1502</v>
      </c>
      <c r="AA143" s="152">
        <f t="shared" si="4"/>
        <v>0</v>
      </c>
      <c r="AB143" s="152">
        <f t="shared" si="5"/>
        <v>0</v>
      </c>
      <c r="AC143" s="74"/>
      <c r="AD143" s="74"/>
      <c r="AE143" s="157"/>
      <c r="AF143" s="157"/>
      <c r="AG143" s="157"/>
      <c r="AH143" s="141"/>
    </row>
    <row r="144" spans="1:34" ht="18.75" customHeight="1">
      <c r="A144" s="120" t="s">
        <v>868</v>
      </c>
      <c r="B144" s="121">
        <v>6000026698</v>
      </c>
      <c r="C144" s="2" t="s">
        <v>869</v>
      </c>
      <c r="D144" s="122">
        <v>6000026698</v>
      </c>
      <c r="E144" s="74">
        <v>20</v>
      </c>
      <c r="F144" s="74">
        <v>50</v>
      </c>
      <c r="G144" s="45">
        <f t="shared" si="6"/>
        <v>1000</v>
      </c>
      <c r="H144" s="119" t="s">
        <v>243</v>
      </c>
      <c r="I144" s="128">
        <v>45250</v>
      </c>
      <c r="J144" s="74">
        <v>50</v>
      </c>
      <c r="K144" s="74">
        <v>2</v>
      </c>
      <c r="L144" s="156">
        <v>45248</v>
      </c>
      <c r="M144" s="45">
        <v>1000</v>
      </c>
      <c r="N144" s="45">
        <v>20</v>
      </c>
      <c r="O144" s="45" t="s">
        <v>1902</v>
      </c>
      <c r="P144" s="74" t="s">
        <v>28</v>
      </c>
      <c r="Q144" s="74">
        <v>8500063984</v>
      </c>
      <c r="R144" s="74">
        <v>5001240865</v>
      </c>
      <c r="S144" s="74">
        <v>50</v>
      </c>
      <c r="T144" s="45" t="s">
        <v>655</v>
      </c>
      <c r="U144" s="45">
        <v>8500063983</v>
      </c>
      <c r="V144" s="45">
        <v>5001232524</v>
      </c>
      <c r="W144" s="127">
        <v>45274</v>
      </c>
      <c r="X144" s="152">
        <v>50</v>
      </c>
      <c r="Y144" s="152">
        <v>1000</v>
      </c>
      <c r="Z144" s="152" t="s">
        <v>800</v>
      </c>
      <c r="AA144" s="152">
        <f t="shared" ref="AA144:AA199" si="7">J144-X144</f>
        <v>0</v>
      </c>
      <c r="AB144" s="152">
        <f t="shared" ref="AB144:AB199" si="8">M144-Y144</f>
        <v>0</v>
      </c>
      <c r="AC144" s="74"/>
      <c r="AD144" s="74"/>
      <c r="AE144" s="157"/>
      <c r="AF144" s="157"/>
      <c r="AG144" s="157"/>
      <c r="AH144" s="141"/>
    </row>
    <row r="145" spans="1:34" ht="18.75" customHeight="1">
      <c r="A145" s="120"/>
      <c r="B145" s="121"/>
      <c r="C145" s="2"/>
      <c r="D145" s="122"/>
      <c r="E145" s="74">
        <v>20</v>
      </c>
      <c r="F145" s="74">
        <v>500</v>
      </c>
      <c r="G145" s="45">
        <f t="shared" si="6"/>
        <v>10000</v>
      </c>
      <c r="H145" s="119" t="s">
        <v>27</v>
      </c>
      <c r="I145" s="128">
        <v>45250</v>
      </c>
      <c r="J145" s="74">
        <v>500</v>
      </c>
      <c r="K145" s="74">
        <v>7</v>
      </c>
      <c r="L145" s="156">
        <v>45250</v>
      </c>
      <c r="M145" s="45">
        <v>10000</v>
      </c>
      <c r="N145" s="45">
        <v>64</v>
      </c>
      <c r="O145" s="45" t="s">
        <v>1754</v>
      </c>
      <c r="P145" s="74" t="s">
        <v>28</v>
      </c>
      <c r="Q145" s="74">
        <v>8500063984</v>
      </c>
      <c r="R145" s="74">
        <v>5001240865</v>
      </c>
      <c r="S145" s="74">
        <v>500</v>
      </c>
      <c r="T145" s="45" t="s">
        <v>655</v>
      </c>
      <c r="U145" s="45">
        <v>8500063983</v>
      </c>
      <c r="V145" s="45">
        <v>5001240935</v>
      </c>
      <c r="W145" s="127" t="s">
        <v>2294</v>
      </c>
      <c r="X145" s="152">
        <f>173+327</f>
        <v>500</v>
      </c>
      <c r="Y145" s="152">
        <f>3460+6540</f>
        <v>10000</v>
      </c>
      <c r="Z145" s="152" t="s">
        <v>1785</v>
      </c>
      <c r="AA145" s="152">
        <f t="shared" si="7"/>
        <v>0</v>
      </c>
      <c r="AB145" s="152">
        <f t="shared" si="8"/>
        <v>0</v>
      </c>
      <c r="AC145" s="74"/>
      <c r="AD145" s="74"/>
      <c r="AE145" s="157"/>
      <c r="AF145" s="157"/>
      <c r="AG145" s="157"/>
      <c r="AH145" s="141"/>
    </row>
    <row r="146" spans="1:34" ht="18.75" customHeight="1">
      <c r="A146" s="120"/>
      <c r="B146" s="121"/>
      <c r="C146" s="2"/>
      <c r="D146" s="122"/>
      <c r="E146" s="74">
        <v>20</v>
      </c>
      <c r="F146" s="74">
        <v>100</v>
      </c>
      <c r="G146" s="45">
        <f t="shared" si="6"/>
        <v>2000</v>
      </c>
      <c r="H146" s="119" t="s">
        <v>46</v>
      </c>
      <c r="I146" s="128">
        <v>45248</v>
      </c>
      <c r="J146" s="74">
        <v>100</v>
      </c>
      <c r="K146" s="74">
        <v>4</v>
      </c>
      <c r="L146" s="156">
        <v>45248</v>
      </c>
      <c r="M146" s="45">
        <v>2000</v>
      </c>
      <c r="N146" s="45">
        <v>50</v>
      </c>
      <c r="O146" s="45" t="s">
        <v>1902</v>
      </c>
      <c r="P146" s="74" t="s">
        <v>28</v>
      </c>
      <c r="Q146" s="74">
        <v>8500063984</v>
      </c>
      <c r="R146" s="74">
        <v>5001239471</v>
      </c>
      <c r="S146" s="74">
        <v>100</v>
      </c>
      <c r="T146" s="45" t="s">
        <v>655</v>
      </c>
      <c r="U146" s="45">
        <v>8500063983</v>
      </c>
      <c r="V146" s="45">
        <v>5001232524</v>
      </c>
      <c r="W146" s="127">
        <v>45274</v>
      </c>
      <c r="X146" s="152">
        <v>100</v>
      </c>
      <c r="Y146" s="152">
        <v>2000</v>
      </c>
      <c r="Z146" s="152" t="s">
        <v>800</v>
      </c>
      <c r="AA146" s="152">
        <f t="shared" si="7"/>
        <v>0</v>
      </c>
      <c r="AB146" s="152">
        <f t="shared" si="8"/>
        <v>0</v>
      </c>
      <c r="AC146" s="74"/>
      <c r="AD146" s="74"/>
      <c r="AE146" s="157"/>
      <c r="AF146" s="157"/>
      <c r="AG146" s="157"/>
      <c r="AH146" s="141"/>
    </row>
    <row r="147" spans="1:34" ht="18.75" customHeight="1">
      <c r="A147" s="120"/>
      <c r="B147" s="121"/>
      <c r="C147" s="2"/>
      <c r="D147" s="122"/>
      <c r="E147" s="74">
        <v>20</v>
      </c>
      <c r="F147" s="74">
        <v>350</v>
      </c>
      <c r="G147" s="45">
        <f t="shared" si="6"/>
        <v>7000</v>
      </c>
      <c r="H147" s="119" t="s">
        <v>37</v>
      </c>
      <c r="I147" s="128">
        <v>48536</v>
      </c>
      <c r="J147" s="74">
        <v>350</v>
      </c>
      <c r="K147" s="74">
        <v>5</v>
      </c>
      <c r="L147" s="156">
        <v>45248</v>
      </c>
      <c r="M147" s="45">
        <v>7000</v>
      </c>
      <c r="N147" s="45">
        <v>100</v>
      </c>
      <c r="O147" s="45" t="s">
        <v>1754</v>
      </c>
      <c r="P147" s="74" t="s">
        <v>28</v>
      </c>
      <c r="Q147" s="74">
        <v>8500063984</v>
      </c>
      <c r="R147" s="74">
        <v>5001239471</v>
      </c>
      <c r="S147" s="74">
        <v>350</v>
      </c>
      <c r="T147" s="45" t="s">
        <v>655</v>
      </c>
      <c r="U147" s="45">
        <v>8500063983</v>
      </c>
      <c r="V147" s="45">
        <v>5001240935</v>
      </c>
      <c r="W147" s="127">
        <v>45276</v>
      </c>
      <c r="X147" s="152">
        <v>350</v>
      </c>
      <c r="Y147" s="152">
        <v>7000</v>
      </c>
      <c r="Z147" s="152" t="s">
        <v>800</v>
      </c>
      <c r="AA147" s="152">
        <f t="shared" si="7"/>
        <v>0</v>
      </c>
      <c r="AB147" s="152">
        <f t="shared" si="8"/>
        <v>0</v>
      </c>
      <c r="AC147" s="74"/>
      <c r="AD147" s="74"/>
      <c r="AE147" s="157"/>
      <c r="AF147" s="157"/>
      <c r="AG147" s="157"/>
      <c r="AH147" s="141"/>
    </row>
    <row r="148" spans="1:34" ht="18.75" customHeight="1">
      <c r="A148" s="120" t="s">
        <v>868</v>
      </c>
      <c r="B148" s="121">
        <v>6000026698</v>
      </c>
      <c r="C148" s="2" t="s">
        <v>1545</v>
      </c>
      <c r="D148" s="122">
        <v>6000026698</v>
      </c>
      <c r="E148" s="74">
        <v>20</v>
      </c>
      <c r="F148" s="74">
        <v>50</v>
      </c>
      <c r="G148" s="45">
        <f t="shared" si="6"/>
        <v>1000</v>
      </c>
      <c r="H148" s="119" t="s">
        <v>27</v>
      </c>
      <c r="I148" s="128">
        <v>45250</v>
      </c>
      <c r="J148" s="74">
        <v>50</v>
      </c>
      <c r="K148" s="74">
        <v>1</v>
      </c>
      <c r="L148" s="156">
        <v>45250</v>
      </c>
      <c r="M148" s="45">
        <v>1000</v>
      </c>
      <c r="N148" s="45">
        <v>20</v>
      </c>
      <c r="O148" s="45" t="s">
        <v>790</v>
      </c>
      <c r="P148" s="74" t="s">
        <v>28</v>
      </c>
      <c r="Q148" s="74">
        <v>8500063986</v>
      </c>
      <c r="R148" s="74">
        <v>5001240870</v>
      </c>
      <c r="S148" s="74">
        <v>50</v>
      </c>
      <c r="T148" s="45" t="s">
        <v>655</v>
      </c>
      <c r="U148" s="45">
        <v>8500063985</v>
      </c>
      <c r="V148" s="45">
        <v>5001240938</v>
      </c>
      <c r="W148" s="127">
        <v>45286</v>
      </c>
      <c r="X148" s="152">
        <v>50</v>
      </c>
      <c r="Y148" s="152">
        <v>1000</v>
      </c>
      <c r="Z148" s="152" t="s">
        <v>800</v>
      </c>
      <c r="AA148" s="152">
        <f t="shared" si="7"/>
        <v>0</v>
      </c>
      <c r="AB148" s="152">
        <f t="shared" si="8"/>
        <v>0</v>
      </c>
      <c r="AC148" s="74"/>
      <c r="AD148" s="74"/>
      <c r="AE148" s="157"/>
      <c r="AF148" s="157"/>
      <c r="AG148" s="157"/>
      <c r="AH148" s="141"/>
    </row>
    <row r="149" spans="1:34" ht="16.5" customHeight="1">
      <c r="A149" s="120"/>
      <c r="B149" s="121"/>
      <c r="C149" s="2"/>
      <c r="D149" s="122"/>
      <c r="E149" s="74">
        <v>20</v>
      </c>
      <c r="F149" s="74">
        <v>400</v>
      </c>
      <c r="G149" s="45">
        <f t="shared" si="6"/>
        <v>8000</v>
      </c>
      <c r="H149" s="119" t="s">
        <v>46</v>
      </c>
      <c r="I149" s="128">
        <v>45250</v>
      </c>
      <c r="J149" s="74">
        <v>400</v>
      </c>
      <c r="K149" s="74">
        <v>5</v>
      </c>
      <c r="L149" s="156">
        <v>45250</v>
      </c>
      <c r="M149" s="45">
        <v>8000</v>
      </c>
      <c r="N149" s="45">
        <v>100</v>
      </c>
      <c r="O149" s="45" t="s">
        <v>862</v>
      </c>
      <c r="P149" s="74" t="s">
        <v>28</v>
      </c>
      <c r="Q149" s="74">
        <v>8500063986</v>
      </c>
      <c r="R149" s="74">
        <v>5001240870</v>
      </c>
      <c r="S149" s="74">
        <v>400</v>
      </c>
      <c r="T149" s="45" t="s">
        <v>655</v>
      </c>
      <c r="U149" s="45">
        <v>8500063985</v>
      </c>
      <c r="V149" s="45">
        <v>5001240938</v>
      </c>
      <c r="W149" s="127">
        <v>45258</v>
      </c>
      <c r="X149" s="152">
        <v>400</v>
      </c>
      <c r="Y149" s="152">
        <v>8000</v>
      </c>
      <c r="Z149" s="152" t="s">
        <v>800</v>
      </c>
      <c r="AA149" s="152">
        <f t="shared" si="7"/>
        <v>0</v>
      </c>
      <c r="AB149" s="152">
        <f t="shared" si="8"/>
        <v>0</v>
      </c>
      <c r="AC149" s="74"/>
      <c r="AD149" s="74"/>
      <c r="AE149" s="157"/>
      <c r="AF149" s="157"/>
      <c r="AG149" s="157"/>
      <c r="AH149" s="141"/>
    </row>
    <row r="150" spans="1:34" ht="18.75" customHeight="1">
      <c r="A150" s="120" t="s">
        <v>868</v>
      </c>
      <c r="B150" s="121">
        <v>6000026773</v>
      </c>
      <c r="C150" s="2" t="s">
        <v>1544</v>
      </c>
      <c r="D150" s="122">
        <v>6000026773</v>
      </c>
      <c r="E150" s="74">
        <v>20</v>
      </c>
      <c r="F150" s="74">
        <v>100</v>
      </c>
      <c r="G150" s="45">
        <f t="shared" si="6"/>
        <v>2000</v>
      </c>
      <c r="H150" s="119" t="s">
        <v>27</v>
      </c>
      <c r="I150" s="128">
        <v>45257</v>
      </c>
      <c r="J150" s="158">
        <v>100</v>
      </c>
      <c r="K150" s="74">
        <v>2</v>
      </c>
      <c r="L150" s="156">
        <v>45258</v>
      </c>
      <c r="M150" s="45">
        <v>2000</v>
      </c>
      <c r="N150" s="45">
        <v>50</v>
      </c>
      <c r="O150" s="45" t="s">
        <v>2107</v>
      </c>
      <c r="P150" s="74" t="s">
        <v>28</v>
      </c>
      <c r="Q150" s="74">
        <v>8500064289</v>
      </c>
      <c r="R150" s="74">
        <v>5001271099</v>
      </c>
      <c r="S150" s="158">
        <v>100</v>
      </c>
      <c r="T150" s="45" t="s">
        <v>655</v>
      </c>
      <c r="U150" s="45">
        <v>8500064288</v>
      </c>
      <c r="V150" s="45">
        <v>5001271720</v>
      </c>
      <c r="W150" s="127">
        <v>45285</v>
      </c>
      <c r="X150" s="152">
        <v>100</v>
      </c>
      <c r="Y150" s="152">
        <v>2000</v>
      </c>
      <c r="Z150" s="152" t="s">
        <v>1502</v>
      </c>
      <c r="AA150" s="152">
        <f t="shared" si="7"/>
        <v>0</v>
      </c>
      <c r="AB150" s="152">
        <f t="shared" si="8"/>
        <v>0</v>
      </c>
      <c r="AC150" s="74"/>
      <c r="AD150" s="74"/>
      <c r="AE150" s="157"/>
      <c r="AF150" s="157"/>
      <c r="AG150" s="157"/>
      <c r="AH150" s="141"/>
    </row>
    <row r="151" spans="1:34" ht="18.75" customHeight="1">
      <c r="A151" s="120"/>
      <c r="B151" s="121"/>
      <c r="C151" s="2"/>
      <c r="D151" s="122"/>
      <c r="E151" s="74">
        <v>20</v>
      </c>
      <c r="F151" s="74">
        <v>100</v>
      </c>
      <c r="G151" s="45">
        <f t="shared" si="6"/>
        <v>2000</v>
      </c>
      <c r="H151" s="119" t="s">
        <v>46</v>
      </c>
      <c r="I151" s="128">
        <v>45257</v>
      </c>
      <c r="J151" s="158">
        <v>100</v>
      </c>
      <c r="K151" s="74">
        <v>2</v>
      </c>
      <c r="L151" s="156">
        <v>45258</v>
      </c>
      <c r="M151" s="45">
        <v>2000</v>
      </c>
      <c r="N151" s="45">
        <v>50</v>
      </c>
      <c r="O151" s="45" t="s">
        <v>1548</v>
      </c>
      <c r="P151" s="74" t="s">
        <v>28</v>
      </c>
      <c r="Q151" s="74">
        <v>8500064289</v>
      </c>
      <c r="R151" s="74">
        <v>5001271099</v>
      </c>
      <c r="S151" s="158">
        <v>100</v>
      </c>
      <c r="T151" s="45" t="s">
        <v>655</v>
      </c>
      <c r="U151" s="45">
        <v>8500064288</v>
      </c>
      <c r="V151" s="45">
        <v>5001271720</v>
      </c>
      <c r="W151" s="127">
        <v>45286</v>
      </c>
      <c r="X151" s="152">
        <v>100</v>
      </c>
      <c r="Y151" s="152">
        <v>2000</v>
      </c>
      <c r="Z151" s="152" t="s">
        <v>197</v>
      </c>
      <c r="AA151" s="152">
        <f t="shared" si="7"/>
        <v>0</v>
      </c>
      <c r="AB151" s="152">
        <f t="shared" si="8"/>
        <v>0</v>
      </c>
      <c r="AC151" s="74"/>
      <c r="AD151" s="74"/>
      <c r="AE151" s="157"/>
      <c r="AF151" s="157"/>
      <c r="AG151" s="157"/>
      <c r="AH151" s="141"/>
    </row>
    <row r="152" spans="1:34" ht="18.75" customHeight="1">
      <c r="A152" s="120"/>
      <c r="B152" s="121"/>
      <c r="C152" s="2"/>
      <c r="D152" s="122"/>
      <c r="E152" s="74">
        <v>20</v>
      </c>
      <c r="F152" s="74">
        <v>300</v>
      </c>
      <c r="G152" s="45">
        <f t="shared" si="6"/>
        <v>6000</v>
      </c>
      <c r="H152" s="119" t="s">
        <v>37</v>
      </c>
      <c r="I152" s="128">
        <v>45257</v>
      </c>
      <c r="J152" s="158">
        <v>300</v>
      </c>
      <c r="K152" s="74">
        <v>4</v>
      </c>
      <c r="L152" s="156">
        <v>45258</v>
      </c>
      <c r="M152" s="45">
        <v>6000</v>
      </c>
      <c r="N152" s="45">
        <v>36</v>
      </c>
      <c r="O152" s="45" t="s">
        <v>2107</v>
      </c>
      <c r="P152" s="74" t="s">
        <v>28</v>
      </c>
      <c r="Q152" s="74">
        <v>8500064289</v>
      </c>
      <c r="R152" s="74">
        <v>5001271099</v>
      </c>
      <c r="S152" s="158">
        <v>300</v>
      </c>
      <c r="T152" s="45" t="s">
        <v>655</v>
      </c>
      <c r="U152" s="45">
        <v>8500064288</v>
      </c>
      <c r="V152" s="45">
        <v>5001271720</v>
      </c>
      <c r="W152" s="127">
        <v>45274</v>
      </c>
      <c r="X152" s="152">
        <v>300</v>
      </c>
      <c r="Y152" s="152">
        <v>6000</v>
      </c>
      <c r="Z152" s="152" t="s">
        <v>927</v>
      </c>
      <c r="AA152" s="152">
        <f t="shared" si="7"/>
        <v>0</v>
      </c>
      <c r="AB152" s="152">
        <f t="shared" si="8"/>
        <v>0</v>
      </c>
      <c r="AC152" s="74"/>
      <c r="AD152" s="74"/>
      <c r="AE152" s="157"/>
      <c r="AF152" s="157"/>
      <c r="AG152" s="157"/>
      <c r="AH152" s="141"/>
    </row>
    <row r="153" spans="1:34" ht="18.75" customHeight="1">
      <c r="A153" s="120" t="s">
        <v>868</v>
      </c>
      <c r="B153" s="121">
        <v>6000026773</v>
      </c>
      <c r="C153" s="2" t="s">
        <v>1545</v>
      </c>
      <c r="D153" s="122">
        <v>6000026773</v>
      </c>
      <c r="E153" s="74">
        <v>20</v>
      </c>
      <c r="F153" s="218">
        <v>400</v>
      </c>
      <c r="G153" s="219">
        <f t="shared" si="6"/>
        <v>8000</v>
      </c>
      <c r="H153" s="227" t="s">
        <v>27</v>
      </c>
      <c r="I153" s="128"/>
      <c r="J153" s="158"/>
      <c r="K153" s="74">
        <v>2</v>
      </c>
      <c r="L153" s="156"/>
      <c r="M153" s="45"/>
      <c r="N153" s="45">
        <v>100</v>
      </c>
      <c r="O153" s="45"/>
      <c r="P153" s="74"/>
      <c r="Q153" s="74"/>
      <c r="R153" s="74"/>
      <c r="S153" s="74"/>
      <c r="T153" s="45" t="s">
        <v>895</v>
      </c>
      <c r="U153" s="45">
        <v>8500064290</v>
      </c>
      <c r="V153" s="45">
        <v>5001372400</v>
      </c>
      <c r="W153" s="151"/>
      <c r="X153" s="152"/>
      <c r="Y153" s="152"/>
      <c r="Z153" s="152" t="s">
        <v>2112</v>
      </c>
      <c r="AA153" s="152">
        <f t="shared" si="7"/>
        <v>0</v>
      </c>
      <c r="AB153" s="152">
        <f t="shared" si="8"/>
        <v>0</v>
      </c>
      <c r="AC153" s="74"/>
      <c r="AD153" s="74"/>
      <c r="AE153" s="157"/>
      <c r="AF153" s="157"/>
      <c r="AG153" s="157"/>
      <c r="AH153" s="141"/>
    </row>
    <row r="154" spans="1:34" ht="18.75" customHeight="1">
      <c r="A154" s="45"/>
      <c r="B154" s="121"/>
      <c r="C154" s="74"/>
      <c r="D154" s="80"/>
      <c r="E154" s="74">
        <v>20</v>
      </c>
      <c r="F154" s="74">
        <v>250</v>
      </c>
      <c r="G154" s="45">
        <f t="shared" si="6"/>
        <v>5000</v>
      </c>
      <c r="H154" s="119" t="s">
        <v>46</v>
      </c>
      <c r="I154" s="128">
        <v>45257</v>
      </c>
      <c r="J154" s="158">
        <v>250</v>
      </c>
      <c r="K154" s="74">
        <v>3</v>
      </c>
      <c r="L154" s="156">
        <v>45258</v>
      </c>
      <c r="M154" s="45">
        <f>1900+3100</f>
        <v>5000</v>
      </c>
      <c r="N154" s="45">
        <v>50</v>
      </c>
      <c r="O154" s="45" t="s">
        <v>1548</v>
      </c>
      <c r="P154" s="74" t="s">
        <v>28</v>
      </c>
      <c r="Q154" s="74">
        <v>8500064291</v>
      </c>
      <c r="R154" s="74">
        <v>5001271280</v>
      </c>
      <c r="S154" s="158">
        <v>250</v>
      </c>
      <c r="T154" s="45" t="s">
        <v>655</v>
      </c>
      <c r="U154" s="45">
        <v>8500064290</v>
      </c>
      <c r="V154" s="45">
        <v>5001271618</v>
      </c>
      <c r="W154" s="127">
        <v>45269</v>
      </c>
      <c r="X154" s="152">
        <v>250</v>
      </c>
      <c r="Y154" s="152">
        <v>5000</v>
      </c>
      <c r="Z154" s="152" t="s">
        <v>800</v>
      </c>
      <c r="AA154" s="152">
        <f t="shared" si="7"/>
        <v>0</v>
      </c>
      <c r="AB154" s="152">
        <f t="shared" si="8"/>
        <v>0</v>
      </c>
      <c r="AC154" s="74"/>
      <c r="AD154" s="74"/>
      <c r="AE154" s="157"/>
      <c r="AF154" s="157"/>
      <c r="AG154" s="157"/>
      <c r="AH154" s="141"/>
    </row>
    <row r="155" spans="1:34" ht="18.75" customHeight="1">
      <c r="A155" s="45"/>
      <c r="B155" s="121"/>
      <c r="C155" s="136"/>
      <c r="D155" s="135"/>
      <c r="E155" s="74">
        <v>20</v>
      </c>
      <c r="F155" s="74">
        <v>400</v>
      </c>
      <c r="G155" s="45">
        <f t="shared" si="6"/>
        <v>8000</v>
      </c>
      <c r="H155" s="119" t="s">
        <v>37</v>
      </c>
      <c r="I155" s="128">
        <v>45257</v>
      </c>
      <c r="J155" s="158">
        <v>400</v>
      </c>
      <c r="K155" s="74">
        <v>6</v>
      </c>
      <c r="L155" s="156">
        <v>45258</v>
      </c>
      <c r="M155" s="45">
        <f>6000+2000</f>
        <v>8000</v>
      </c>
      <c r="N155" s="45">
        <v>100</v>
      </c>
      <c r="O155" s="45" t="s">
        <v>1846</v>
      </c>
      <c r="P155" s="74" t="s">
        <v>28</v>
      </c>
      <c r="Q155" s="74">
        <v>8500064291</v>
      </c>
      <c r="R155" s="74">
        <v>5001271280</v>
      </c>
      <c r="S155" s="158">
        <v>400</v>
      </c>
      <c r="T155" s="45" t="s">
        <v>655</v>
      </c>
      <c r="U155" s="45">
        <v>8500064290</v>
      </c>
      <c r="V155" s="45">
        <v>5001271618</v>
      </c>
      <c r="W155" s="127">
        <v>45278</v>
      </c>
      <c r="X155" s="152">
        <v>400</v>
      </c>
      <c r="Y155" s="152">
        <v>8000</v>
      </c>
      <c r="Z155" s="152" t="s">
        <v>800</v>
      </c>
      <c r="AA155" s="152">
        <f t="shared" si="7"/>
        <v>0</v>
      </c>
      <c r="AB155" s="152">
        <f t="shared" si="8"/>
        <v>0</v>
      </c>
      <c r="AC155" s="485"/>
      <c r="AD155" s="74"/>
      <c r="AE155" s="157"/>
      <c r="AF155" s="157"/>
      <c r="AG155" s="157"/>
      <c r="AH155" s="141"/>
    </row>
    <row r="156" spans="1:34" ht="18.75" customHeight="1">
      <c r="A156" s="120" t="s">
        <v>1670</v>
      </c>
      <c r="B156" s="121">
        <v>6000026817</v>
      </c>
      <c r="C156" s="2" t="s">
        <v>1672</v>
      </c>
      <c r="D156" s="122">
        <v>1069130</v>
      </c>
      <c r="E156" s="74">
        <v>10</v>
      </c>
      <c r="F156" s="74">
        <v>100</v>
      </c>
      <c r="G156" s="45">
        <f t="shared" si="6"/>
        <v>1000</v>
      </c>
      <c r="H156" s="119" t="s">
        <v>27</v>
      </c>
      <c r="I156" s="128">
        <v>45261</v>
      </c>
      <c r="J156" s="74">
        <v>100</v>
      </c>
      <c r="K156" s="74">
        <v>2</v>
      </c>
      <c r="L156" s="156">
        <v>45259</v>
      </c>
      <c r="M156" s="45">
        <v>1000</v>
      </c>
      <c r="N156" s="45">
        <v>10</v>
      </c>
      <c r="O156" s="45" t="s">
        <v>1614</v>
      </c>
      <c r="P156" s="74" t="s">
        <v>28</v>
      </c>
      <c r="Q156" s="74">
        <v>8500064448</v>
      </c>
      <c r="R156" s="74">
        <v>5001283846</v>
      </c>
      <c r="S156" s="74">
        <v>100</v>
      </c>
      <c r="T156" s="45" t="s">
        <v>1558</v>
      </c>
      <c r="U156" s="45">
        <v>8500064447</v>
      </c>
      <c r="V156" s="45">
        <v>5001276426</v>
      </c>
      <c r="W156" s="127">
        <v>45279</v>
      </c>
      <c r="X156" s="152">
        <v>100</v>
      </c>
      <c r="Y156" s="152">
        <v>1000</v>
      </c>
      <c r="Z156" s="152" t="s">
        <v>2238</v>
      </c>
      <c r="AA156" s="152">
        <f t="shared" si="7"/>
        <v>0</v>
      </c>
      <c r="AB156" s="152">
        <f t="shared" si="8"/>
        <v>0</v>
      </c>
      <c r="AC156" s="487"/>
      <c r="AD156" s="74"/>
      <c r="AE156" s="157"/>
      <c r="AF156" s="157"/>
      <c r="AG156" s="157"/>
      <c r="AH156" s="141"/>
    </row>
    <row r="157" spans="1:34" ht="18.75" customHeight="1">
      <c r="A157" s="120"/>
      <c r="B157" s="121"/>
      <c r="C157" s="2"/>
      <c r="D157" s="122"/>
      <c r="E157" s="74">
        <v>10</v>
      </c>
      <c r="F157" s="74">
        <v>100</v>
      </c>
      <c r="G157" s="45">
        <f t="shared" si="6"/>
        <v>1000</v>
      </c>
      <c r="H157" s="119" t="s">
        <v>46</v>
      </c>
      <c r="I157" s="128">
        <v>45261</v>
      </c>
      <c r="J157" s="74">
        <v>100</v>
      </c>
      <c r="K157" s="74">
        <v>2</v>
      </c>
      <c r="L157" s="156">
        <v>45259</v>
      </c>
      <c r="M157" s="45">
        <v>1000</v>
      </c>
      <c r="N157" s="45">
        <v>10</v>
      </c>
      <c r="O157" s="45" t="s">
        <v>1614</v>
      </c>
      <c r="P157" s="74" t="s">
        <v>28</v>
      </c>
      <c r="Q157" s="74">
        <v>8500064448</v>
      </c>
      <c r="R157" s="74">
        <v>5001283846</v>
      </c>
      <c r="S157" s="74">
        <v>100</v>
      </c>
      <c r="T157" s="45" t="s">
        <v>1558</v>
      </c>
      <c r="U157" s="45">
        <v>8500064447</v>
      </c>
      <c r="V157" s="45">
        <v>5001276426</v>
      </c>
      <c r="W157" s="127">
        <v>45286</v>
      </c>
      <c r="X157" s="152">
        <v>100</v>
      </c>
      <c r="Y157" s="152">
        <v>1000</v>
      </c>
      <c r="Z157" s="152" t="s">
        <v>800</v>
      </c>
      <c r="AA157" s="152">
        <f t="shared" si="7"/>
        <v>0</v>
      </c>
      <c r="AB157" s="152">
        <f t="shared" si="8"/>
        <v>0</v>
      </c>
      <c r="AC157" s="74"/>
      <c r="AD157" s="74"/>
      <c r="AE157" s="157"/>
      <c r="AF157" s="157"/>
      <c r="AG157" s="157"/>
      <c r="AH157" s="141"/>
    </row>
    <row r="158" spans="1:34" ht="22.5" customHeight="1">
      <c r="A158" s="120"/>
      <c r="B158" s="121"/>
      <c r="C158" s="2"/>
      <c r="D158" s="122"/>
      <c r="E158" s="74">
        <v>10</v>
      </c>
      <c r="F158" s="74">
        <v>400</v>
      </c>
      <c r="G158" s="45">
        <f t="shared" si="6"/>
        <v>4000</v>
      </c>
      <c r="H158" s="119" t="s">
        <v>37</v>
      </c>
      <c r="I158" s="128">
        <v>45261</v>
      </c>
      <c r="J158" s="74">
        <v>400</v>
      </c>
      <c r="K158" s="74">
        <v>7</v>
      </c>
      <c r="L158" s="156">
        <v>45259</v>
      </c>
      <c r="M158" s="45">
        <v>4000</v>
      </c>
      <c r="N158" s="45">
        <v>40</v>
      </c>
      <c r="O158" s="45" t="s">
        <v>1387</v>
      </c>
      <c r="P158" s="74" t="s">
        <v>28</v>
      </c>
      <c r="Q158" s="74">
        <v>8500064448</v>
      </c>
      <c r="R158" s="74">
        <v>5001283846</v>
      </c>
      <c r="S158" s="74">
        <v>400</v>
      </c>
      <c r="T158" s="45" t="s">
        <v>1558</v>
      </c>
      <c r="U158" s="45">
        <v>8500064447</v>
      </c>
      <c r="V158" s="45">
        <v>5001276426</v>
      </c>
      <c r="W158" s="127">
        <v>45285</v>
      </c>
      <c r="X158" s="152">
        <v>400</v>
      </c>
      <c r="Y158" s="152">
        <v>4000</v>
      </c>
      <c r="Z158" s="152" t="s">
        <v>2238</v>
      </c>
      <c r="AA158" s="152">
        <f t="shared" si="7"/>
        <v>0</v>
      </c>
      <c r="AB158" s="152">
        <f t="shared" si="8"/>
        <v>0</v>
      </c>
      <c r="AC158" s="499" t="s">
        <v>2289</v>
      </c>
      <c r="AD158" s="74"/>
      <c r="AE158" s="157"/>
      <c r="AF158" s="157"/>
      <c r="AG158" s="157"/>
      <c r="AH158" s="141"/>
    </row>
    <row r="159" spans="1:34" ht="22.5" customHeight="1">
      <c r="A159" s="120"/>
      <c r="B159" s="121"/>
      <c r="C159" s="2"/>
      <c r="D159" s="122"/>
      <c r="E159" s="74">
        <v>10</v>
      </c>
      <c r="F159" s="74">
        <v>300</v>
      </c>
      <c r="G159" s="45">
        <f t="shared" si="6"/>
        <v>3000</v>
      </c>
      <c r="H159" s="119" t="s">
        <v>146</v>
      </c>
      <c r="I159" s="128">
        <v>45261</v>
      </c>
      <c r="J159" s="74">
        <v>300</v>
      </c>
      <c r="K159" s="74">
        <v>6</v>
      </c>
      <c r="L159" s="156">
        <v>45259</v>
      </c>
      <c r="M159" s="45">
        <v>3000</v>
      </c>
      <c r="N159" s="45">
        <v>30</v>
      </c>
      <c r="O159" s="45" t="s">
        <v>1628</v>
      </c>
      <c r="P159" s="74" t="s">
        <v>28</v>
      </c>
      <c r="Q159" s="74">
        <v>8500064448</v>
      </c>
      <c r="R159" s="74">
        <v>5001283846</v>
      </c>
      <c r="S159" s="74">
        <v>300</v>
      </c>
      <c r="T159" s="45" t="s">
        <v>1558</v>
      </c>
      <c r="U159" s="45">
        <v>8500064447</v>
      </c>
      <c r="V159" s="45">
        <v>5001276426</v>
      </c>
      <c r="W159" s="127">
        <v>45282</v>
      </c>
      <c r="X159" s="152">
        <v>300</v>
      </c>
      <c r="Y159" s="152">
        <v>3000</v>
      </c>
      <c r="Z159" s="152" t="s">
        <v>2236</v>
      </c>
      <c r="AA159" s="152">
        <f t="shared" si="7"/>
        <v>0</v>
      </c>
      <c r="AB159" s="152">
        <f t="shared" si="8"/>
        <v>0</v>
      </c>
      <c r="AC159" s="498"/>
      <c r="AD159" s="74"/>
      <c r="AE159" s="157"/>
      <c r="AF159" s="157"/>
      <c r="AG159" s="157"/>
      <c r="AH159" s="141"/>
    </row>
    <row r="160" spans="1:34" ht="18.75" customHeight="1">
      <c r="A160" s="120" t="s">
        <v>1670</v>
      </c>
      <c r="B160" s="121">
        <v>6000026817</v>
      </c>
      <c r="C160" s="2" t="s">
        <v>1673</v>
      </c>
      <c r="D160" s="122">
        <v>1069130</v>
      </c>
      <c r="E160" s="74">
        <v>10</v>
      </c>
      <c r="F160" s="74">
        <v>100</v>
      </c>
      <c r="G160" s="45">
        <f t="shared" si="6"/>
        <v>1000</v>
      </c>
      <c r="H160" s="119" t="s">
        <v>37</v>
      </c>
      <c r="I160" s="128">
        <v>45261</v>
      </c>
      <c r="J160" s="74">
        <v>100</v>
      </c>
      <c r="K160" s="152">
        <v>0</v>
      </c>
      <c r="L160" s="156">
        <v>45259</v>
      </c>
      <c r="M160" s="45">
        <v>1000</v>
      </c>
      <c r="N160" s="45">
        <v>10</v>
      </c>
      <c r="O160" s="45" t="s">
        <v>891</v>
      </c>
      <c r="P160" s="74" t="s">
        <v>28</v>
      </c>
      <c r="Q160" s="74">
        <v>8500064450</v>
      </c>
      <c r="R160" s="74">
        <v>5001283848</v>
      </c>
      <c r="S160" s="74">
        <v>100</v>
      </c>
      <c r="T160" s="45" t="s">
        <v>1558</v>
      </c>
      <c r="U160" s="45">
        <v>8500064449</v>
      </c>
      <c r="V160" s="45">
        <v>5001276427</v>
      </c>
      <c r="W160" s="127">
        <v>45262</v>
      </c>
      <c r="X160" s="152">
        <v>100</v>
      </c>
      <c r="Y160" s="152">
        <v>1000</v>
      </c>
      <c r="Z160" s="152" t="s">
        <v>800</v>
      </c>
      <c r="AA160" s="152">
        <f t="shared" si="7"/>
        <v>0</v>
      </c>
      <c r="AB160" s="152">
        <f t="shared" si="8"/>
        <v>0</v>
      </c>
      <c r="AC160" s="74"/>
      <c r="AD160" s="74"/>
      <c r="AE160" s="157"/>
      <c r="AF160" s="157"/>
      <c r="AG160" s="157"/>
      <c r="AH160" s="141"/>
    </row>
    <row r="161" spans="1:34" ht="18.75" customHeight="1">
      <c r="A161" s="120"/>
      <c r="B161" s="121"/>
      <c r="C161" s="2"/>
      <c r="D161" s="122"/>
      <c r="E161" s="74">
        <v>10</v>
      </c>
      <c r="F161" s="74">
        <v>100</v>
      </c>
      <c r="G161" s="45">
        <f t="shared" si="6"/>
        <v>1000</v>
      </c>
      <c r="H161" s="119" t="s">
        <v>146</v>
      </c>
      <c r="I161" s="128">
        <v>45261</v>
      </c>
      <c r="J161" s="74">
        <v>100</v>
      </c>
      <c r="K161" s="74">
        <v>1</v>
      </c>
      <c r="L161" s="156">
        <v>45259</v>
      </c>
      <c r="M161" s="45">
        <v>1000</v>
      </c>
      <c r="N161" s="45">
        <v>10</v>
      </c>
      <c r="O161" s="45" t="s">
        <v>891</v>
      </c>
      <c r="P161" s="74" t="s">
        <v>28</v>
      </c>
      <c r="Q161" s="74">
        <v>8500064450</v>
      </c>
      <c r="R161" s="74">
        <v>5001283848</v>
      </c>
      <c r="S161" s="74">
        <v>100</v>
      </c>
      <c r="T161" s="45" t="s">
        <v>1558</v>
      </c>
      <c r="U161" s="45">
        <v>8500064449</v>
      </c>
      <c r="V161" s="45">
        <v>5001276427</v>
      </c>
      <c r="W161" s="127">
        <v>45262</v>
      </c>
      <c r="X161" s="152">
        <v>100</v>
      </c>
      <c r="Y161" s="152">
        <v>1000</v>
      </c>
      <c r="Z161" s="152" t="s">
        <v>800</v>
      </c>
      <c r="AA161" s="152">
        <f t="shared" si="7"/>
        <v>0</v>
      </c>
      <c r="AB161" s="152">
        <f t="shared" si="8"/>
        <v>0</v>
      </c>
      <c r="AC161" s="74"/>
      <c r="AD161" s="74"/>
      <c r="AE161" s="157"/>
      <c r="AF161" s="157"/>
      <c r="AG161" s="157"/>
      <c r="AH161" s="141"/>
    </row>
    <row r="162" spans="1:34" ht="18.75" customHeight="1">
      <c r="A162" s="120" t="s">
        <v>1670</v>
      </c>
      <c r="B162" s="121">
        <v>6000026817</v>
      </c>
      <c r="C162" s="2" t="s">
        <v>1671</v>
      </c>
      <c r="D162" s="122">
        <v>1069130</v>
      </c>
      <c r="E162" s="74">
        <v>10</v>
      </c>
      <c r="F162" s="74">
        <v>400</v>
      </c>
      <c r="G162" s="45">
        <f t="shared" si="6"/>
        <v>4000</v>
      </c>
      <c r="H162" s="119" t="s">
        <v>46</v>
      </c>
      <c r="I162" s="128">
        <v>45262</v>
      </c>
      <c r="J162" s="74">
        <v>400</v>
      </c>
      <c r="K162" s="74">
        <v>6</v>
      </c>
      <c r="L162" s="156">
        <v>45259</v>
      </c>
      <c r="M162" s="45">
        <v>4000</v>
      </c>
      <c r="N162" s="45">
        <v>40</v>
      </c>
      <c r="O162" s="45" t="s">
        <v>893</v>
      </c>
      <c r="P162" s="74" t="s">
        <v>28</v>
      </c>
      <c r="Q162" s="74">
        <v>8500064452</v>
      </c>
      <c r="R162" s="74">
        <v>5001287562</v>
      </c>
      <c r="S162" s="74">
        <v>400</v>
      </c>
      <c r="T162" s="45" t="s">
        <v>1558</v>
      </c>
      <c r="U162" s="45">
        <v>8500064451</v>
      </c>
      <c r="V162" s="45">
        <v>5001276590</v>
      </c>
      <c r="W162" s="127">
        <v>45268</v>
      </c>
      <c r="X162" s="152">
        <v>400</v>
      </c>
      <c r="Y162" s="152">
        <v>4000</v>
      </c>
      <c r="Z162" s="152" t="s">
        <v>800</v>
      </c>
      <c r="AA162" s="152">
        <f t="shared" si="7"/>
        <v>0</v>
      </c>
      <c r="AB162" s="152">
        <f t="shared" si="8"/>
        <v>0</v>
      </c>
      <c r="AC162" s="74"/>
      <c r="AD162" s="74"/>
      <c r="AE162" s="157"/>
      <c r="AF162" s="157"/>
      <c r="AG162" s="157"/>
      <c r="AH162" s="141"/>
    </row>
    <row r="163" spans="1:34" ht="18.75" customHeight="1">
      <c r="A163" s="120"/>
      <c r="B163" s="121"/>
      <c r="C163" s="2"/>
      <c r="D163" s="122"/>
      <c r="E163" s="74">
        <v>10</v>
      </c>
      <c r="F163" s="74">
        <v>1000</v>
      </c>
      <c r="G163" s="45">
        <f t="shared" si="6"/>
        <v>10000</v>
      </c>
      <c r="H163" s="119" t="s">
        <v>37</v>
      </c>
      <c r="I163" s="128">
        <v>45262</v>
      </c>
      <c r="J163" s="74">
        <v>1000</v>
      </c>
      <c r="K163" s="74">
        <v>10</v>
      </c>
      <c r="L163" s="156">
        <v>45259</v>
      </c>
      <c r="M163" s="45">
        <v>10000</v>
      </c>
      <c r="N163" s="45">
        <v>100</v>
      </c>
      <c r="O163" s="45" t="s">
        <v>1848</v>
      </c>
      <c r="P163" s="74" t="s">
        <v>28</v>
      </c>
      <c r="Q163" s="74">
        <v>8500064452</v>
      </c>
      <c r="R163" s="74">
        <v>5001287562</v>
      </c>
      <c r="S163" s="74">
        <v>1000</v>
      </c>
      <c r="T163" s="45" t="s">
        <v>1558</v>
      </c>
      <c r="U163" s="45">
        <v>8500064451</v>
      </c>
      <c r="V163" s="45">
        <v>5001276590</v>
      </c>
      <c r="W163" s="127">
        <v>45275</v>
      </c>
      <c r="X163" s="152">
        <v>1000</v>
      </c>
      <c r="Y163" s="152">
        <v>10000</v>
      </c>
      <c r="Z163" s="152" t="s">
        <v>798</v>
      </c>
      <c r="AA163" s="152">
        <f t="shared" si="7"/>
        <v>0</v>
      </c>
      <c r="AB163" s="152">
        <f t="shared" si="8"/>
        <v>0</v>
      </c>
      <c r="AC163" s="74"/>
      <c r="AD163" s="74"/>
      <c r="AE163" s="157"/>
      <c r="AF163" s="157"/>
      <c r="AG163" s="157"/>
      <c r="AH163" s="141"/>
    </row>
    <row r="164" spans="1:34" ht="18.75" customHeight="1">
      <c r="A164" s="120"/>
      <c r="B164" s="121"/>
      <c r="C164" s="2"/>
      <c r="D164" s="122"/>
      <c r="E164" s="74">
        <v>10</v>
      </c>
      <c r="F164" s="74">
        <v>400</v>
      </c>
      <c r="G164" s="45">
        <f t="shared" si="6"/>
        <v>4000</v>
      </c>
      <c r="H164" s="119" t="s">
        <v>146</v>
      </c>
      <c r="I164" s="128">
        <v>45262</v>
      </c>
      <c r="J164" s="74">
        <v>400</v>
      </c>
      <c r="K164" s="74">
        <v>4</v>
      </c>
      <c r="L164" s="156">
        <v>45259</v>
      </c>
      <c r="M164" s="45">
        <v>4000</v>
      </c>
      <c r="N164" s="45">
        <v>40</v>
      </c>
      <c r="O164" s="45" t="s">
        <v>888</v>
      </c>
      <c r="P164" s="74" t="s">
        <v>28</v>
      </c>
      <c r="Q164" s="74">
        <v>8500064452</v>
      </c>
      <c r="R164" s="74">
        <v>5001287562</v>
      </c>
      <c r="S164" s="74">
        <v>400</v>
      </c>
      <c r="T164" s="45" t="s">
        <v>1558</v>
      </c>
      <c r="U164" s="45">
        <v>8500064451</v>
      </c>
      <c r="V164" s="45">
        <v>5001276590</v>
      </c>
      <c r="W164" s="127">
        <v>45275</v>
      </c>
      <c r="X164" s="152">
        <v>400</v>
      </c>
      <c r="Y164" s="152">
        <v>4000</v>
      </c>
      <c r="Z164" s="152" t="s">
        <v>798</v>
      </c>
      <c r="AA164" s="152">
        <f t="shared" si="7"/>
        <v>0</v>
      </c>
      <c r="AB164" s="152">
        <f t="shared" si="8"/>
        <v>0</v>
      </c>
      <c r="AC164" s="74"/>
      <c r="AD164" s="74"/>
      <c r="AE164" s="157"/>
      <c r="AF164" s="157"/>
      <c r="AG164" s="157"/>
      <c r="AH164" s="141"/>
    </row>
    <row r="165" spans="1:34" ht="18.75" customHeight="1">
      <c r="A165" s="120" t="s">
        <v>1670</v>
      </c>
      <c r="B165" s="121">
        <v>6000026817</v>
      </c>
      <c r="C165" s="2" t="s">
        <v>1674</v>
      </c>
      <c r="D165" s="122">
        <v>1069130</v>
      </c>
      <c r="E165" s="74">
        <v>10</v>
      </c>
      <c r="F165" s="74">
        <v>100</v>
      </c>
      <c r="G165" s="45">
        <f t="shared" si="6"/>
        <v>1000</v>
      </c>
      <c r="H165" s="119" t="s">
        <v>46</v>
      </c>
      <c r="I165" s="128">
        <v>45261</v>
      </c>
      <c r="J165" s="74">
        <v>100</v>
      </c>
      <c r="K165" s="74">
        <v>4</v>
      </c>
      <c r="L165" s="156">
        <v>45259</v>
      </c>
      <c r="M165" s="45">
        <v>1000</v>
      </c>
      <c r="N165" s="45">
        <v>10</v>
      </c>
      <c r="O165" s="45" t="s">
        <v>1614</v>
      </c>
      <c r="P165" s="74" t="s">
        <v>28</v>
      </c>
      <c r="Q165" s="74">
        <v>8500064454</v>
      </c>
      <c r="R165" s="74">
        <v>5001283870</v>
      </c>
      <c r="S165" s="74">
        <v>100</v>
      </c>
      <c r="T165" s="45" t="s">
        <v>1558</v>
      </c>
      <c r="U165" s="45">
        <v>8500064453</v>
      </c>
      <c r="V165" s="45">
        <v>5001276595</v>
      </c>
      <c r="W165" s="127">
        <v>45286</v>
      </c>
      <c r="X165" s="152">
        <v>100</v>
      </c>
      <c r="Y165" s="152">
        <v>1000</v>
      </c>
      <c r="Z165" s="152" t="s">
        <v>800</v>
      </c>
      <c r="AA165" s="152">
        <f t="shared" si="7"/>
        <v>0</v>
      </c>
      <c r="AB165" s="152">
        <f t="shared" si="8"/>
        <v>0</v>
      </c>
      <c r="AC165" s="74"/>
      <c r="AD165" s="74"/>
      <c r="AE165" s="157"/>
      <c r="AF165" s="157"/>
      <c r="AG165" s="157"/>
      <c r="AH165" s="141"/>
    </row>
    <row r="166" spans="1:34" ht="18.75" customHeight="1">
      <c r="A166" s="120"/>
      <c r="B166" s="121"/>
      <c r="C166" s="2"/>
      <c r="D166" s="122"/>
      <c r="E166" s="74">
        <v>10</v>
      </c>
      <c r="F166" s="74">
        <v>100</v>
      </c>
      <c r="G166" s="45">
        <f t="shared" si="6"/>
        <v>1000</v>
      </c>
      <c r="H166" s="119" t="s">
        <v>37</v>
      </c>
      <c r="I166" s="128">
        <v>45261</v>
      </c>
      <c r="J166" s="74">
        <v>100</v>
      </c>
      <c r="K166" s="74">
        <v>2</v>
      </c>
      <c r="L166" s="156">
        <v>45259</v>
      </c>
      <c r="M166" s="45">
        <v>1000</v>
      </c>
      <c r="N166" s="45">
        <v>10</v>
      </c>
      <c r="O166" s="45" t="s">
        <v>1614</v>
      </c>
      <c r="P166" s="74" t="s">
        <v>28</v>
      </c>
      <c r="Q166" s="74">
        <v>8500064454</v>
      </c>
      <c r="R166" s="74">
        <v>5001283870</v>
      </c>
      <c r="S166" s="74">
        <v>100</v>
      </c>
      <c r="T166" s="45" t="s">
        <v>1558</v>
      </c>
      <c r="U166" s="45">
        <v>8500064453</v>
      </c>
      <c r="V166" s="45">
        <v>5001276595</v>
      </c>
      <c r="W166" s="127">
        <v>45276</v>
      </c>
      <c r="X166" s="152">
        <v>100</v>
      </c>
      <c r="Y166" s="152">
        <v>1000</v>
      </c>
      <c r="Z166" s="152" t="s">
        <v>35</v>
      </c>
      <c r="AA166" s="152">
        <f t="shared" si="7"/>
        <v>0</v>
      </c>
      <c r="AB166" s="152">
        <f t="shared" si="8"/>
        <v>0</v>
      </c>
      <c r="AC166" s="74"/>
      <c r="AD166" s="74"/>
      <c r="AE166" s="157"/>
      <c r="AF166" s="157"/>
      <c r="AG166" s="157"/>
      <c r="AH166" s="141"/>
    </row>
    <row r="167" spans="1:34" ht="18.75" customHeight="1">
      <c r="A167" s="45"/>
      <c r="B167" s="121"/>
      <c r="C167" s="122"/>
      <c r="D167" s="122"/>
      <c r="E167" s="74">
        <v>10</v>
      </c>
      <c r="F167" s="74">
        <v>100</v>
      </c>
      <c r="G167" s="45">
        <f t="shared" si="6"/>
        <v>1000</v>
      </c>
      <c r="H167" s="119" t="s">
        <v>146</v>
      </c>
      <c r="I167" s="128">
        <v>45261</v>
      </c>
      <c r="J167" s="74">
        <v>100</v>
      </c>
      <c r="K167" s="74">
        <v>3</v>
      </c>
      <c r="L167" s="156">
        <v>45259</v>
      </c>
      <c r="M167" s="45">
        <v>1000</v>
      </c>
      <c r="N167" s="45">
        <v>10</v>
      </c>
      <c r="O167" s="45" t="s">
        <v>1890</v>
      </c>
      <c r="P167" s="74" t="s">
        <v>28</v>
      </c>
      <c r="Q167" s="74">
        <v>8500064454</v>
      </c>
      <c r="R167" s="74">
        <v>5001283870</v>
      </c>
      <c r="S167" s="74">
        <v>100</v>
      </c>
      <c r="T167" s="45" t="s">
        <v>1558</v>
      </c>
      <c r="U167" s="45">
        <v>8500064453</v>
      </c>
      <c r="V167" s="45">
        <v>5001276595</v>
      </c>
      <c r="W167" s="127">
        <v>45278</v>
      </c>
      <c r="X167" s="152">
        <v>100</v>
      </c>
      <c r="Y167" s="152">
        <v>1000</v>
      </c>
      <c r="Z167" s="152" t="s">
        <v>870</v>
      </c>
      <c r="AA167" s="152">
        <f t="shared" si="7"/>
        <v>0</v>
      </c>
      <c r="AB167" s="152">
        <f t="shared" si="8"/>
        <v>0</v>
      </c>
      <c r="AC167" s="74"/>
      <c r="AD167" s="74"/>
      <c r="AE167" s="157"/>
      <c r="AF167" s="157"/>
      <c r="AG167" s="157"/>
      <c r="AH167" s="141"/>
    </row>
    <row r="168" spans="1:34" ht="18.75" customHeight="1">
      <c r="A168" s="120" t="s">
        <v>645</v>
      </c>
      <c r="B168" s="121">
        <v>6000026848</v>
      </c>
      <c r="C168" s="2" t="s">
        <v>1332</v>
      </c>
      <c r="D168" s="122" t="s">
        <v>2026</v>
      </c>
      <c r="E168" s="74">
        <v>10</v>
      </c>
      <c r="F168" s="74">
        <v>850</v>
      </c>
      <c r="G168" s="45">
        <f t="shared" si="6"/>
        <v>8500</v>
      </c>
      <c r="H168" s="119" t="s">
        <v>46</v>
      </c>
      <c r="I168" s="128">
        <v>45261</v>
      </c>
      <c r="J168" s="74">
        <v>850</v>
      </c>
      <c r="K168" s="74">
        <f>10+20</f>
        <v>30</v>
      </c>
      <c r="L168" s="156">
        <v>45257</v>
      </c>
      <c r="M168" s="45">
        <v>8500</v>
      </c>
      <c r="N168" s="45">
        <v>85</v>
      </c>
      <c r="O168" s="45" t="s">
        <v>745</v>
      </c>
      <c r="P168" s="74" t="s">
        <v>169</v>
      </c>
      <c r="Q168" s="74">
        <v>8500064568</v>
      </c>
      <c r="R168" s="74">
        <v>5001283694</v>
      </c>
      <c r="S168" s="74">
        <v>850</v>
      </c>
      <c r="T168" s="45" t="s">
        <v>1558</v>
      </c>
      <c r="U168" s="45">
        <v>8500064567</v>
      </c>
      <c r="V168" s="45">
        <v>5001270876</v>
      </c>
      <c r="W168" s="127">
        <v>45289</v>
      </c>
      <c r="X168" s="152">
        <v>850</v>
      </c>
      <c r="Y168" s="152">
        <v>8500</v>
      </c>
      <c r="Z168" s="152" t="s">
        <v>2325</v>
      </c>
      <c r="AA168" s="152">
        <f t="shared" si="7"/>
        <v>0</v>
      </c>
      <c r="AB168" s="152">
        <f t="shared" si="8"/>
        <v>0</v>
      </c>
      <c r="AC168" s="74"/>
      <c r="AD168" s="74"/>
      <c r="AE168" s="157"/>
      <c r="AF168" s="157"/>
      <c r="AG168" s="157"/>
      <c r="AH168" s="141"/>
    </row>
    <row r="169" spans="1:34" ht="18.75" customHeight="1">
      <c r="A169" s="120"/>
      <c r="B169" s="121"/>
      <c r="C169" s="2"/>
      <c r="D169" s="122"/>
      <c r="E169" s="74">
        <v>10</v>
      </c>
      <c r="F169" s="74">
        <v>320</v>
      </c>
      <c r="G169" s="45">
        <f t="shared" si="6"/>
        <v>3200</v>
      </c>
      <c r="H169" s="119" t="s">
        <v>37</v>
      </c>
      <c r="I169" s="128">
        <v>45261</v>
      </c>
      <c r="J169" s="74">
        <v>320</v>
      </c>
      <c r="K169" s="74">
        <f>5+3</f>
        <v>8</v>
      </c>
      <c r="L169" s="156">
        <v>45257</v>
      </c>
      <c r="M169" s="45">
        <v>3200</v>
      </c>
      <c r="N169" s="45">
        <v>32</v>
      </c>
      <c r="O169" s="45" t="s">
        <v>874</v>
      </c>
      <c r="P169" s="74" t="s">
        <v>169</v>
      </c>
      <c r="Q169" s="74">
        <v>8500064568</v>
      </c>
      <c r="R169" s="74">
        <v>5001283694</v>
      </c>
      <c r="S169" s="74">
        <v>320</v>
      </c>
      <c r="T169" s="45" t="s">
        <v>1558</v>
      </c>
      <c r="U169" s="45">
        <v>8500064567</v>
      </c>
      <c r="V169" s="45">
        <v>5001270876</v>
      </c>
      <c r="W169" s="127">
        <v>45288</v>
      </c>
      <c r="X169" s="152">
        <v>320</v>
      </c>
      <c r="Y169" s="152">
        <v>3200</v>
      </c>
      <c r="Z169" s="152" t="s">
        <v>2238</v>
      </c>
      <c r="AA169" s="152">
        <f t="shared" si="7"/>
        <v>0</v>
      </c>
      <c r="AB169" s="152">
        <f t="shared" si="8"/>
        <v>0</v>
      </c>
      <c r="AC169" s="74"/>
      <c r="AD169" s="74"/>
      <c r="AE169" s="157"/>
      <c r="AF169" s="157"/>
      <c r="AG169" s="157"/>
      <c r="AH169" s="141"/>
    </row>
    <row r="170" spans="1:34" ht="18.75" customHeight="1">
      <c r="A170" s="120"/>
      <c r="B170" s="121"/>
      <c r="C170" s="2"/>
      <c r="D170" s="122"/>
      <c r="E170" s="74">
        <v>10</v>
      </c>
      <c r="F170" s="74">
        <v>110</v>
      </c>
      <c r="G170" s="45">
        <f t="shared" si="6"/>
        <v>1100</v>
      </c>
      <c r="H170" s="119" t="s">
        <v>146</v>
      </c>
      <c r="I170" s="128">
        <v>45275</v>
      </c>
      <c r="J170" s="158">
        <v>110</v>
      </c>
      <c r="K170" s="74">
        <v>2</v>
      </c>
      <c r="L170" s="156">
        <v>45257</v>
      </c>
      <c r="M170" s="45">
        <v>1100</v>
      </c>
      <c r="N170" s="45">
        <v>11</v>
      </c>
      <c r="O170" s="45" t="s">
        <v>2110</v>
      </c>
      <c r="P170" s="74" t="s">
        <v>169</v>
      </c>
      <c r="Q170" s="74">
        <v>8500064568</v>
      </c>
      <c r="R170" s="74">
        <v>5001335823</v>
      </c>
      <c r="S170" s="158">
        <v>110</v>
      </c>
      <c r="T170" s="45" t="s">
        <v>1558</v>
      </c>
      <c r="U170" s="45">
        <v>8500064567</v>
      </c>
      <c r="V170" s="45">
        <v>5001270876</v>
      </c>
      <c r="W170" s="127">
        <v>45282</v>
      </c>
      <c r="X170" s="152">
        <v>110</v>
      </c>
      <c r="Y170" s="152">
        <v>1100</v>
      </c>
      <c r="Z170" s="152" t="s">
        <v>800</v>
      </c>
      <c r="AA170" s="152">
        <f t="shared" si="7"/>
        <v>0</v>
      </c>
      <c r="AB170" s="152">
        <f t="shared" si="8"/>
        <v>0</v>
      </c>
      <c r="AC170" s="74"/>
      <c r="AD170" s="74"/>
      <c r="AE170" s="157"/>
      <c r="AF170" s="157"/>
      <c r="AG170" s="157"/>
      <c r="AH170" s="141"/>
    </row>
    <row r="171" spans="1:34" ht="18.75" customHeight="1">
      <c r="A171" s="120" t="s">
        <v>645</v>
      </c>
      <c r="B171" s="121">
        <v>6000026848</v>
      </c>
      <c r="C171" s="2" t="s">
        <v>1333</v>
      </c>
      <c r="D171" s="122" t="s">
        <v>2026</v>
      </c>
      <c r="E171" s="74">
        <v>10</v>
      </c>
      <c r="F171" s="74">
        <v>200</v>
      </c>
      <c r="G171" s="45">
        <f t="shared" si="6"/>
        <v>2000</v>
      </c>
      <c r="H171" s="119" t="s">
        <v>46</v>
      </c>
      <c r="I171" s="128">
        <v>45261</v>
      </c>
      <c r="J171" s="74">
        <v>200</v>
      </c>
      <c r="K171" s="74">
        <f>3+2</f>
        <v>5</v>
      </c>
      <c r="L171" s="156">
        <v>45257</v>
      </c>
      <c r="M171" s="45">
        <v>2000</v>
      </c>
      <c r="N171" s="45">
        <v>20</v>
      </c>
      <c r="O171" s="45" t="s">
        <v>2110</v>
      </c>
      <c r="P171" s="74" t="s">
        <v>169</v>
      </c>
      <c r="Q171" s="74">
        <v>8500064570</v>
      </c>
      <c r="R171" s="74">
        <v>5001283691</v>
      </c>
      <c r="S171" s="74">
        <v>200</v>
      </c>
      <c r="T171" s="45" t="s">
        <v>1558</v>
      </c>
      <c r="U171" s="45">
        <v>8500064569</v>
      </c>
      <c r="V171" s="45">
        <v>5001270878</v>
      </c>
      <c r="W171" s="127">
        <v>45285</v>
      </c>
      <c r="X171" s="152">
        <v>200</v>
      </c>
      <c r="Y171" s="152">
        <v>2000</v>
      </c>
      <c r="Z171" s="152" t="s">
        <v>197</v>
      </c>
      <c r="AA171" s="152">
        <f t="shared" si="7"/>
        <v>0</v>
      </c>
      <c r="AB171" s="152">
        <f t="shared" si="8"/>
        <v>0</v>
      </c>
      <c r="AC171" s="74"/>
      <c r="AD171" s="74"/>
      <c r="AE171" s="157"/>
      <c r="AF171" s="157"/>
      <c r="AG171" s="157"/>
      <c r="AH171" s="141"/>
    </row>
    <row r="172" spans="1:34" ht="18.75" customHeight="1">
      <c r="A172" s="45"/>
      <c r="B172" s="121"/>
      <c r="C172" s="122"/>
      <c r="D172" s="122"/>
      <c r="E172" s="74">
        <v>10</v>
      </c>
      <c r="F172" s="74">
        <v>320</v>
      </c>
      <c r="G172" s="45">
        <f t="shared" si="6"/>
        <v>3200</v>
      </c>
      <c r="H172" s="119" t="s">
        <v>37</v>
      </c>
      <c r="I172" s="128">
        <v>45261</v>
      </c>
      <c r="J172" s="74">
        <v>320</v>
      </c>
      <c r="K172" s="74">
        <f>5+3</f>
        <v>8</v>
      </c>
      <c r="L172" s="156">
        <v>45257</v>
      </c>
      <c r="M172" s="45">
        <v>3200</v>
      </c>
      <c r="N172" s="45">
        <v>32</v>
      </c>
      <c r="O172" s="45" t="s">
        <v>745</v>
      </c>
      <c r="P172" s="74" t="s">
        <v>169</v>
      </c>
      <c r="Q172" s="74">
        <v>8500064570</v>
      </c>
      <c r="R172" s="74">
        <v>5001283691</v>
      </c>
      <c r="S172" s="74">
        <v>320</v>
      </c>
      <c r="T172" s="45" t="s">
        <v>1558</v>
      </c>
      <c r="U172" s="45">
        <v>8500064569</v>
      </c>
      <c r="V172" s="45">
        <v>5001270878</v>
      </c>
      <c r="W172" s="127">
        <v>45273</v>
      </c>
      <c r="X172" s="152">
        <v>320</v>
      </c>
      <c r="Y172" s="152">
        <v>3200</v>
      </c>
      <c r="Z172" s="152" t="s">
        <v>927</v>
      </c>
      <c r="AA172" s="152">
        <f t="shared" si="7"/>
        <v>0</v>
      </c>
      <c r="AB172" s="152">
        <f t="shared" si="8"/>
        <v>0</v>
      </c>
      <c r="AC172" s="74"/>
      <c r="AD172" s="74"/>
      <c r="AE172" s="157"/>
      <c r="AF172" s="157"/>
      <c r="AG172" s="157"/>
      <c r="AH172" s="141"/>
    </row>
    <row r="173" spans="1:34" ht="18.75" customHeight="1">
      <c r="A173" s="45"/>
      <c r="B173" s="121"/>
      <c r="C173" s="122"/>
      <c r="D173" s="122"/>
      <c r="E173" s="74">
        <v>10</v>
      </c>
      <c r="F173" s="74">
        <v>100</v>
      </c>
      <c r="G173" s="45">
        <f t="shared" si="6"/>
        <v>1000</v>
      </c>
      <c r="H173" s="119" t="s">
        <v>146</v>
      </c>
      <c r="I173" s="128">
        <v>45261</v>
      </c>
      <c r="J173" s="74">
        <v>100</v>
      </c>
      <c r="K173" s="74">
        <f>2+2</f>
        <v>4</v>
      </c>
      <c r="L173" s="156">
        <v>45257</v>
      </c>
      <c r="M173" s="45">
        <v>1000</v>
      </c>
      <c r="N173" s="45">
        <v>10</v>
      </c>
      <c r="O173" s="45" t="s">
        <v>2110</v>
      </c>
      <c r="P173" s="74" t="s">
        <v>169</v>
      </c>
      <c r="Q173" s="74">
        <v>8500064570</v>
      </c>
      <c r="R173" s="74">
        <v>5001283691</v>
      </c>
      <c r="S173" s="74">
        <v>100</v>
      </c>
      <c r="T173" s="45" t="s">
        <v>1558</v>
      </c>
      <c r="U173" s="45">
        <v>8500064569</v>
      </c>
      <c r="V173" s="45">
        <v>5001270878</v>
      </c>
      <c r="W173" s="127">
        <v>45299</v>
      </c>
      <c r="X173" s="152">
        <v>100</v>
      </c>
      <c r="Y173" s="152">
        <v>1000</v>
      </c>
      <c r="Z173" s="152" t="s">
        <v>800</v>
      </c>
      <c r="AA173" s="152">
        <f t="shared" si="7"/>
        <v>0</v>
      </c>
      <c r="AB173" s="152">
        <f t="shared" si="8"/>
        <v>0</v>
      </c>
      <c r="AC173" s="74"/>
      <c r="AD173" s="74"/>
      <c r="AE173" s="157"/>
      <c r="AF173" s="157"/>
      <c r="AG173" s="157"/>
      <c r="AH173" s="141"/>
    </row>
    <row r="174" spans="1:34" ht="24.75" customHeight="1">
      <c r="A174" s="120" t="s">
        <v>645</v>
      </c>
      <c r="B174" s="121">
        <v>6000026607</v>
      </c>
      <c r="C174" s="2" t="s">
        <v>646</v>
      </c>
      <c r="D174" s="122" t="s">
        <v>2017</v>
      </c>
      <c r="E174" s="74">
        <v>10</v>
      </c>
      <c r="F174" s="74">
        <v>735</v>
      </c>
      <c r="G174" s="45">
        <f>F174*E174</f>
        <v>7350</v>
      </c>
      <c r="H174" s="119" t="s">
        <v>27</v>
      </c>
      <c r="I174" s="128">
        <v>45248</v>
      </c>
      <c r="J174" s="158">
        <v>735</v>
      </c>
      <c r="K174" s="74">
        <v>8</v>
      </c>
      <c r="L174" s="156">
        <v>45251</v>
      </c>
      <c r="M174" s="45">
        <v>7350</v>
      </c>
      <c r="N174" s="45">
        <v>74</v>
      </c>
      <c r="O174" s="45" t="s">
        <v>1582</v>
      </c>
      <c r="P174" s="74" t="s">
        <v>169</v>
      </c>
      <c r="Q174" s="74">
        <v>8500064723</v>
      </c>
      <c r="R174" s="74">
        <v>5001298518</v>
      </c>
      <c r="S174" s="158">
        <v>735</v>
      </c>
      <c r="T174" s="45" t="s">
        <v>1558</v>
      </c>
      <c r="U174" s="45">
        <v>8500064722</v>
      </c>
      <c r="V174" s="45">
        <v>5001298517</v>
      </c>
      <c r="W174" s="127">
        <v>45253</v>
      </c>
      <c r="X174" s="152">
        <v>735</v>
      </c>
      <c r="Y174" s="152">
        <v>7350</v>
      </c>
      <c r="Z174" s="152" t="s">
        <v>1980</v>
      </c>
      <c r="AA174" s="152">
        <f t="shared" si="7"/>
        <v>0</v>
      </c>
      <c r="AB174" s="152">
        <f t="shared" si="8"/>
        <v>0</v>
      </c>
      <c r="AC174" s="74"/>
      <c r="AD174" s="74"/>
      <c r="AE174" s="157"/>
      <c r="AF174" s="157"/>
      <c r="AG174" s="157"/>
      <c r="AH174" s="141"/>
    </row>
    <row r="175" spans="1:34" ht="18.75" customHeight="1">
      <c r="A175" s="120"/>
      <c r="B175" s="121"/>
      <c r="C175" s="122"/>
      <c r="D175" s="122"/>
      <c r="E175" s="74">
        <v>10</v>
      </c>
      <c r="F175" s="74">
        <v>3055</v>
      </c>
      <c r="G175" s="45">
        <f>F175*E175</f>
        <v>30550</v>
      </c>
      <c r="H175" s="119" t="s">
        <v>46</v>
      </c>
      <c r="I175" s="128">
        <v>45248</v>
      </c>
      <c r="J175" s="158">
        <f>1268+1787</f>
        <v>3055</v>
      </c>
      <c r="K175" s="74">
        <f>32+5</f>
        <v>37</v>
      </c>
      <c r="L175" s="156" t="s">
        <v>2065</v>
      </c>
      <c r="M175" s="45">
        <f>27200+3350</f>
        <v>30550</v>
      </c>
      <c r="N175" s="45">
        <v>306</v>
      </c>
      <c r="O175" s="45" t="s">
        <v>887</v>
      </c>
      <c r="P175" s="74" t="s">
        <v>169</v>
      </c>
      <c r="Q175" s="74">
        <v>8500064723</v>
      </c>
      <c r="R175" s="74">
        <v>5001298518</v>
      </c>
      <c r="S175" s="158">
        <f>1268+1787</f>
        <v>3055</v>
      </c>
      <c r="T175" s="45" t="s">
        <v>1558</v>
      </c>
      <c r="U175" s="45">
        <v>8500064722</v>
      </c>
      <c r="V175" s="45">
        <v>5001298517</v>
      </c>
      <c r="W175" s="127" t="s">
        <v>2217</v>
      </c>
      <c r="X175" s="152">
        <f>1055+1000+1000</f>
        <v>3055</v>
      </c>
      <c r="Y175" s="152">
        <f>10550+10000+10000</f>
        <v>30550</v>
      </c>
      <c r="Z175" s="152" t="s">
        <v>1785</v>
      </c>
      <c r="AA175" s="152">
        <f t="shared" si="7"/>
        <v>0</v>
      </c>
      <c r="AB175" s="152">
        <f t="shared" si="8"/>
        <v>0</v>
      </c>
      <c r="AC175" s="74"/>
      <c r="AD175" s="74"/>
      <c r="AE175" s="157"/>
      <c r="AF175" s="157"/>
      <c r="AG175" s="157"/>
      <c r="AH175" s="141"/>
    </row>
    <row r="176" spans="1:34" ht="18.75" customHeight="1">
      <c r="A176" s="120"/>
      <c r="B176" s="121"/>
      <c r="C176" s="74"/>
      <c r="D176" s="80"/>
      <c r="E176" s="74">
        <v>10</v>
      </c>
      <c r="F176" s="74">
        <v>1050</v>
      </c>
      <c r="G176" s="45">
        <f>F176*E176</f>
        <v>10500</v>
      </c>
      <c r="H176" s="119" t="s">
        <v>37</v>
      </c>
      <c r="I176" s="128">
        <v>45250</v>
      </c>
      <c r="J176" s="158">
        <v>1050</v>
      </c>
      <c r="K176" s="74">
        <v>11</v>
      </c>
      <c r="L176" s="156">
        <v>45251</v>
      </c>
      <c r="M176" s="45">
        <v>10500</v>
      </c>
      <c r="N176" s="45">
        <v>105</v>
      </c>
      <c r="O176" s="45"/>
      <c r="P176" s="74" t="s">
        <v>169</v>
      </c>
      <c r="Q176" s="74">
        <v>8500064723</v>
      </c>
      <c r="R176" s="74">
        <v>5001298518</v>
      </c>
      <c r="S176" s="158">
        <v>1050</v>
      </c>
      <c r="T176" s="45" t="s">
        <v>1558</v>
      </c>
      <c r="U176" s="45">
        <v>8500064722</v>
      </c>
      <c r="V176" s="45">
        <v>5001298517</v>
      </c>
      <c r="W176" s="127" t="s">
        <v>2225</v>
      </c>
      <c r="X176" s="152">
        <f>400+650</f>
        <v>1050</v>
      </c>
      <c r="Y176" s="152">
        <f>4000+6500</f>
        <v>10500</v>
      </c>
      <c r="Z176" s="152" t="s">
        <v>1822</v>
      </c>
      <c r="AA176" s="152">
        <f t="shared" si="7"/>
        <v>0</v>
      </c>
      <c r="AB176" s="152">
        <f t="shared" si="8"/>
        <v>0</v>
      </c>
      <c r="AC176" s="74"/>
      <c r="AD176" s="74"/>
      <c r="AE176" s="157"/>
      <c r="AF176" s="157"/>
      <c r="AG176" s="157"/>
      <c r="AH176" s="141"/>
    </row>
    <row r="177" spans="1:34" ht="18.75" customHeight="1">
      <c r="A177" s="120" t="s">
        <v>2030</v>
      </c>
      <c r="B177" s="121">
        <v>6000026600</v>
      </c>
      <c r="C177" s="2" t="s">
        <v>2031</v>
      </c>
      <c r="D177" s="122">
        <v>6000026600</v>
      </c>
      <c r="E177" s="74">
        <v>10</v>
      </c>
      <c r="F177" s="218">
        <v>540</v>
      </c>
      <c r="G177" s="219">
        <f t="shared" si="6"/>
        <v>5400</v>
      </c>
      <c r="H177" s="227" t="s">
        <v>27</v>
      </c>
      <c r="I177" s="128"/>
      <c r="J177" s="158"/>
      <c r="K177" s="74">
        <v>10</v>
      </c>
      <c r="L177" s="156"/>
      <c r="M177" s="45"/>
      <c r="N177" s="45">
        <v>50</v>
      </c>
      <c r="O177" s="45"/>
      <c r="P177" s="74" t="s">
        <v>2073</v>
      </c>
      <c r="Q177" s="74">
        <v>8500065050</v>
      </c>
      <c r="R177" s="74">
        <v>5001298690</v>
      </c>
      <c r="S177" s="74"/>
      <c r="T177" s="45" t="s">
        <v>895</v>
      </c>
      <c r="U177" s="45">
        <v>8500065049</v>
      </c>
      <c r="V177" s="45">
        <v>5001298667</v>
      </c>
      <c r="W177" s="151"/>
      <c r="X177" s="152"/>
      <c r="Y177" s="152"/>
      <c r="Z177" s="152" t="s">
        <v>1981</v>
      </c>
      <c r="AA177" s="152">
        <f t="shared" si="7"/>
        <v>0</v>
      </c>
      <c r="AB177" s="152">
        <f t="shared" si="8"/>
        <v>0</v>
      </c>
      <c r="AC177" s="74"/>
      <c r="AD177" s="74"/>
      <c r="AE177" s="157"/>
      <c r="AF177" s="157"/>
      <c r="AG177" s="157"/>
      <c r="AH177" s="141"/>
    </row>
    <row r="178" spans="1:34" ht="18.75" customHeight="1">
      <c r="A178" s="45"/>
      <c r="B178" s="121"/>
      <c r="C178" s="122"/>
      <c r="D178" s="122"/>
      <c r="E178" s="74">
        <v>10</v>
      </c>
      <c r="F178" s="74">
        <v>1135</v>
      </c>
      <c r="G178" s="45">
        <f t="shared" si="6"/>
        <v>11350</v>
      </c>
      <c r="H178" s="119" t="s">
        <v>46</v>
      </c>
      <c r="I178" s="128">
        <v>45250</v>
      </c>
      <c r="J178" s="74">
        <v>1135</v>
      </c>
      <c r="K178" s="74">
        <v>13</v>
      </c>
      <c r="L178" s="156">
        <v>45253</v>
      </c>
      <c r="M178" s="45">
        <v>11350</v>
      </c>
      <c r="N178" s="45">
        <v>57</v>
      </c>
      <c r="O178" s="45"/>
      <c r="P178" s="74" t="s">
        <v>160</v>
      </c>
      <c r="Q178" s="74">
        <v>8500065050</v>
      </c>
      <c r="R178" s="74">
        <v>5001298690</v>
      </c>
      <c r="S178" s="74">
        <v>1135</v>
      </c>
      <c r="T178" s="45" t="s">
        <v>152</v>
      </c>
      <c r="U178" s="45">
        <v>8500065049</v>
      </c>
      <c r="V178" s="45">
        <v>5001298667</v>
      </c>
      <c r="W178" s="127">
        <v>45272</v>
      </c>
      <c r="X178" s="152">
        <v>1135</v>
      </c>
      <c r="Y178" s="152">
        <v>11350</v>
      </c>
      <c r="Z178" s="152" t="s">
        <v>754</v>
      </c>
      <c r="AA178" s="152">
        <f t="shared" si="7"/>
        <v>0</v>
      </c>
      <c r="AB178" s="152">
        <f t="shared" si="8"/>
        <v>0</v>
      </c>
      <c r="AC178" s="74"/>
      <c r="AD178" s="74"/>
      <c r="AE178" s="157"/>
      <c r="AF178" s="157"/>
      <c r="AG178" s="157"/>
      <c r="AH178" s="141"/>
    </row>
    <row r="179" spans="1:34" ht="18.75" customHeight="1">
      <c r="A179" s="45"/>
      <c r="B179" s="121"/>
      <c r="C179" s="136"/>
      <c r="D179" s="84"/>
      <c r="E179" s="74">
        <v>10</v>
      </c>
      <c r="F179" s="74">
        <v>1390</v>
      </c>
      <c r="G179" s="45">
        <f t="shared" si="6"/>
        <v>13900</v>
      </c>
      <c r="H179" s="119" t="s">
        <v>37</v>
      </c>
      <c r="I179" s="128">
        <v>45250</v>
      </c>
      <c r="J179" s="74">
        <v>1390</v>
      </c>
      <c r="K179" s="74">
        <v>15</v>
      </c>
      <c r="L179" s="156">
        <v>45254</v>
      </c>
      <c r="M179" s="45">
        <v>13900</v>
      </c>
      <c r="N179" s="45">
        <v>70</v>
      </c>
      <c r="O179" s="45"/>
      <c r="P179" s="74" t="s">
        <v>160</v>
      </c>
      <c r="Q179" s="74">
        <v>8500065050</v>
      </c>
      <c r="R179" s="74">
        <v>5001298690</v>
      </c>
      <c r="S179" s="74">
        <v>1390</v>
      </c>
      <c r="T179" s="45" t="s">
        <v>152</v>
      </c>
      <c r="U179" s="45">
        <v>8500065049</v>
      </c>
      <c r="V179" s="45">
        <v>5001298667</v>
      </c>
      <c r="W179" s="127">
        <v>45273</v>
      </c>
      <c r="X179" s="152">
        <v>1390</v>
      </c>
      <c r="Y179" s="152">
        <v>13900</v>
      </c>
      <c r="Z179" s="152" t="s">
        <v>800</v>
      </c>
      <c r="AA179" s="152">
        <f t="shared" si="7"/>
        <v>0</v>
      </c>
      <c r="AB179" s="152">
        <f t="shared" si="8"/>
        <v>0</v>
      </c>
      <c r="AC179" s="74"/>
      <c r="AD179" s="74"/>
      <c r="AE179" s="157"/>
      <c r="AF179" s="157"/>
      <c r="AG179" s="157"/>
      <c r="AH179" s="141"/>
    </row>
    <row r="180" spans="1:34" ht="18.75" customHeight="1">
      <c r="A180" s="45"/>
      <c r="B180" s="121"/>
      <c r="C180" s="74"/>
      <c r="D180" s="80"/>
      <c r="E180" s="74">
        <v>10</v>
      </c>
      <c r="F180" s="74">
        <v>1135</v>
      </c>
      <c r="G180" s="45">
        <f t="shared" si="6"/>
        <v>11350</v>
      </c>
      <c r="H180" s="119" t="s">
        <v>146</v>
      </c>
      <c r="I180" s="128" t="s">
        <v>2079</v>
      </c>
      <c r="J180" s="74">
        <f>1039+96</f>
        <v>1135</v>
      </c>
      <c r="K180" s="74">
        <v>15</v>
      </c>
      <c r="L180" s="156">
        <v>45253</v>
      </c>
      <c r="M180" s="45">
        <v>11350</v>
      </c>
      <c r="N180" s="45">
        <v>57</v>
      </c>
      <c r="O180" s="45"/>
      <c r="P180" s="74" t="s">
        <v>160</v>
      </c>
      <c r="Q180" s="74">
        <v>8500065050</v>
      </c>
      <c r="R180" s="74">
        <v>5001298690</v>
      </c>
      <c r="S180" s="74">
        <f>1039+96</f>
        <v>1135</v>
      </c>
      <c r="T180" s="45" t="s">
        <v>152</v>
      </c>
      <c r="U180" s="45">
        <v>8500065049</v>
      </c>
      <c r="V180" s="45">
        <v>5001298667</v>
      </c>
      <c r="W180" s="127">
        <v>45274</v>
      </c>
      <c r="X180" s="152">
        <v>1135</v>
      </c>
      <c r="Y180" s="152">
        <v>11350</v>
      </c>
      <c r="Z180" s="152" t="s">
        <v>800</v>
      </c>
      <c r="AA180" s="152">
        <f t="shared" si="7"/>
        <v>0</v>
      </c>
      <c r="AB180" s="152">
        <f t="shared" si="8"/>
        <v>0</v>
      </c>
      <c r="AC180" s="74"/>
      <c r="AD180" s="74"/>
      <c r="AE180" s="157"/>
      <c r="AF180" s="157"/>
      <c r="AG180" s="157"/>
      <c r="AH180" s="141"/>
    </row>
    <row r="181" spans="1:34" ht="18.75" customHeight="1">
      <c r="A181" s="120" t="s">
        <v>707</v>
      </c>
      <c r="B181" s="121">
        <v>2000001142</v>
      </c>
      <c r="C181" s="2" t="s">
        <v>2035</v>
      </c>
      <c r="D181" s="122">
        <v>2000001142</v>
      </c>
      <c r="E181" s="74">
        <v>10</v>
      </c>
      <c r="F181" s="74">
        <v>220</v>
      </c>
      <c r="G181" s="45">
        <f t="shared" si="6"/>
        <v>2200</v>
      </c>
      <c r="H181" s="119" t="s">
        <v>27</v>
      </c>
      <c r="I181" s="128">
        <v>45248</v>
      </c>
      <c r="J181" s="74">
        <v>220</v>
      </c>
      <c r="K181" s="74">
        <f>10+2</f>
        <v>12</v>
      </c>
      <c r="L181" s="162" t="s">
        <v>2089</v>
      </c>
      <c r="M181" s="45">
        <v>2200</v>
      </c>
      <c r="N181" s="45">
        <v>30</v>
      </c>
      <c r="O181" s="45" t="s">
        <v>1348</v>
      </c>
      <c r="P181" s="74" t="s">
        <v>160</v>
      </c>
      <c r="Q181" s="74">
        <v>8500063937</v>
      </c>
      <c r="R181" s="74">
        <v>5001239577</v>
      </c>
      <c r="S181" s="74">
        <v>220</v>
      </c>
      <c r="T181" s="45" t="s">
        <v>1418</v>
      </c>
      <c r="U181" s="45">
        <v>8500063936</v>
      </c>
      <c r="V181" s="45">
        <v>5001260769</v>
      </c>
      <c r="W181" s="127">
        <v>45268</v>
      </c>
      <c r="X181" s="152">
        <v>220</v>
      </c>
      <c r="Y181" s="152">
        <v>2200</v>
      </c>
      <c r="Z181" s="152" t="s">
        <v>800</v>
      </c>
      <c r="AA181" s="152">
        <f t="shared" si="7"/>
        <v>0</v>
      </c>
      <c r="AB181" s="152">
        <f t="shared" si="8"/>
        <v>0</v>
      </c>
      <c r="AC181" s="74" t="s">
        <v>2133</v>
      </c>
      <c r="AD181" s="74"/>
      <c r="AE181" s="157"/>
      <c r="AF181" s="157"/>
      <c r="AG181" s="157"/>
      <c r="AH181" s="141"/>
    </row>
    <row r="182" spans="1:34" ht="18.75" customHeight="1">
      <c r="A182" s="120"/>
      <c r="B182" s="121"/>
      <c r="C182" s="2"/>
      <c r="D182" s="122"/>
      <c r="E182" s="74">
        <v>10</v>
      </c>
      <c r="F182" s="74">
        <v>460</v>
      </c>
      <c r="G182" s="45">
        <f t="shared" si="6"/>
        <v>4600</v>
      </c>
      <c r="H182" s="119" t="s">
        <v>46</v>
      </c>
      <c r="I182" s="128">
        <v>45248</v>
      </c>
      <c r="J182" s="74">
        <v>460</v>
      </c>
      <c r="K182" s="74">
        <f>15+5</f>
        <v>20</v>
      </c>
      <c r="L182" s="156" t="s">
        <v>2106</v>
      </c>
      <c r="M182" s="45">
        <f>4500+100</f>
        <v>4600</v>
      </c>
      <c r="N182" s="45">
        <v>100</v>
      </c>
      <c r="O182" s="45" t="s">
        <v>1602</v>
      </c>
      <c r="P182" s="74" t="s">
        <v>160</v>
      </c>
      <c r="Q182" s="74">
        <v>8500063937</v>
      </c>
      <c r="R182" s="74">
        <v>5001239473</v>
      </c>
      <c r="S182" s="74">
        <v>460</v>
      </c>
      <c r="T182" s="45" t="s">
        <v>1418</v>
      </c>
      <c r="U182" s="45">
        <v>8500063936</v>
      </c>
      <c r="V182" s="45">
        <v>5001271029</v>
      </c>
      <c r="W182" s="127">
        <v>45267</v>
      </c>
      <c r="X182" s="152">
        <v>460</v>
      </c>
      <c r="Y182" s="152">
        <v>4600</v>
      </c>
      <c r="Z182" s="152" t="s">
        <v>800</v>
      </c>
      <c r="AA182" s="152">
        <f t="shared" si="7"/>
        <v>0</v>
      </c>
      <c r="AB182" s="152">
        <f t="shared" si="8"/>
        <v>0</v>
      </c>
      <c r="AC182" s="74" t="s">
        <v>2155</v>
      </c>
      <c r="AD182" s="74"/>
      <c r="AE182" s="157"/>
      <c r="AF182" s="157"/>
      <c r="AG182" s="157"/>
      <c r="AH182" s="141"/>
    </row>
    <row r="183" spans="1:34" ht="18.75" customHeight="1">
      <c r="A183" s="120"/>
      <c r="B183" s="121"/>
      <c r="C183" s="2"/>
      <c r="D183" s="122"/>
      <c r="E183" s="74">
        <v>10</v>
      </c>
      <c r="F183" s="74">
        <v>420</v>
      </c>
      <c r="G183" s="45">
        <f t="shared" si="6"/>
        <v>4200</v>
      </c>
      <c r="H183" s="119" t="s">
        <v>37</v>
      </c>
      <c r="I183" s="128">
        <v>45248</v>
      </c>
      <c r="J183" s="74">
        <v>420</v>
      </c>
      <c r="K183" s="74">
        <v>14</v>
      </c>
      <c r="L183" s="156">
        <v>45257</v>
      </c>
      <c r="M183" s="45">
        <v>4200</v>
      </c>
      <c r="N183" s="45">
        <v>50</v>
      </c>
      <c r="O183" s="45" t="s">
        <v>1388</v>
      </c>
      <c r="P183" s="74" t="s">
        <v>160</v>
      </c>
      <c r="Q183" s="74">
        <v>8500063937</v>
      </c>
      <c r="R183" s="74">
        <v>5001239473</v>
      </c>
      <c r="S183" s="74">
        <v>420</v>
      </c>
      <c r="T183" s="45" t="s">
        <v>1418</v>
      </c>
      <c r="U183" s="45">
        <v>8500063936</v>
      </c>
      <c r="V183" s="45">
        <v>5001271029</v>
      </c>
      <c r="W183" s="127">
        <v>45267</v>
      </c>
      <c r="X183" s="152">
        <v>420</v>
      </c>
      <c r="Y183" s="152">
        <v>4200</v>
      </c>
      <c r="Z183" s="152" t="s">
        <v>800</v>
      </c>
      <c r="AA183" s="152">
        <f t="shared" si="7"/>
        <v>0</v>
      </c>
      <c r="AB183" s="152">
        <f t="shared" si="8"/>
        <v>0</v>
      </c>
      <c r="AC183" s="74"/>
      <c r="AD183" s="74"/>
      <c r="AE183" s="157"/>
      <c r="AF183" s="157"/>
      <c r="AG183" s="157"/>
      <c r="AH183" s="141"/>
    </row>
    <row r="184" spans="1:34" ht="18.75" customHeight="1">
      <c r="A184" s="120"/>
      <c r="B184" s="121"/>
      <c r="C184" s="2"/>
      <c r="D184" s="122"/>
      <c r="E184" s="74">
        <v>10</v>
      </c>
      <c r="F184" s="74">
        <v>100</v>
      </c>
      <c r="G184" s="45">
        <f t="shared" si="6"/>
        <v>1000</v>
      </c>
      <c r="H184" s="119" t="s">
        <v>146</v>
      </c>
      <c r="I184" s="128">
        <v>45248</v>
      </c>
      <c r="J184" s="74">
        <v>100</v>
      </c>
      <c r="K184" s="74">
        <f>7+3</f>
        <v>10</v>
      </c>
      <c r="L184" s="156">
        <v>45257</v>
      </c>
      <c r="M184" s="45">
        <v>1000</v>
      </c>
      <c r="N184" s="45">
        <v>30</v>
      </c>
      <c r="O184" s="45" t="s">
        <v>1602</v>
      </c>
      <c r="P184" s="74" t="s">
        <v>160</v>
      </c>
      <c r="Q184" s="74">
        <v>8500063937</v>
      </c>
      <c r="R184" s="74">
        <v>5001239577</v>
      </c>
      <c r="S184" s="74">
        <v>100</v>
      </c>
      <c r="T184" s="45" t="s">
        <v>1418</v>
      </c>
      <c r="U184" s="45">
        <v>8500063936</v>
      </c>
      <c r="V184" s="45">
        <v>5001271029</v>
      </c>
      <c r="W184" s="127">
        <v>45267</v>
      </c>
      <c r="X184" s="152">
        <v>100</v>
      </c>
      <c r="Y184" s="152">
        <v>1000</v>
      </c>
      <c r="Z184" s="152" t="s">
        <v>800</v>
      </c>
      <c r="AA184" s="152">
        <f t="shared" si="7"/>
        <v>0</v>
      </c>
      <c r="AB184" s="152">
        <f t="shared" si="8"/>
        <v>0</v>
      </c>
      <c r="AC184" s="74"/>
      <c r="AD184" s="74"/>
      <c r="AE184" s="157"/>
      <c r="AF184" s="157"/>
      <c r="AG184" s="157"/>
      <c r="AH184" s="141"/>
    </row>
    <row r="185" spans="1:34" ht="18.75" customHeight="1">
      <c r="A185" s="120" t="s">
        <v>279</v>
      </c>
      <c r="B185" s="121">
        <v>6000026774</v>
      </c>
      <c r="C185" s="2" t="s">
        <v>280</v>
      </c>
      <c r="D185" s="122" t="s">
        <v>2049</v>
      </c>
      <c r="E185" s="74">
        <v>10</v>
      </c>
      <c r="F185" s="74">
        <v>100</v>
      </c>
      <c r="G185" s="45">
        <f t="shared" si="6"/>
        <v>1000</v>
      </c>
      <c r="H185" s="119" t="s">
        <v>27</v>
      </c>
      <c r="I185" s="128" t="s">
        <v>2102</v>
      </c>
      <c r="J185" s="158">
        <f>99+1</f>
        <v>100</v>
      </c>
      <c r="K185" s="74">
        <v>11</v>
      </c>
      <c r="L185" s="156">
        <v>45254</v>
      </c>
      <c r="M185" s="45">
        <v>1000</v>
      </c>
      <c r="N185" s="45">
        <v>25</v>
      </c>
      <c r="O185" s="45" t="s">
        <v>1658</v>
      </c>
      <c r="P185" s="74" t="s">
        <v>28</v>
      </c>
      <c r="Q185" s="74">
        <v>8500064255</v>
      </c>
      <c r="R185" s="74">
        <v>5001249044</v>
      </c>
      <c r="S185" s="158">
        <f>99+1</f>
        <v>100</v>
      </c>
      <c r="T185" s="45" t="s">
        <v>87</v>
      </c>
      <c r="U185" s="45">
        <v>8500064254</v>
      </c>
      <c r="V185" s="45">
        <v>5001256965</v>
      </c>
      <c r="W185" s="127">
        <v>45255</v>
      </c>
      <c r="X185" s="152">
        <f>99+1</f>
        <v>100</v>
      </c>
      <c r="Y185" s="152">
        <f>990+10</f>
        <v>1000</v>
      </c>
      <c r="Z185" s="152" t="s">
        <v>1793</v>
      </c>
      <c r="AA185" s="152">
        <f t="shared" si="7"/>
        <v>0</v>
      </c>
      <c r="AB185" s="152">
        <f t="shared" si="8"/>
        <v>0</v>
      </c>
      <c r="AC185" s="74"/>
      <c r="AD185" s="74"/>
      <c r="AE185" s="157"/>
      <c r="AF185" s="157"/>
      <c r="AG185" s="157"/>
      <c r="AH185" s="141"/>
    </row>
    <row r="186" spans="1:34" ht="18.75" customHeight="1">
      <c r="A186" s="45"/>
      <c r="B186" s="121"/>
      <c r="C186" s="122"/>
      <c r="D186" s="122"/>
      <c r="E186" s="74">
        <v>10</v>
      </c>
      <c r="F186" s="74">
        <v>690</v>
      </c>
      <c r="G186" s="45">
        <f t="shared" si="6"/>
        <v>6900</v>
      </c>
      <c r="H186" s="119" t="s">
        <v>46</v>
      </c>
      <c r="I186" s="128">
        <v>45252</v>
      </c>
      <c r="J186" s="158">
        <v>690</v>
      </c>
      <c r="K186" s="74">
        <f>10+7</f>
        <v>17</v>
      </c>
      <c r="L186" s="156">
        <v>45255</v>
      </c>
      <c r="M186" s="45">
        <v>6900</v>
      </c>
      <c r="N186" s="45">
        <v>84</v>
      </c>
      <c r="O186" s="45" t="s">
        <v>2092</v>
      </c>
      <c r="P186" s="74" t="s">
        <v>28</v>
      </c>
      <c r="Q186" s="74">
        <v>8500064255</v>
      </c>
      <c r="R186" s="74">
        <v>5001249044</v>
      </c>
      <c r="S186" s="158">
        <v>690</v>
      </c>
      <c r="T186" s="45" t="s">
        <v>87</v>
      </c>
      <c r="U186" s="45">
        <v>8500064254</v>
      </c>
      <c r="V186" s="45">
        <v>5001256965</v>
      </c>
      <c r="W186" s="127" t="s">
        <v>2214</v>
      </c>
      <c r="X186" s="152">
        <f>300+390</f>
        <v>690</v>
      </c>
      <c r="Y186" s="152">
        <f>3000+3900</f>
        <v>6900</v>
      </c>
      <c r="Z186" s="152" t="s">
        <v>2198</v>
      </c>
      <c r="AA186" s="152">
        <f t="shared" si="7"/>
        <v>0</v>
      </c>
      <c r="AB186" s="152">
        <f t="shared" si="8"/>
        <v>0</v>
      </c>
      <c r="AC186" s="74"/>
      <c r="AD186" s="74"/>
      <c r="AE186" s="157"/>
      <c r="AF186" s="157"/>
      <c r="AG186" s="157"/>
      <c r="AH186" s="141"/>
    </row>
    <row r="187" spans="1:34" ht="18.75" customHeight="1">
      <c r="A187" s="45"/>
      <c r="B187" s="121"/>
      <c r="C187" s="136"/>
      <c r="D187" s="84"/>
      <c r="E187" s="74">
        <v>10</v>
      </c>
      <c r="F187" s="74">
        <v>690</v>
      </c>
      <c r="G187" s="45">
        <f t="shared" ref="G187:G203" si="9">F187*E187</f>
        <v>6900</v>
      </c>
      <c r="H187" s="119" t="s">
        <v>37</v>
      </c>
      <c r="I187" s="128">
        <v>45251</v>
      </c>
      <c r="J187" s="158">
        <v>690</v>
      </c>
      <c r="K187" s="74">
        <f>10+7</f>
        <v>17</v>
      </c>
      <c r="L187" s="156">
        <v>45254</v>
      </c>
      <c r="M187" s="45">
        <v>6900</v>
      </c>
      <c r="N187" s="45">
        <v>84</v>
      </c>
      <c r="O187" s="45" t="s">
        <v>1658</v>
      </c>
      <c r="P187" s="74" t="s">
        <v>28</v>
      </c>
      <c r="Q187" s="74">
        <v>8500064255</v>
      </c>
      <c r="R187" s="74">
        <v>5001244167</v>
      </c>
      <c r="S187" s="158">
        <v>690</v>
      </c>
      <c r="T187" s="45" t="s">
        <v>87</v>
      </c>
      <c r="U187" s="45">
        <v>8500064254</v>
      </c>
      <c r="V187" s="45">
        <v>5001256965</v>
      </c>
      <c r="W187" s="127" t="s">
        <v>2214</v>
      </c>
      <c r="X187" s="152">
        <f>300+390</f>
        <v>690</v>
      </c>
      <c r="Y187" s="152">
        <f>3000+3900</f>
        <v>6900</v>
      </c>
      <c r="Z187" s="152" t="s">
        <v>2199</v>
      </c>
      <c r="AA187" s="152">
        <f t="shared" si="7"/>
        <v>0</v>
      </c>
      <c r="AB187" s="152">
        <f t="shared" si="8"/>
        <v>0</v>
      </c>
      <c r="AC187" s="74"/>
      <c r="AD187" s="74"/>
      <c r="AE187" s="157"/>
      <c r="AF187" s="157"/>
      <c r="AG187" s="157"/>
      <c r="AH187" s="141"/>
    </row>
    <row r="188" spans="1:34" ht="18.75" customHeight="1">
      <c r="A188" s="45"/>
      <c r="B188" s="121"/>
      <c r="C188" s="74"/>
      <c r="D188" s="80"/>
      <c r="E188" s="74">
        <v>10</v>
      </c>
      <c r="F188" s="74">
        <v>690</v>
      </c>
      <c r="G188" s="45">
        <f t="shared" si="9"/>
        <v>6900</v>
      </c>
      <c r="H188" s="119" t="s">
        <v>146</v>
      </c>
      <c r="I188" s="128">
        <v>45252</v>
      </c>
      <c r="J188" s="158">
        <v>690</v>
      </c>
      <c r="K188" s="74">
        <f>10+8</f>
        <v>18</v>
      </c>
      <c r="L188" s="156">
        <v>45255</v>
      </c>
      <c r="M188" s="45">
        <v>6900</v>
      </c>
      <c r="N188" s="45">
        <v>84</v>
      </c>
      <c r="O188" s="45" t="s">
        <v>1754</v>
      </c>
      <c r="P188" s="74" t="s">
        <v>28</v>
      </c>
      <c r="Q188" s="74">
        <v>8500064257</v>
      </c>
      <c r="R188" s="74">
        <v>5001249045</v>
      </c>
      <c r="S188" s="158">
        <v>690</v>
      </c>
      <c r="T188" s="45" t="s">
        <v>87</v>
      </c>
      <c r="U188" s="45">
        <v>8500064256</v>
      </c>
      <c r="V188" s="45">
        <v>5001260813</v>
      </c>
      <c r="W188" s="127">
        <v>45271</v>
      </c>
      <c r="X188" s="152">
        <v>690</v>
      </c>
      <c r="Y188" s="152">
        <v>6900</v>
      </c>
      <c r="Z188" s="152" t="s">
        <v>2200</v>
      </c>
      <c r="AA188" s="152">
        <f t="shared" si="7"/>
        <v>0</v>
      </c>
      <c r="AB188" s="152">
        <f t="shared" si="8"/>
        <v>0</v>
      </c>
      <c r="AC188" s="74"/>
      <c r="AD188" s="74"/>
      <c r="AE188" s="157"/>
      <c r="AF188" s="157"/>
      <c r="AG188" s="157"/>
      <c r="AH188" s="141"/>
    </row>
    <row r="189" spans="1:34" ht="18.75" customHeight="1">
      <c r="A189" s="200" t="s">
        <v>240</v>
      </c>
      <c r="B189" s="195">
        <v>6000026403</v>
      </c>
      <c r="C189" s="194" t="s">
        <v>2050</v>
      </c>
      <c r="D189" s="203">
        <v>231225</v>
      </c>
      <c r="E189" s="74">
        <v>30</v>
      </c>
      <c r="F189" s="74">
        <v>35</v>
      </c>
      <c r="G189" s="45">
        <f t="shared" si="9"/>
        <v>1050</v>
      </c>
      <c r="H189" s="119" t="s">
        <v>37</v>
      </c>
      <c r="I189" s="128"/>
      <c r="J189" s="158"/>
      <c r="K189" s="74"/>
      <c r="L189" s="162"/>
      <c r="M189" s="45"/>
      <c r="N189" s="45"/>
      <c r="O189" s="45"/>
      <c r="P189" s="74"/>
      <c r="Q189" s="74"/>
      <c r="R189" s="74"/>
      <c r="S189" s="74"/>
      <c r="T189" s="45" t="s">
        <v>895</v>
      </c>
      <c r="U189" s="45">
        <v>8500064392</v>
      </c>
      <c r="V189" s="45">
        <v>5001286328</v>
      </c>
      <c r="W189" s="127"/>
      <c r="X189" s="152"/>
      <c r="Y189" s="152"/>
      <c r="Z189" s="152"/>
      <c r="AA189" s="152">
        <f t="shared" si="7"/>
        <v>0</v>
      </c>
      <c r="AB189" s="152">
        <f t="shared" si="8"/>
        <v>0</v>
      </c>
      <c r="AC189" s="74"/>
      <c r="AD189" s="74"/>
      <c r="AE189" s="157"/>
      <c r="AF189" s="157"/>
      <c r="AG189" s="157"/>
      <c r="AH189" s="141"/>
    </row>
    <row r="190" spans="1:34" ht="18.75" customHeight="1">
      <c r="A190" s="120" t="s">
        <v>240</v>
      </c>
      <c r="B190" s="121">
        <v>6000026403</v>
      </c>
      <c r="C190" s="2" t="s">
        <v>581</v>
      </c>
      <c r="D190" s="122">
        <v>231225</v>
      </c>
      <c r="E190" s="74">
        <v>30</v>
      </c>
      <c r="F190" s="74">
        <v>50</v>
      </c>
      <c r="G190" s="45">
        <f t="shared" si="9"/>
        <v>1500</v>
      </c>
      <c r="H190" s="119" t="s">
        <v>46</v>
      </c>
      <c r="I190" s="128">
        <v>45257</v>
      </c>
      <c r="J190" s="158">
        <v>50</v>
      </c>
      <c r="K190" s="74">
        <v>1</v>
      </c>
      <c r="L190" s="156">
        <v>45259</v>
      </c>
      <c r="M190" s="45">
        <v>1500</v>
      </c>
      <c r="N190" s="45">
        <v>15</v>
      </c>
      <c r="O190" s="45" t="s">
        <v>1746</v>
      </c>
      <c r="P190" s="74" t="s">
        <v>28</v>
      </c>
      <c r="Q190" s="74">
        <v>8500064416</v>
      </c>
      <c r="R190" s="74">
        <v>5001271097</v>
      </c>
      <c r="S190" s="74"/>
      <c r="T190" s="45" t="s">
        <v>794</v>
      </c>
      <c r="U190" s="45">
        <v>8500064412</v>
      </c>
      <c r="V190" s="45">
        <v>5001275368</v>
      </c>
      <c r="W190" s="127">
        <v>45276</v>
      </c>
      <c r="X190" s="152">
        <v>50</v>
      </c>
      <c r="Y190" s="152">
        <v>1500</v>
      </c>
      <c r="Z190" s="152" t="s">
        <v>800</v>
      </c>
      <c r="AA190" s="152">
        <f t="shared" si="7"/>
        <v>0</v>
      </c>
      <c r="AB190" s="152">
        <f t="shared" si="8"/>
        <v>0</v>
      </c>
      <c r="AC190" s="74"/>
      <c r="AD190" s="74"/>
      <c r="AE190" s="157"/>
      <c r="AF190" s="157"/>
      <c r="AG190" s="157"/>
      <c r="AH190" s="141"/>
    </row>
    <row r="191" spans="1:34" ht="18.75" customHeight="1">
      <c r="A191" s="200" t="s">
        <v>240</v>
      </c>
      <c r="B191" s="195">
        <v>6000026403</v>
      </c>
      <c r="C191" s="194" t="s">
        <v>584</v>
      </c>
      <c r="D191" s="203">
        <v>231225</v>
      </c>
      <c r="E191" s="74">
        <v>10</v>
      </c>
      <c r="F191" s="74">
        <v>50</v>
      </c>
      <c r="G191" s="45">
        <f t="shared" si="9"/>
        <v>500</v>
      </c>
      <c r="H191" s="119" t="s">
        <v>37</v>
      </c>
      <c r="I191" s="133"/>
      <c r="J191" s="158"/>
      <c r="K191" s="74"/>
      <c r="L191" s="156"/>
      <c r="M191" s="45"/>
      <c r="N191" s="45"/>
      <c r="O191" s="45"/>
      <c r="P191" s="74"/>
      <c r="Q191" s="74"/>
      <c r="R191" s="74"/>
      <c r="S191" s="74"/>
      <c r="T191" s="45" t="s">
        <v>895</v>
      </c>
      <c r="U191" s="45">
        <v>8500064424</v>
      </c>
      <c r="V191" s="45">
        <v>5001286337</v>
      </c>
      <c r="W191" s="151"/>
      <c r="X191" s="152"/>
      <c r="Y191" s="152"/>
      <c r="Z191" s="152"/>
      <c r="AA191" s="152">
        <f t="shared" si="7"/>
        <v>0</v>
      </c>
      <c r="AB191" s="152">
        <f t="shared" si="8"/>
        <v>0</v>
      </c>
      <c r="AC191" s="74"/>
      <c r="AD191" s="74"/>
      <c r="AE191" s="157"/>
      <c r="AF191" s="157"/>
      <c r="AG191" s="157"/>
      <c r="AH191" s="141"/>
    </row>
    <row r="192" spans="1:34" ht="18.75" customHeight="1">
      <c r="A192" s="200" t="s">
        <v>240</v>
      </c>
      <c r="B192" s="195">
        <v>6000026849</v>
      </c>
      <c r="C192" s="194" t="s">
        <v>2050</v>
      </c>
      <c r="D192" s="203">
        <v>240101</v>
      </c>
      <c r="E192" s="74">
        <v>30</v>
      </c>
      <c r="F192" s="74">
        <v>35</v>
      </c>
      <c r="G192" s="45">
        <f t="shared" si="9"/>
        <v>1050</v>
      </c>
      <c r="H192" s="119" t="s">
        <v>37</v>
      </c>
      <c r="I192" s="133"/>
      <c r="J192" s="158"/>
      <c r="K192" s="74"/>
      <c r="L192" s="156"/>
      <c r="M192" s="45"/>
      <c r="N192" s="45"/>
      <c r="O192" s="45"/>
      <c r="P192" s="74"/>
      <c r="Q192" s="74"/>
      <c r="R192" s="74"/>
      <c r="S192" s="74"/>
      <c r="T192" s="45" t="s">
        <v>895</v>
      </c>
      <c r="U192" s="45">
        <v>8500064495</v>
      </c>
      <c r="V192" s="45">
        <v>5001286318</v>
      </c>
      <c r="W192" s="127"/>
      <c r="X192" s="152"/>
      <c r="Y192" s="152"/>
      <c r="Z192" s="152"/>
      <c r="AA192" s="152">
        <f t="shared" si="7"/>
        <v>0</v>
      </c>
      <c r="AB192" s="152">
        <f t="shared" si="8"/>
        <v>0</v>
      </c>
      <c r="AC192" s="74"/>
      <c r="AD192" s="74"/>
      <c r="AE192" s="157"/>
      <c r="AF192" s="157"/>
      <c r="AG192" s="157"/>
      <c r="AH192" s="141"/>
    </row>
    <row r="193" spans="1:34" ht="18.75" customHeight="1">
      <c r="A193" s="120" t="s">
        <v>240</v>
      </c>
      <c r="B193" s="193">
        <v>6000026849</v>
      </c>
      <c r="C193" s="2" t="s">
        <v>2051</v>
      </c>
      <c r="D193" s="80">
        <v>240101</v>
      </c>
      <c r="E193" s="74">
        <v>30</v>
      </c>
      <c r="F193" s="74">
        <v>35</v>
      </c>
      <c r="G193" s="45">
        <f t="shared" si="9"/>
        <v>1050</v>
      </c>
      <c r="H193" s="119" t="s">
        <v>27</v>
      </c>
      <c r="I193" s="128">
        <v>45257</v>
      </c>
      <c r="J193" s="158">
        <v>35</v>
      </c>
      <c r="K193" s="74">
        <v>6</v>
      </c>
      <c r="L193" s="156">
        <v>45273</v>
      </c>
      <c r="M193" s="45">
        <v>1050</v>
      </c>
      <c r="N193" s="45">
        <v>11</v>
      </c>
      <c r="O193" s="45" t="s">
        <v>1389</v>
      </c>
      <c r="P193" s="74" t="s">
        <v>28</v>
      </c>
      <c r="Q193" s="74">
        <v>8500064502</v>
      </c>
      <c r="R193" s="74">
        <v>5001271098</v>
      </c>
      <c r="S193" s="74"/>
      <c r="T193" s="45" t="s">
        <v>794</v>
      </c>
      <c r="U193" s="45">
        <v>8500064801</v>
      </c>
      <c r="V193" s="45">
        <v>5001328047</v>
      </c>
      <c r="W193" s="127">
        <v>45282</v>
      </c>
      <c r="X193" s="152">
        <v>35</v>
      </c>
      <c r="Y193" s="152">
        <v>1050</v>
      </c>
      <c r="Z193" s="152" t="s">
        <v>800</v>
      </c>
      <c r="AA193" s="152">
        <f t="shared" si="7"/>
        <v>0</v>
      </c>
      <c r="AB193" s="152">
        <f t="shared" si="8"/>
        <v>0</v>
      </c>
      <c r="AC193" s="74"/>
      <c r="AD193" s="74"/>
      <c r="AE193" s="157"/>
      <c r="AF193" s="157"/>
      <c r="AG193" s="157"/>
      <c r="AH193" s="141"/>
    </row>
    <row r="194" spans="1:34" ht="18.75" customHeight="1">
      <c r="A194" s="200" t="s">
        <v>240</v>
      </c>
      <c r="B194" s="201">
        <v>6000026849</v>
      </c>
      <c r="C194" s="194" t="s">
        <v>581</v>
      </c>
      <c r="D194" s="202">
        <v>240101</v>
      </c>
      <c r="E194" s="196">
        <v>30</v>
      </c>
      <c r="F194" s="196">
        <v>35</v>
      </c>
      <c r="G194" s="197">
        <f t="shared" si="9"/>
        <v>1050</v>
      </c>
      <c r="H194" s="198" t="s">
        <v>27</v>
      </c>
      <c r="I194" s="128"/>
      <c r="J194" s="158"/>
      <c r="K194" s="74"/>
      <c r="L194" s="162"/>
      <c r="M194" s="45"/>
      <c r="N194" s="45"/>
      <c r="O194" s="45"/>
      <c r="P194" s="74"/>
      <c r="Q194" s="74"/>
      <c r="R194" s="74"/>
      <c r="S194" s="74"/>
      <c r="T194" s="45" t="s">
        <v>895</v>
      </c>
      <c r="U194" s="45">
        <v>8500064503</v>
      </c>
      <c r="V194" s="45">
        <v>5001345522</v>
      </c>
      <c r="W194" s="151"/>
      <c r="X194" s="152"/>
      <c r="Y194" s="152"/>
      <c r="Z194" s="152"/>
      <c r="AA194" s="152">
        <f t="shared" si="7"/>
        <v>0</v>
      </c>
      <c r="AB194" s="152">
        <f t="shared" si="8"/>
        <v>0</v>
      </c>
      <c r="AC194" s="74"/>
      <c r="AD194" s="74"/>
      <c r="AE194" s="157"/>
      <c r="AF194" s="157"/>
      <c r="AG194" s="157"/>
      <c r="AH194" s="141"/>
    </row>
    <row r="195" spans="1:34" ht="18.75" customHeight="1">
      <c r="A195" s="45"/>
      <c r="B195" s="121"/>
      <c r="C195" s="74"/>
      <c r="D195" s="80"/>
      <c r="E195" s="74">
        <v>30</v>
      </c>
      <c r="F195" s="74">
        <v>50</v>
      </c>
      <c r="G195" s="45">
        <f t="shared" si="9"/>
        <v>1500</v>
      </c>
      <c r="H195" s="119" t="s">
        <v>46</v>
      </c>
      <c r="I195" s="128">
        <v>45257</v>
      </c>
      <c r="J195" s="158">
        <v>50</v>
      </c>
      <c r="K195" s="74">
        <v>2</v>
      </c>
      <c r="L195" s="156">
        <v>45281</v>
      </c>
      <c r="M195" s="45">
        <v>1500</v>
      </c>
      <c r="N195" s="45">
        <v>15</v>
      </c>
      <c r="O195" s="45" t="s">
        <v>858</v>
      </c>
      <c r="P195" s="74" t="s">
        <v>28</v>
      </c>
      <c r="Q195" s="74">
        <v>8500064504</v>
      </c>
      <c r="R195" s="74">
        <v>5001271096</v>
      </c>
      <c r="S195" s="74"/>
      <c r="T195" s="45" t="s">
        <v>794</v>
      </c>
      <c r="U195" s="45">
        <v>8500064503</v>
      </c>
      <c r="V195" s="45">
        <v>5001357702</v>
      </c>
      <c r="W195" s="127">
        <v>45287</v>
      </c>
      <c r="X195" s="152">
        <v>50</v>
      </c>
      <c r="Y195" s="152">
        <v>1500</v>
      </c>
      <c r="Z195" s="152" t="s">
        <v>1980</v>
      </c>
      <c r="AA195" s="152">
        <f t="shared" si="7"/>
        <v>0</v>
      </c>
      <c r="AB195" s="152">
        <f t="shared" si="8"/>
        <v>0</v>
      </c>
      <c r="AC195" s="74"/>
      <c r="AD195" s="74"/>
      <c r="AE195" s="157"/>
      <c r="AF195" s="157"/>
      <c r="AG195" s="157"/>
      <c r="AH195" s="141"/>
    </row>
    <row r="196" spans="1:34" ht="18.75" customHeight="1">
      <c r="A196" s="45"/>
      <c r="B196" s="121"/>
      <c r="C196" s="136"/>
      <c r="D196" s="80"/>
      <c r="E196" s="74">
        <v>30</v>
      </c>
      <c r="F196" s="74">
        <v>35</v>
      </c>
      <c r="G196" s="45">
        <f t="shared" si="9"/>
        <v>1050</v>
      </c>
      <c r="H196" s="119" t="s">
        <v>37</v>
      </c>
      <c r="I196" s="128">
        <v>45257</v>
      </c>
      <c r="J196" s="158">
        <v>35</v>
      </c>
      <c r="K196" s="74">
        <v>1</v>
      </c>
      <c r="L196" s="156">
        <v>45273</v>
      </c>
      <c r="M196" s="45">
        <v>1050</v>
      </c>
      <c r="N196" s="45">
        <v>11</v>
      </c>
      <c r="O196" s="45" t="s">
        <v>824</v>
      </c>
      <c r="P196" s="74" t="s">
        <v>28</v>
      </c>
      <c r="Q196" s="74">
        <v>8500064504</v>
      </c>
      <c r="R196" s="74">
        <v>5001271096</v>
      </c>
      <c r="S196" s="74"/>
      <c r="T196" s="45" t="s">
        <v>794</v>
      </c>
      <c r="U196" s="45">
        <v>8500064503</v>
      </c>
      <c r="V196" s="45">
        <v>5001328062</v>
      </c>
      <c r="W196" s="127">
        <v>45282</v>
      </c>
      <c r="X196" s="152">
        <v>35</v>
      </c>
      <c r="Y196" s="152">
        <v>1050</v>
      </c>
      <c r="Z196" s="152" t="s">
        <v>800</v>
      </c>
      <c r="AA196" s="152">
        <f t="shared" si="7"/>
        <v>0</v>
      </c>
      <c r="AB196" s="152">
        <f t="shared" si="8"/>
        <v>0</v>
      </c>
      <c r="AC196" s="74"/>
      <c r="AD196" s="496"/>
      <c r="AE196" s="157"/>
      <c r="AF196" s="157"/>
      <c r="AG196" s="157"/>
      <c r="AH196" s="141"/>
    </row>
    <row r="197" spans="1:34" ht="18.75" customHeight="1">
      <c r="A197" s="200" t="s">
        <v>240</v>
      </c>
      <c r="B197" s="201">
        <v>6000026849</v>
      </c>
      <c r="C197" s="194" t="s">
        <v>584</v>
      </c>
      <c r="D197" s="202">
        <v>240101</v>
      </c>
      <c r="E197" s="74">
        <v>10</v>
      </c>
      <c r="F197" s="74">
        <v>50</v>
      </c>
      <c r="G197" s="45">
        <f t="shared" si="9"/>
        <v>500</v>
      </c>
      <c r="H197" s="119" t="s">
        <v>27</v>
      </c>
      <c r="I197" s="133"/>
      <c r="J197" s="158"/>
      <c r="K197" s="74"/>
      <c r="L197" s="156"/>
      <c r="M197" s="45"/>
      <c r="N197" s="45"/>
      <c r="O197" s="45"/>
      <c r="P197" s="74"/>
      <c r="Q197" s="74"/>
      <c r="R197" s="74"/>
      <c r="S197" s="74"/>
      <c r="T197" s="45" t="s">
        <v>895</v>
      </c>
      <c r="U197" s="45">
        <v>8500064505</v>
      </c>
      <c r="V197" s="45">
        <v>5001286320</v>
      </c>
      <c r="W197" s="127"/>
      <c r="X197" s="152"/>
      <c r="Y197" s="152"/>
      <c r="Z197" s="152"/>
      <c r="AA197" s="152">
        <f t="shared" si="7"/>
        <v>0</v>
      </c>
      <c r="AB197" s="152">
        <f t="shared" si="8"/>
        <v>0</v>
      </c>
      <c r="AC197" s="74"/>
      <c r="AD197" s="497"/>
      <c r="AE197" s="157"/>
      <c r="AF197" s="157"/>
      <c r="AG197" s="157"/>
      <c r="AH197" s="141"/>
    </row>
    <row r="198" spans="1:34" ht="18.75" customHeight="1">
      <c r="A198" s="197"/>
      <c r="B198" s="195"/>
      <c r="C198" s="196"/>
      <c r="D198" s="199"/>
      <c r="E198" s="74">
        <v>10</v>
      </c>
      <c r="F198" s="74">
        <v>50</v>
      </c>
      <c r="G198" s="45">
        <f t="shared" si="9"/>
        <v>500</v>
      </c>
      <c r="H198" s="119" t="s">
        <v>46</v>
      </c>
      <c r="I198" s="133"/>
      <c r="J198" s="158"/>
      <c r="K198" s="74"/>
      <c r="L198" s="156"/>
      <c r="M198" s="45"/>
      <c r="N198" s="45"/>
      <c r="O198" s="45"/>
      <c r="P198" s="74"/>
      <c r="Q198" s="74"/>
      <c r="R198" s="74"/>
      <c r="S198" s="74"/>
      <c r="T198" s="45" t="s">
        <v>895</v>
      </c>
      <c r="U198" s="45">
        <v>8500064505</v>
      </c>
      <c r="V198" s="45">
        <v>5001286320</v>
      </c>
      <c r="W198" s="151"/>
      <c r="X198" s="152"/>
      <c r="Y198" s="152"/>
      <c r="Z198" s="152"/>
      <c r="AA198" s="152">
        <f t="shared" si="7"/>
        <v>0</v>
      </c>
      <c r="AB198" s="152">
        <f t="shared" si="8"/>
        <v>0</v>
      </c>
      <c r="AC198" s="74"/>
      <c r="AD198" s="498"/>
      <c r="AE198" s="157"/>
      <c r="AF198" s="157"/>
      <c r="AG198" s="157"/>
      <c r="AH198" s="141"/>
    </row>
    <row r="199" spans="1:34" ht="18.75" customHeight="1">
      <c r="A199" s="200" t="s">
        <v>240</v>
      </c>
      <c r="B199" s="201">
        <v>6000026849</v>
      </c>
      <c r="C199" s="194" t="s">
        <v>2052</v>
      </c>
      <c r="D199" s="202">
        <v>240101</v>
      </c>
      <c r="E199" s="74">
        <v>30</v>
      </c>
      <c r="F199" s="74">
        <v>35</v>
      </c>
      <c r="G199" s="45">
        <f t="shared" si="9"/>
        <v>1050</v>
      </c>
      <c r="H199" s="119" t="s">
        <v>27</v>
      </c>
      <c r="I199" s="133"/>
      <c r="J199" s="158"/>
      <c r="K199" s="74"/>
      <c r="L199" s="156"/>
      <c r="M199" s="45"/>
      <c r="N199" s="45"/>
      <c r="O199" s="45"/>
      <c r="P199" s="74"/>
      <c r="Q199" s="74"/>
      <c r="R199" s="74"/>
      <c r="S199" s="74"/>
      <c r="T199" s="45" t="s">
        <v>895</v>
      </c>
      <c r="U199" s="45">
        <v>8500064507</v>
      </c>
      <c r="V199" s="45">
        <v>5001345479</v>
      </c>
      <c r="W199" s="127"/>
      <c r="X199" s="152"/>
      <c r="Y199" s="152"/>
      <c r="Z199" s="152"/>
      <c r="AA199" s="152">
        <f t="shared" si="7"/>
        <v>0</v>
      </c>
      <c r="AB199" s="152">
        <f t="shared" si="8"/>
        <v>0</v>
      </c>
      <c r="AC199" s="74"/>
      <c r="AD199" s="74"/>
      <c r="AE199" s="157"/>
      <c r="AF199" s="157"/>
      <c r="AG199" s="157"/>
      <c r="AH199" s="141"/>
    </row>
    <row r="200" spans="1:34" ht="47.25" customHeight="1">
      <c r="A200" s="45" t="s">
        <v>1795</v>
      </c>
      <c r="B200" s="121">
        <v>6000026707</v>
      </c>
      <c r="C200" s="74" t="s">
        <v>2074</v>
      </c>
      <c r="D200" s="80" t="s">
        <v>2075</v>
      </c>
      <c r="E200" s="74">
        <v>10</v>
      </c>
      <c r="F200" s="74">
        <v>1672</v>
      </c>
      <c r="G200" s="45">
        <f>F200*E200</f>
        <v>16720</v>
      </c>
      <c r="H200" s="119" t="s">
        <v>46</v>
      </c>
      <c r="I200" s="128">
        <v>45254</v>
      </c>
      <c r="J200" s="74">
        <v>1672</v>
      </c>
      <c r="K200" s="74">
        <f>18+2</f>
        <v>20</v>
      </c>
      <c r="L200" s="156">
        <v>45254</v>
      </c>
      <c r="M200" s="45">
        <v>16720</v>
      </c>
      <c r="N200" s="45">
        <v>167</v>
      </c>
      <c r="O200" s="45"/>
      <c r="P200" s="74" t="s">
        <v>160</v>
      </c>
      <c r="Q200" s="74">
        <v>8500063988</v>
      </c>
      <c r="R200" s="74"/>
      <c r="S200" s="74">
        <v>1672</v>
      </c>
      <c r="T200" s="45" t="s">
        <v>87</v>
      </c>
      <c r="U200" s="45"/>
      <c r="V200" s="45"/>
      <c r="W200" s="127" t="s">
        <v>2149</v>
      </c>
      <c r="X200" s="152">
        <f>222+1000+450</f>
        <v>1672</v>
      </c>
      <c r="Y200" s="152">
        <f>2220+10000+4500</f>
        <v>16720</v>
      </c>
      <c r="Z200" s="152" t="s">
        <v>2151</v>
      </c>
      <c r="AA200" s="152">
        <f t="shared" ref="AA200:AA251" si="10">J200-X200</f>
        <v>0</v>
      </c>
      <c r="AB200" s="152">
        <f t="shared" ref="AB200:AB251" si="11">M200-Y200</f>
        <v>0</v>
      </c>
      <c r="AC200" s="53" t="s">
        <v>2150</v>
      </c>
      <c r="AD200" s="74"/>
      <c r="AE200" s="157"/>
      <c r="AF200" s="157"/>
      <c r="AG200" s="157"/>
      <c r="AH200" s="141"/>
    </row>
    <row r="201" spans="1:34" ht="18.75" customHeight="1">
      <c r="A201" s="45" t="s">
        <v>2078</v>
      </c>
      <c r="B201" s="121">
        <v>6000026734</v>
      </c>
      <c r="C201" s="74" t="s">
        <v>2077</v>
      </c>
      <c r="D201" s="80">
        <v>6000026734</v>
      </c>
      <c r="E201" s="74">
        <v>10</v>
      </c>
      <c r="F201" s="74">
        <v>1000</v>
      </c>
      <c r="G201" s="45">
        <f t="shared" si="9"/>
        <v>10000</v>
      </c>
      <c r="H201" s="119" t="s">
        <v>27</v>
      </c>
      <c r="I201" s="128">
        <v>45254</v>
      </c>
      <c r="J201" s="74">
        <v>1000</v>
      </c>
      <c r="K201" s="74">
        <v>10</v>
      </c>
      <c r="L201" s="156">
        <v>45260</v>
      </c>
      <c r="M201" s="45">
        <v>10000</v>
      </c>
      <c r="N201" s="45">
        <v>50</v>
      </c>
      <c r="O201" s="45" t="s">
        <v>1439</v>
      </c>
      <c r="P201" s="74" t="s">
        <v>160</v>
      </c>
      <c r="Q201" s="74">
        <v>8500064562</v>
      </c>
      <c r="R201" s="74">
        <v>5001256963</v>
      </c>
      <c r="S201" s="74">
        <v>1000</v>
      </c>
      <c r="T201" s="45" t="s">
        <v>152</v>
      </c>
      <c r="U201" s="45">
        <v>8500064561</v>
      </c>
      <c r="V201" s="45">
        <v>5001280111</v>
      </c>
      <c r="W201" s="127">
        <v>45283</v>
      </c>
      <c r="X201" s="152">
        <v>1000</v>
      </c>
      <c r="Y201" s="152">
        <v>10000</v>
      </c>
      <c r="Z201" s="152" t="s">
        <v>800</v>
      </c>
      <c r="AA201" s="152">
        <f t="shared" si="10"/>
        <v>0</v>
      </c>
      <c r="AB201" s="152">
        <f t="shared" si="11"/>
        <v>0</v>
      </c>
      <c r="AC201" s="74"/>
      <c r="AD201" s="74"/>
      <c r="AE201" s="157"/>
      <c r="AF201" s="157"/>
      <c r="AG201" s="157"/>
      <c r="AH201" s="141"/>
    </row>
    <row r="202" spans="1:34" ht="18.75" customHeight="1">
      <c r="A202" s="45"/>
      <c r="B202" s="121"/>
      <c r="C202" s="74"/>
      <c r="D202" s="217" t="s">
        <v>2147</v>
      </c>
      <c r="E202" s="218">
        <v>10</v>
      </c>
      <c r="F202" s="218">
        <v>3000</v>
      </c>
      <c r="G202" s="219">
        <f t="shared" si="9"/>
        <v>30000</v>
      </c>
      <c r="H202" s="119" t="s">
        <v>37</v>
      </c>
      <c r="I202" s="128">
        <v>45254</v>
      </c>
      <c r="J202" s="74">
        <v>3000</v>
      </c>
      <c r="K202" s="74">
        <f>28+9</f>
        <v>37</v>
      </c>
      <c r="L202" s="156">
        <v>45260</v>
      </c>
      <c r="M202" s="45">
        <v>30000</v>
      </c>
      <c r="N202" s="45">
        <v>150</v>
      </c>
      <c r="O202" s="45" t="s">
        <v>720</v>
      </c>
      <c r="P202" s="74" t="s">
        <v>160</v>
      </c>
      <c r="Q202" s="74">
        <v>8500064562</v>
      </c>
      <c r="R202" s="74">
        <v>5001256963</v>
      </c>
      <c r="S202" s="74">
        <v>3000</v>
      </c>
      <c r="T202" s="45" t="s">
        <v>152</v>
      </c>
      <c r="U202" s="45">
        <v>8500064561</v>
      </c>
      <c r="V202" s="45">
        <v>5001280111</v>
      </c>
      <c r="W202" s="127" t="s">
        <v>2321</v>
      </c>
      <c r="X202" s="152">
        <f>2900+100</f>
        <v>3000</v>
      </c>
      <c r="Y202" s="152">
        <f>29000+1000</f>
        <v>30000</v>
      </c>
      <c r="Z202" s="152" t="s">
        <v>2322</v>
      </c>
      <c r="AA202" s="152">
        <f t="shared" si="10"/>
        <v>0</v>
      </c>
      <c r="AB202" s="152">
        <f t="shared" si="11"/>
        <v>0</v>
      </c>
      <c r="AC202" s="74" t="s">
        <v>2148</v>
      </c>
      <c r="AD202" s="74"/>
      <c r="AE202" s="157"/>
      <c r="AF202" s="157"/>
      <c r="AG202" s="157"/>
      <c r="AH202" s="141"/>
    </row>
    <row r="203" spans="1:34" ht="18.75" customHeight="1">
      <c r="A203" s="45"/>
      <c r="B203" s="121"/>
      <c r="C203" s="74"/>
      <c r="D203" s="80"/>
      <c r="E203" s="74">
        <v>10</v>
      </c>
      <c r="F203" s="74">
        <v>500</v>
      </c>
      <c r="G203" s="45">
        <f t="shared" si="9"/>
        <v>5000</v>
      </c>
      <c r="H203" s="119" t="s">
        <v>146</v>
      </c>
      <c r="I203" s="128">
        <v>45254</v>
      </c>
      <c r="J203" s="74">
        <v>500</v>
      </c>
      <c r="K203" s="74">
        <f>6+3</f>
        <v>9</v>
      </c>
      <c r="L203" s="156">
        <v>45260</v>
      </c>
      <c r="M203" s="45">
        <v>5000</v>
      </c>
      <c r="N203" s="45">
        <v>25</v>
      </c>
      <c r="O203" s="45" t="s">
        <v>922</v>
      </c>
      <c r="P203" s="74" t="s">
        <v>160</v>
      </c>
      <c r="Q203" s="74">
        <v>8500064562</v>
      </c>
      <c r="R203" s="74">
        <v>5001256963</v>
      </c>
      <c r="S203" s="74">
        <v>500</v>
      </c>
      <c r="T203" s="45" t="s">
        <v>152</v>
      </c>
      <c r="U203" s="45">
        <v>8500064561</v>
      </c>
      <c r="V203" s="45">
        <v>5001280111</v>
      </c>
      <c r="W203" s="127" t="s">
        <v>2314</v>
      </c>
      <c r="X203" s="152">
        <f>403+97</f>
        <v>500</v>
      </c>
      <c r="Y203" s="152">
        <f>4030+970</f>
        <v>5000</v>
      </c>
      <c r="Z203" s="152" t="s">
        <v>1785</v>
      </c>
      <c r="AA203" s="152">
        <f t="shared" si="10"/>
        <v>0</v>
      </c>
      <c r="AB203" s="152">
        <f t="shared" si="11"/>
        <v>0</v>
      </c>
      <c r="AC203" s="74"/>
      <c r="AD203" s="74"/>
      <c r="AE203" s="157"/>
      <c r="AF203" s="157"/>
      <c r="AG203" s="157"/>
      <c r="AH203" s="141"/>
    </row>
    <row r="204" spans="1:34" ht="18.75" customHeight="1">
      <c r="A204" s="45" t="s">
        <v>2078</v>
      </c>
      <c r="B204" s="121">
        <v>6000026736</v>
      </c>
      <c r="C204" s="74" t="s">
        <v>2077</v>
      </c>
      <c r="D204" s="80">
        <v>6000026736</v>
      </c>
      <c r="E204" s="74">
        <v>10</v>
      </c>
      <c r="F204" s="74">
        <v>1000</v>
      </c>
      <c r="G204" s="45">
        <f>F204*E204</f>
        <v>10000</v>
      </c>
      <c r="H204" s="119" t="s">
        <v>27</v>
      </c>
      <c r="I204" s="128">
        <v>45257</v>
      </c>
      <c r="J204" s="158">
        <v>1000</v>
      </c>
      <c r="K204" s="74">
        <v>20</v>
      </c>
      <c r="L204" s="156">
        <v>45260</v>
      </c>
      <c r="M204" s="45">
        <v>10000</v>
      </c>
      <c r="N204" s="45">
        <v>50</v>
      </c>
      <c r="O204" s="45" t="s">
        <v>862</v>
      </c>
      <c r="P204" s="74" t="s">
        <v>160</v>
      </c>
      <c r="Q204" s="74">
        <v>8500064558</v>
      </c>
      <c r="R204" s="74">
        <v>5001271026</v>
      </c>
      <c r="S204" s="158">
        <v>1000</v>
      </c>
      <c r="T204" s="45" t="s">
        <v>152</v>
      </c>
      <c r="U204" s="45">
        <v>8500064557</v>
      </c>
      <c r="V204" s="45">
        <v>5001280094</v>
      </c>
      <c r="W204" s="127">
        <v>45285</v>
      </c>
      <c r="X204" s="152">
        <v>1000</v>
      </c>
      <c r="Y204" s="152">
        <v>10000</v>
      </c>
      <c r="Z204" s="152" t="s">
        <v>800</v>
      </c>
      <c r="AA204" s="152">
        <f t="shared" si="10"/>
        <v>0</v>
      </c>
      <c r="AB204" s="152">
        <f t="shared" si="11"/>
        <v>0</v>
      </c>
      <c r="AC204" s="74"/>
      <c r="AD204" s="74"/>
      <c r="AE204" s="157"/>
      <c r="AF204" s="157"/>
      <c r="AG204" s="157"/>
      <c r="AH204" s="141"/>
    </row>
    <row r="205" spans="1:34" ht="18.75" customHeight="1">
      <c r="A205" s="45"/>
      <c r="B205" s="121"/>
      <c r="C205" s="74"/>
      <c r="D205" s="80"/>
      <c r="E205" s="74">
        <v>10</v>
      </c>
      <c r="F205" s="74">
        <v>1000</v>
      </c>
      <c r="G205" s="45">
        <f t="shared" ref="G205:G251" si="12">F205*E205</f>
        <v>10000</v>
      </c>
      <c r="H205" s="119" t="s">
        <v>46</v>
      </c>
      <c r="I205" s="128">
        <v>45257</v>
      </c>
      <c r="J205" s="158">
        <v>1000</v>
      </c>
      <c r="K205" s="74">
        <v>27</v>
      </c>
      <c r="L205" s="156">
        <v>45259</v>
      </c>
      <c r="M205" s="45">
        <v>10000</v>
      </c>
      <c r="N205" s="45">
        <v>50</v>
      </c>
      <c r="O205" s="45" t="s">
        <v>1791</v>
      </c>
      <c r="P205" s="74" t="s">
        <v>160</v>
      </c>
      <c r="Q205" s="74">
        <v>8500064558</v>
      </c>
      <c r="R205" s="74">
        <v>5001271026</v>
      </c>
      <c r="S205" s="158">
        <v>1000</v>
      </c>
      <c r="T205" s="45" t="s">
        <v>152</v>
      </c>
      <c r="U205" s="45">
        <v>8500064557</v>
      </c>
      <c r="V205" s="45">
        <v>5001276269</v>
      </c>
      <c r="W205" s="127" t="s">
        <v>2323</v>
      </c>
      <c r="X205" s="152">
        <f>308+440+252</f>
        <v>1000</v>
      </c>
      <c r="Y205" s="152">
        <f>3080+4400+2520</f>
        <v>10000</v>
      </c>
      <c r="Z205" s="152" t="s">
        <v>1785</v>
      </c>
      <c r="AA205" s="152">
        <f t="shared" si="10"/>
        <v>0</v>
      </c>
      <c r="AB205" s="152">
        <f t="shared" si="11"/>
        <v>0</v>
      </c>
      <c r="AC205" s="74"/>
      <c r="AD205" s="74"/>
      <c r="AE205" s="157"/>
      <c r="AF205" s="157"/>
      <c r="AG205" s="157"/>
      <c r="AH205" s="141"/>
    </row>
    <row r="206" spans="1:34" ht="30.75" customHeight="1">
      <c r="A206" s="45"/>
      <c r="B206" s="121"/>
      <c r="C206" s="74"/>
      <c r="D206" s="80"/>
      <c r="E206" s="74">
        <v>10</v>
      </c>
      <c r="F206" s="74">
        <v>2500</v>
      </c>
      <c r="G206" s="45">
        <f t="shared" si="12"/>
        <v>25000</v>
      </c>
      <c r="H206" s="119" t="s">
        <v>146</v>
      </c>
      <c r="I206" s="128">
        <v>45257</v>
      </c>
      <c r="J206" s="158">
        <v>2500</v>
      </c>
      <c r="K206" s="74">
        <v>30</v>
      </c>
      <c r="L206" s="156">
        <v>45260</v>
      </c>
      <c r="M206" s="45">
        <v>25000</v>
      </c>
      <c r="N206" s="45">
        <v>125</v>
      </c>
      <c r="O206" s="45" t="s">
        <v>862</v>
      </c>
      <c r="P206" s="74" t="s">
        <v>160</v>
      </c>
      <c r="Q206" s="74">
        <v>8500064558</v>
      </c>
      <c r="R206" s="74">
        <v>5001271026</v>
      </c>
      <c r="S206" s="158">
        <v>2500</v>
      </c>
      <c r="T206" s="45" t="s">
        <v>152</v>
      </c>
      <c r="U206" s="45">
        <v>8500064557</v>
      </c>
      <c r="V206" s="45">
        <v>5001280094</v>
      </c>
      <c r="W206" s="127" t="s">
        <v>2340</v>
      </c>
      <c r="X206" s="152">
        <f>1623+253+624</f>
        <v>2500</v>
      </c>
      <c r="Y206" s="152">
        <f>16230+2530+6240</f>
        <v>25000</v>
      </c>
      <c r="Z206" s="152" t="s">
        <v>1810</v>
      </c>
      <c r="AA206" s="152">
        <f t="shared" si="10"/>
        <v>0</v>
      </c>
      <c r="AB206" s="152">
        <f t="shared" si="11"/>
        <v>0</v>
      </c>
      <c r="AC206" s="74"/>
      <c r="AD206" s="74"/>
      <c r="AE206" s="157"/>
      <c r="AF206" s="157"/>
      <c r="AG206" s="157"/>
      <c r="AH206" s="141"/>
    </row>
    <row r="207" spans="1:34" ht="58.5" customHeight="1">
      <c r="A207" s="45" t="s">
        <v>2078</v>
      </c>
      <c r="B207" s="121">
        <v>6000026737</v>
      </c>
      <c r="C207" s="74" t="s">
        <v>2077</v>
      </c>
      <c r="D207" s="220">
        <v>6000026737</v>
      </c>
      <c r="E207" s="221">
        <v>10</v>
      </c>
      <c r="F207" s="218">
        <v>4500</v>
      </c>
      <c r="G207" s="219">
        <f t="shared" si="12"/>
        <v>45000</v>
      </c>
      <c r="H207" s="222" t="s">
        <v>46</v>
      </c>
      <c r="I207" s="128">
        <v>45261</v>
      </c>
      <c r="J207" s="158">
        <v>4500</v>
      </c>
      <c r="K207" s="74">
        <f>46+6</f>
        <v>52</v>
      </c>
      <c r="L207" s="156">
        <v>45259</v>
      </c>
      <c r="M207" s="45">
        <v>45000</v>
      </c>
      <c r="N207" s="45">
        <v>225</v>
      </c>
      <c r="O207" s="45" t="s">
        <v>2122</v>
      </c>
      <c r="P207" s="74" t="s">
        <v>160</v>
      </c>
      <c r="Q207" s="74">
        <v>8500064560</v>
      </c>
      <c r="R207" s="74">
        <v>5001283695</v>
      </c>
      <c r="S207" s="158">
        <v>4500</v>
      </c>
      <c r="T207" s="45" t="s">
        <v>152</v>
      </c>
      <c r="U207" s="45">
        <v>8500064559</v>
      </c>
      <c r="V207" s="45">
        <v>5001276315</v>
      </c>
      <c r="W207" s="127" t="s">
        <v>2341</v>
      </c>
      <c r="X207" s="152">
        <f>2000+700+739+1061</f>
        <v>4500</v>
      </c>
      <c r="Y207" s="152">
        <f>20000+7000+7390+10610</f>
        <v>45000</v>
      </c>
      <c r="Z207" s="152" t="s">
        <v>2342</v>
      </c>
      <c r="AA207" s="152">
        <f t="shared" si="10"/>
        <v>0</v>
      </c>
      <c r="AB207" s="152">
        <f t="shared" si="11"/>
        <v>0</v>
      </c>
      <c r="AC207" s="74" t="s">
        <v>2180</v>
      </c>
      <c r="AD207" s="74"/>
      <c r="AE207" s="157"/>
      <c r="AF207" s="157"/>
      <c r="AG207" s="157"/>
      <c r="AH207" s="141"/>
    </row>
    <row r="208" spans="1:34" ht="18.75" customHeight="1">
      <c r="A208" s="45" t="s">
        <v>2078</v>
      </c>
      <c r="B208" s="121">
        <v>6000026738</v>
      </c>
      <c r="C208" s="74" t="s">
        <v>2077</v>
      </c>
      <c r="D208" s="80">
        <v>6000026738</v>
      </c>
      <c r="E208" s="74">
        <v>10</v>
      </c>
      <c r="F208" s="74">
        <v>4500</v>
      </c>
      <c r="G208" s="45">
        <f t="shared" si="12"/>
        <v>45000</v>
      </c>
      <c r="H208" s="119" t="s">
        <v>46</v>
      </c>
      <c r="I208" s="128">
        <v>45272</v>
      </c>
      <c r="J208" s="158">
        <v>4500</v>
      </c>
      <c r="K208" s="74">
        <f>46+1</f>
        <v>47</v>
      </c>
      <c r="L208" s="156">
        <v>45259</v>
      </c>
      <c r="M208" s="45">
        <v>45000</v>
      </c>
      <c r="N208" s="45">
        <v>225</v>
      </c>
      <c r="O208" s="45" t="s">
        <v>2123</v>
      </c>
      <c r="P208" s="74" t="s">
        <v>160</v>
      </c>
      <c r="Q208" s="74">
        <v>8500064564</v>
      </c>
      <c r="R208" s="74">
        <v>5001323666</v>
      </c>
      <c r="S208" s="158">
        <v>4500</v>
      </c>
      <c r="T208" s="45" t="s">
        <v>152</v>
      </c>
      <c r="U208" s="45">
        <v>8500064563</v>
      </c>
      <c r="V208" s="45">
        <v>5001276316</v>
      </c>
      <c r="W208" s="127" t="s">
        <v>2425</v>
      </c>
      <c r="X208" s="152">
        <f>1000+450+1000+2050</f>
        <v>4500</v>
      </c>
      <c r="Y208" s="152">
        <f>10000+4500+10000+20500</f>
        <v>45000</v>
      </c>
      <c r="Z208" s="152" t="s">
        <v>2426</v>
      </c>
      <c r="AA208" s="152">
        <f>J208-X208</f>
        <v>0</v>
      </c>
      <c r="AB208" s="152">
        <f>M208-Y208</f>
        <v>0</v>
      </c>
      <c r="AC208" s="74"/>
      <c r="AD208" s="74"/>
      <c r="AE208" s="157"/>
      <c r="AF208" s="157"/>
      <c r="AG208" s="157"/>
      <c r="AH208" s="141"/>
    </row>
    <row r="209" spans="1:34" ht="18.75" customHeight="1">
      <c r="A209" s="45" t="s">
        <v>178</v>
      </c>
      <c r="B209" s="121">
        <v>6000026820</v>
      </c>
      <c r="C209" s="74" t="s">
        <v>2099</v>
      </c>
      <c r="D209" s="80">
        <v>4924015002</v>
      </c>
      <c r="E209" s="74">
        <v>4</v>
      </c>
      <c r="F209" s="74">
        <v>1300</v>
      </c>
      <c r="G209" s="45">
        <f t="shared" si="12"/>
        <v>5200</v>
      </c>
      <c r="H209" s="119" t="s">
        <v>46</v>
      </c>
      <c r="I209" s="128">
        <v>45258</v>
      </c>
      <c r="J209" s="158">
        <v>1300</v>
      </c>
      <c r="K209" s="74">
        <v>13</v>
      </c>
      <c r="L209" s="156">
        <v>45260</v>
      </c>
      <c r="M209" s="45">
        <v>5200</v>
      </c>
      <c r="N209" s="45">
        <v>52</v>
      </c>
      <c r="O209" s="45" t="s">
        <v>1848</v>
      </c>
      <c r="P209" s="74" t="s">
        <v>1558</v>
      </c>
      <c r="Q209" s="74">
        <v>8500064482</v>
      </c>
      <c r="R209" s="74">
        <v>5001271858</v>
      </c>
      <c r="S209" s="158">
        <v>1300</v>
      </c>
      <c r="T209" s="45" t="s">
        <v>87</v>
      </c>
      <c r="U209" s="45">
        <v>8500064481</v>
      </c>
      <c r="V209" s="45">
        <v>5001280118</v>
      </c>
      <c r="W209" s="127">
        <v>45290</v>
      </c>
      <c r="X209" s="152">
        <v>1300</v>
      </c>
      <c r="Y209" s="152">
        <v>5200</v>
      </c>
      <c r="Z209" s="152" t="s">
        <v>2324</v>
      </c>
      <c r="AA209" s="152">
        <f t="shared" si="10"/>
        <v>0</v>
      </c>
      <c r="AB209" s="152">
        <f t="shared" si="11"/>
        <v>0</v>
      </c>
      <c r="AC209" s="74"/>
      <c r="AD209" s="74"/>
      <c r="AE209" s="157"/>
      <c r="AF209" s="157"/>
      <c r="AG209" s="157"/>
      <c r="AH209" s="141"/>
    </row>
    <row r="210" spans="1:34" ht="18.75" customHeight="1">
      <c r="A210" s="45"/>
      <c r="B210" s="121"/>
      <c r="C210" s="74"/>
      <c r="D210" s="80"/>
      <c r="E210" s="74">
        <v>4</v>
      </c>
      <c r="F210" s="74">
        <v>2250</v>
      </c>
      <c r="G210" s="45">
        <f t="shared" si="12"/>
        <v>9000</v>
      </c>
      <c r="H210" s="119" t="s">
        <v>37</v>
      </c>
      <c r="I210" s="128">
        <v>45258</v>
      </c>
      <c r="J210" s="158">
        <v>2250</v>
      </c>
      <c r="K210" s="74">
        <v>22</v>
      </c>
      <c r="L210" s="156">
        <v>45260</v>
      </c>
      <c r="M210" s="45">
        <v>9000</v>
      </c>
      <c r="N210" s="45">
        <v>90</v>
      </c>
      <c r="O210" s="45" t="s">
        <v>1743</v>
      </c>
      <c r="P210" s="74" t="s">
        <v>1558</v>
      </c>
      <c r="Q210" s="74">
        <v>8500064482</v>
      </c>
      <c r="R210" s="74">
        <v>5001271858</v>
      </c>
      <c r="S210" s="158">
        <v>2250</v>
      </c>
      <c r="T210" s="45" t="s">
        <v>87</v>
      </c>
      <c r="U210" s="45">
        <v>8500064481</v>
      </c>
      <c r="V210" s="45">
        <v>5001280118</v>
      </c>
      <c r="W210" s="127" t="s">
        <v>2275</v>
      </c>
      <c r="X210" s="152">
        <f>700+1550</f>
        <v>2250</v>
      </c>
      <c r="Y210" s="152">
        <f>2800+6200</f>
        <v>9000</v>
      </c>
      <c r="Z210" s="152" t="s">
        <v>927</v>
      </c>
      <c r="AA210" s="152">
        <f t="shared" si="10"/>
        <v>0</v>
      </c>
      <c r="AB210" s="152">
        <f t="shared" si="11"/>
        <v>0</v>
      </c>
      <c r="AC210" s="74"/>
      <c r="AD210" s="74"/>
      <c r="AE210" s="157"/>
      <c r="AF210" s="157"/>
      <c r="AG210" s="157"/>
      <c r="AH210" s="141"/>
    </row>
    <row r="211" spans="1:34" ht="18.75" customHeight="1">
      <c r="A211" s="45"/>
      <c r="B211" s="121"/>
      <c r="C211" s="74"/>
      <c r="D211" s="80"/>
      <c r="E211" s="74">
        <v>4</v>
      </c>
      <c r="F211" s="74">
        <v>2800</v>
      </c>
      <c r="G211" s="45">
        <f t="shared" si="12"/>
        <v>11200</v>
      </c>
      <c r="H211" s="119" t="s">
        <v>146</v>
      </c>
      <c r="I211" s="128">
        <v>45258</v>
      </c>
      <c r="J211" s="158">
        <v>2800</v>
      </c>
      <c r="K211" s="74">
        <v>28</v>
      </c>
      <c r="L211" s="156">
        <v>45260</v>
      </c>
      <c r="M211" s="45">
        <v>11200</v>
      </c>
      <c r="N211" s="45">
        <v>112</v>
      </c>
      <c r="O211" s="45" t="s">
        <v>1743</v>
      </c>
      <c r="P211" s="74" t="s">
        <v>1558</v>
      </c>
      <c r="Q211" s="74">
        <v>8500064482</v>
      </c>
      <c r="R211" s="74">
        <v>5001271858</v>
      </c>
      <c r="S211" s="158">
        <v>2800</v>
      </c>
      <c r="T211" s="45" t="s">
        <v>87</v>
      </c>
      <c r="U211" s="45">
        <v>8500064481</v>
      </c>
      <c r="V211" s="45">
        <v>5001280118</v>
      </c>
      <c r="W211" s="127">
        <v>45289</v>
      </c>
      <c r="X211" s="152">
        <v>2800</v>
      </c>
      <c r="Y211" s="152">
        <v>11200</v>
      </c>
      <c r="Z211" s="152" t="s">
        <v>759</v>
      </c>
      <c r="AA211" s="152">
        <f t="shared" si="10"/>
        <v>0</v>
      </c>
      <c r="AB211" s="152">
        <f t="shared" si="11"/>
        <v>0</v>
      </c>
      <c r="AC211" s="74"/>
      <c r="AD211" s="74"/>
      <c r="AE211" s="157"/>
      <c r="AF211" s="157"/>
      <c r="AG211" s="157"/>
      <c r="AH211" s="141"/>
    </row>
    <row r="212" spans="1:34" ht="18.75" customHeight="1">
      <c r="A212" s="45" t="s">
        <v>178</v>
      </c>
      <c r="B212" s="121">
        <v>6000026821</v>
      </c>
      <c r="C212" s="74" t="s">
        <v>2099</v>
      </c>
      <c r="D212" s="80">
        <v>4924015003</v>
      </c>
      <c r="E212" s="74">
        <v>4</v>
      </c>
      <c r="F212" s="74">
        <v>1300</v>
      </c>
      <c r="G212" s="45">
        <f t="shared" si="12"/>
        <v>5200</v>
      </c>
      <c r="H212" s="119" t="s">
        <v>46</v>
      </c>
      <c r="I212" s="128">
        <v>45258</v>
      </c>
      <c r="J212" s="158">
        <v>1300</v>
      </c>
      <c r="K212" s="74">
        <v>13</v>
      </c>
      <c r="L212" s="156">
        <v>45260</v>
      </c>
      <c r="M212" s="45">
        <v>5200</v>
      </c>
      <c r="N212" s="45">
        <v>52</v>
      </c>
      <c r="O212" s="45" t="s">
        <v>812</v>
      </c>
      <c r="P212" s="74" t="s">
        <v>1558</v>
      </c>
      <c r="Q212" s="74">
        <v>8500064484</v>
      </c>
      <c r="R212" s="74">
        <v>5001271859</v>
      </c>
      <c r="S212" s="158">
        <v>1300</v>
      </c>
      <c r="T212" s="45" t="s">
        <v>87</v>
      </c>
      <c r="U212" s="45">
        <v>8500064483</v>
      </c>
      <c r="V212" s="45">
        <v>5001280119</v>
      </c>
      <c r="W212" s="127" t="s">
        <v>2348</v>
      </c>
      <c r="X212" s="152">
        <f>700+600</f>
        <v>1300</v>
      </c>
      <c r="Y212" s="152">
        <f>2800+2400</f>
        <v>5200</v>
      </c>
      <c r="Z212" s="152" t="s">
        <v>2324</v>
      </c>
      <c r="AA212" s="152">
        <f t="shared" si="10"/>
        <v>0</v>
      </c>
      <c r="AB212" s="152">
        <f t="shared" si="11"/>
        <v>0</v>
      </c>
      <c r="AC212" s="74"/>
      <c r="AD212" s="74"/>
      <c r="AE212" s="157"/>
      <c r="AF212" s="157"/>
      <c r="AG212" s="157"/>
      <c r="AH212" s="141"/>
    </row>
    <row r="213" spans="1:34" ht="18.75" customHeight="1">
      <c r="A213" s="45"/>
      <c r="B213" s="121"/>
      <c r="C213" s="74"/>
      <c r="D213" s="80"/>
      <c r="E213" s="74">
        <v>4</v>
      </c>
      <c r="F213" s="74">
        <v>2250</v>
      </c>
      <c r="G213" s="45">
        <f t="shared" si="12"/>
        <v>9000</v>
      </c>
      <c r="H213" s="119" t="s">
        <v>37</v>
      </c>
      <c r="I213" s="128">
        <v>45258</v>
      </c>
      <c r="J213" s="158">
        <v>2250</v>
      </c>
      <c r="K213" s="74">
        <v>22</v>
      </c>
      <c r="L213" s="156">
        <v>45260</v>
      </c>
      <c r="M213" s="45">
        <v>9000</v>
      </c>
      <c r="N213" s="45">
        <v>90</v>
      </c>
      <c r="O213" s="45" t="s">
        <v>1754</v>
      </c>
      <c r="P213" s="74" t="s">
        <v>1558</v>
      </c>
      <c r="Q213" s="74">
        <v>8500064484</v>
      </c>
      <c r="R213" s="74">
        <v>5001271859</v>
      </c>
      <c r="S213" s="158">
        <v>2250</v>
      </c>
      <c r="T213" s="45" t="s">
        <v>87</v>
      </c>
      <c r="U213" s="45">
        <v>8500064483</v>
      </c>
      <c r="V213" s="45">
        <v>5001280119</v>
      </c>
      <c r="W213" s="127">
        <v>45283</v>
      </c>
      <c r="X213" s="152">
        <f>2250</f>
        <v>2250</v>
      </c>
      <c r="Y213" s="152">
        <v>9000</v>
      </c>
      <c r="Z213" s="152" t="s">
        <v>927</v>
      </c>
      <c r="AA213" s="152">
        <f t="shared" si="10"/>
        <v>0</v>
      </c>
      <c r="AB213" s="152">
        <f t="shared" si="11"/>
        <v>0</v>
      </c>
      <c r="AC213" s="53" t="s">
        <v>2461</v>
      </c>
      <c r="AD213" s="74"/>
      <c r="AE213" s="157"/>
      <c r="AF213" s="157"/>
      <c r="AG213" s="157"/>
      <c r="AH213" s="141"/>
    </row>
    <row r="214" spans="1:34" ht="18.75" customHeight="1">
      <c r="A214" s="45"/>
      <c r="B214" s="121"/>
      <c r="C214" s="74"/>
      <c r="D214" s="80"/>
      <c r="E214" s="74">
        <v>4</v>
      </c>
      <c r="F214" s="74">
        <v>2800</v>
      </c>
      <c r="G214" s="45">
        <f t="shared" si="12"/>
        <v>11200</v>
      </c>
      <c r="H214" s="119" t="s">
        <v>146</v>
      </c>
      <c r="I214" s="128">
        <v>45259</v>
      </c>
      <c r="J214" s="158">
        <v>2800</v>
      </c>
      <c r="K214" s="74">
        <v>28</v>
      </c>
      <c r="L214" s="156">
        <v>45260</v>
      </c>
      <c r="M214" s="45">
        <v>11200</v>
      </c>
      <c r="N214" s="45">
        <v>112</v>
      </c>
      <c r="O214" s="45" t="s">
        <v>1439</v>
      </c>
      <c r="P214" s="74" t="s">
        <v>1558</v>
      </c>
      <c r="Q214" s="74">
        <v>8500064484</v>
      </c>
      <c r="R214" s="74">
        <v>5001276626</v>
      </c>
      <c r="S214" s="158">
        <v>2800</v>
      </c>
      <c r="T214" s="45" t="s">
        <v>87</v>
      </c>
      <c r="U214" s="45">
        <v>8500064483</v>
      </c>
      <c r="V214" s="45">
        <v>5001280119</v>
      </c>
      <c r="W214" s="127" t="s">
        <v>2348</v>
      </c>
      <c r="X214" s="152">
        <f>1500+1300</f>
        <v>2800</v>
      </c>
      <c r="Y214" s="152">
        <f>6000+5200</f>
        <v>11200</v>
      </c>
      <c r="Z214" s="152" t="s">
        <v>759</v>
      </c>
      <c r="AA214" s="152">
        <f t="shared" si="10"/>
        <v>0</v>
      </c>
      <c r="AB214" s="152">
        <f t="shared" si="11"/>
        <v>0</v>
      </c>
      <c r="AC214" s="74" t="s">
        <v>2462</v>
      </c>
      <c r="AD214" s="74"/>
      <c r="AE214" s="157"/>
      <c r="AF214" s="157"/>
      <c r="AG214" s="157"/>
      <c r="AH214" s="141"/>
    </row>
    <row r="215" spans="1:34" ht="18.75" customHeight="1">
      <c r="A215" s="45" t="s">
        <v>178</v>
      </c>
      <c r="B215" s="121">
        <v>6000026822</v>
      </c>
      <c r="C215" s="74" t="s">
        <v>2100</v>
      </c>
      <c r="D215" s="80">
        <v>4924015004</v>
      </c>
      <c r="E215" s="74">
        <v>4</v>
      </c>
      <c r="F215" s="74">
        <v>1700</v>
      </c>
      <c r="G215" s="45">
        <f t="shared" si="12"/>
        <v>6800</v>
      </c>
      <c r="H215" s="119" t="s">
        <v>46</v>
      </c>
      <c r="I215" s="128">
        <v>45258</v>
      </c>
      <c r="J215" s="158">
        <v>1700</v>
      </c>
      <c r="K215" s="74">
        <v>17</v>
      </c>
      <c r="L215" s="156">
        <v>45260</v>
      </c>
      <c r="M215" s="45">
        <v>6800</v>
      </c>
      <c r="N215" s="45">
        <v>68</v>
      </c>
      <c r="O215" s="45" t="s">
        <v>737</v>
      </c>
      <c r="P215" s="74" t="s">
        <v>1558</v>
      </c>
      <c r="Q215" s="74">
        <v>8500064478</v>
      </c>
      <c r="R215" s="74">
        <v>5001271941</v>
      </c>
      <c r="S215" s="158">
        <v>1700</v>
      </c>
      <c r="T215" s="45" t="s">
        <v>87</v>
      </c>
      <c r="U215" s="45">
        <v>8500064477</v>
      </c>
      <c r="V215" s="45">
        <v>5001280121</v>
      </c>
      <c r="W215" s="151" t="s">
        <v>2281</v>
      </c>
      <c r="X215" s="152">
        <v>1700</v>
      </c>
      <c r="Y215" s="152">
        <v>6800</v>
      </c>
      <c r="Z215" s="152" t="s">
        <v>1460</v>
      </c>
      <c r="AA215" s="152">
        <f t="shared" si="10"/>
        <v>0</v>
      </c>
      <c r="AB215" s="152">
        <f t="shared" si="11"/>
        <v>0</v>
      </c>
      <c r="AC215" s="74"/>
      <c r="AD215" s="74"/>
      <c r="AE215" s="157"/>
      <c r="AF215" s="157"/>
      <c r="AG215" s="157"/>
      <c r="AH215" s="141"/>
    </row>
    <row r="216" spans="1:34" ht="18.75" customHeight="1">
      <c r="A216" s="45"/>
      <c r="B216" s="121"/>
      <c r="C216" s="74"/>
      <c r="D216" s="80"/>
      <c r="E216" s="74">
        <v>4</v>
      </c>
      <c r="F216" s="74">
        <v>2400</v>
      </c>
      <c r="G216" s="45">
        <f t="shared" si="12"/>
        <v>9600</v>
      </c>
      <c r="H216" s="119" t="s">
        <v>37</v>
      </c>
      <c r="I216" s="128">
        <v>45259</v>
      </c>
      <c r="J216" s="74">
        <v>2400</v>
      </c>
      <c r="K216" s="74">
        <v>24</v>
      </c>
      <c r="L216" s="156">
        <v>45260</v>
      </c>
      <c r="M216" s="45">
        <v>9600</v>
      </c>
      <c r="N216" s="45">
        <v>96</v>
      </c>
      <c r="O216" s="45" t="s">
        <v>1848</v>
      </c>
      <c r="P216" s="74" t="s">
        <v>1558</v>
      </c>
      <c r="Q216" s="74">
        <v>8500064478</v>
      </c>
      <c r="R216" s="74">
        <v>5001276625</v>
      </c>
      <c r="S216" s="74">
        <v>2400</v>
      </c>
      <c r="T216" s="45" t="s">
        <v>87</v>
      </c>
      <c r="U216" s="45">
        <v>8500064477</v>
      </c>
      <c r="V216" s="45">
        <v>5001280121</v>
      </c>
      <c r="W216" s="127">
        <v>45293</v>
      </c>
      <c r="X216" s="152">
        <v>2400</v>
      </c>
      <c r="Y216" s="152">
        <v>9600</v>
      </c>
      <c r="Z216" s="152" t="s">
        <v>1401</v>
      </c>
      <c r="AA216" s="152">
        <f t="shared" si="10"/>
        <v>0</v>
      </c>
      <c r="AB216" s="152">
        <f t="shared" si="11"/>
        <v>0</v>
      </c>
      <c r="AC216" s="74" t="s">
        <v>2183</v>
      </c>
      <c r="AD216" s="74"/>
      <c r="AE216" s="157"/>
      <c r="AF216" s="157"/>
      <c r="AG216" s="157"/>
      <c r="AH216" s="141"/>
    </row>
    <row r="217" spans="1:34" ht="33" customHeight="1">
      <c r="A217" s="121"/>
      <c r="C217" s="74"/>
      <c r="D217" s="80"/>
      <c r="E217" s="74">
        <v>4</v>
      </c>
      <c r="F217" s="74">
        <v>2400</v>
      </c>
      <c r="G217" s="45">
        <f t="shared" si="12"/>
        <v>9600</v>
      </c>
      <c r="H217" s="119" t="s">
        <v>146</v>
      </c>
      <c r="I217" s="128">
        <v>45258</v>
      </c>
      <c r="J217" s="158">
        <v>2400</v>
      </c>
      <c r="K217" s="74">
        <v>24</v>
      </c>
      <c r="L217" s="156">
        <v>45260</v>
      </c>
      <c r="M217" s="45">
        <v>9600</v>
      </c>
      <c r="N217" s="45">
        <v>96</v>
      </c>
      <c r="O217" s="45" t="s">
        <v>2132</v>
      </c>
      <c r="P217" s="74" t="s">
        <v>1558</v>
      </c>
      <c r="Q217" s="74">
        <v>8500064478</v>
      </c>
      <c r="R217" s="74">
        <v>5001271941</v>
      </c>
      <c r="S217" s="158">
        <v>2400</v>
      </c>
      <c r="T217" s="45" t="s">
        <v>87</v>
      </c>
      <c r="U217" s="45">
        <v>8500064477</v>
      </c>
      <c r="V217" s="45">
        <v>5001280121</v>
      </c>
      <c r="W217" s="127" t="s">
        <v>2349</v>
      </c>
      <c r="X217" s="152">
        <f>1000+1000+400</f>
        <v>2400</v>
      </c>
      <c r="Y217" s="152">
        <f>4000+4000+1600</f>
        <v>9600</v>
      </c>
      <c r="Z217" s="152" t="s">
        <v>2350</v>
      </c>
      <c r="AA217" s="152">
        <f t="shared" si="10"/>
        <v>0</v>
      </c>
      <c r="AB217" s="152">
        <f t="shared" si="11"/>
        <v>0</v>
      </c>
      <c r="AC217" s="74" t="s">
        <v>2184</v>
      </c>
      <c r="AD217" s="74"/>
      <c r="AE217" s="157"/>
      <c r="AF217" s="157"/>
      <c r="AG217" s="157"/>
      <c r="AH217" s="141"/>
    </row>
    <row r="218" spans="1:34" ht="30" customHeight="1">
      <c r="A218" s="45" t="s">
        <v>178</v>
      </c>
      <c r="B218" s="121">
        <v>6000026823</v>
      </c>
      <c r="C218" s="74" t="s">
        <v>2100</v>
      </c>
      <c r="D218" s="80">
        <v>4924015005</v>
      </c>
      <c r="E218" s="74">
        <v>4</v>
      </c>
      <c r="F218" s="74">
        <v>1700</v>
      </c>
      <c r="G218" s="45">
        <f t="shared" si="12"/>
        <v>6800</v>
      </c>
      <c r="H218" s="119" t="s">
        <v>46</v>
      </c>
      <c r="I218" s="128">
        <v>45258</v>
      </c>
      <c r="J218" s="158">
        <v>1700</v>
      </c>
      <c r="K218" s="74">
        <v>17</v>
      </c>
      <c r="L218" s="156">
        <v>45260</v>
      </c>
      <c r="M218" s="45">
        <v>6800</v>
      </c>
      <c r="N218" s="45">
        <v>68</v>
      </c>
      <c r="O218" s="45" t="s">
        <v>1555</v>
      </c>
      <c r="P218" s="74" t="s">
        <v>1558</v>
      </c>
      <c r="Q218" s="74">
        <v>8500064480</v>
      </c>
      <c r="R218" s="74">
        <v>5001271942</v>
      </c>
      <c r="S218" s="158">
        <v>1700</v>
      </c>
      <c r="T218" s="45" t="s">
        <v>87</v>
      </c>
      <c r="U218" s="45">
        <v>8500064479</v>
      </c>
      <c r="V218" s="45">
        <v>5001280122</v>
      </c>
      <c r="W218" s="127">
        <v>45285</v>
      </c>
      <c r="X218" s="152">
        <v>1700</v>
      </c>
      <c r="Y218" s="152">
        <v>6800</v>
      </c>
      <c r="Z218" s="152" t="s">
        <v>1460</v>
      </c>
      <c r="AA218" s="152">
        <f t="shared" si="10"/>
        <v>0</v>
      </c>
      <c r="AB218" s="152">
        <f t="shared" si="11"/>
        <v>0</v>
      </c>
      <c r="AC218" s="74"/>
      <c r="AD218" s="74"/>
      <c r="AE218" s="157"/>
      <c r="AF218" s="157"/>
      <c r="AG218" s="157"/>
      <c r="AH218" s="141"/>
    </row>
    <row r="219" spans="1:34" ht="18.75" customHeight="1">
      <c r="A219" s="45"/>
      <c r="B219" s="208"/>
      <c r="C219" s="74"/>
      <c r="D219" s="80"/>
      <c r="E219" s="74">
        <v>4</v>
      </c>
      <c r="F219" s="74">
        <v>2400</v>
      </c>
      <c r="G219" s="45">
        <f t="shared" si="12"/>
        <v>9600</v>
      </c>
      <c r="H219" s="119" t="s">
        <v>37</v>
      </c>
      <c r="I219" s="128">
        <v>45259</v>
      </c>
      <c r="J219" s="74">
        <v>2400</v>
      </c>
      <c r="K219" s="74">
        <v>24</v>
      </c>
      <c r="L219" s="156">
        <v>45260</v>
      </c>
      <c r="M219" s="45">
        <v>9600</v>
      </c>
      <c r="N219" s="45">
        <v>96</v>
      </c>
      <c r="O219" s="45" t="s">
        <v>2132</v>
      </c>
      <c r="P219" s="74" t="s">
        <v>1558</v>
      </c>
      <c r="Q219" s="74">
        <v>8500064480</v>
      </c>
      <c r="R219" s="74">
        <v>5001276621</v>
      </c>
      <c r="S219" s="74">
        <v>2400</v>
      </c>
      <c r="T219" s="45" t="s">
        <v>87</v>
      </c>
      <c r="U219" s="45">
        <v>8500064479</v>
      </c>
      <c r="V219" s="45">
        <v>5001280122</v>
      </c>
      <c r="W219" s="127">
        <v>45297</v>
      </c>
      <c r="X219" s="152">
        <f>1000+1400</f>
        <v>2400</v>
      </c>
      <c r="Y219" s="152">
        <f>4000+5600</f>
        <v>9600</v>
      </c>
      <c r="Z219" s="152" t="s">
        <v>2464</v>
      </c>
      <c r="AA219" s="152">
        <f t="shared" si="10"/>
        <v>0</v>
      </c>
      <c r="AB219" s="152">
        <f t="shared" si="11"/>
        <v>0</v>
      </c>
      <c r="AC219" s="74"/>
      <c r="AD219" s="74"/>
      <c r="AE219" s="157"/>
      <c r="AF219" s="157"/>
      <c r="AG219" s="157"/>
      <c r="AH219" s="141"/>
    </row>
    <row r="220" spans="1:34" ht="18.75" customHeight="1">
      <c r="A220" s="45"/>
      <c r="B220" s="208"/>
      <c r="C220" s="74"/>
      <c r="D220" s="80"/>
      <c r="E220" s="74">
        <v>4</v>
      </c>
      <c r="F220" s="74">
        <v>2400</v>
      </c>
      <c r="G220" s="45">
        <f t="shared" si="12"/>
        <v>9600</v>
      </c>
      <c r="H220" s="119" t="s">
        <v>146</v>
      </c>
      <c r="I220" s="128">
        <v>45259</v>
      </c>
      <c r="J220" s="74">
        <v>2400</v>
      </c>
      <c r="K220" s="74">
        <v>24</v>
      </c>
      <c r="L220" s="156">
        <v>45260</v>
      </c>
      <c r="M220" s="45">
        <v>9600</v>
      </c>
      <c r="N220" s="45">
        <v>96</v>
      </c>
      <c r="O220" s="45" t="s">
        <v>2132</v>
      </c>
      <c r="P220" s="74" t="s">
        <v>1558</v>
      </c>
      <c r="Q220" s="74">
        <v>8500064480</v>
      </c>
      <c r="R220" s="74">
        <v>5001276621</v>
      </c>
      <c r="S220" s="74">
        <v>2400</v>
      </c>
      <c r="T220" s="45" t="s">
        <v>87</v>
      </c>
      <c r="U220" s="45">
        <v>8500064479</v>
      </c>
      <c r="V220" s="45">
        <v>5001280122</v>
      </c>
      <c r="W220" s="127">
        <v>45294</v>
      </c>
      <c r="X220" s="152">
        <v>2400</v>
      </c>
      <c r="Y220" s="152">
        <v>9600</v>
      </c>
      <c r="Z220" s="152" t="s">
        <v>1619</v>
      </c>
      <c r="AA220" s="152">
        <f t="shared" si="10"/>
        <v>0</v>
      </c>
      <c r="AB220" s="152">
        <f t="shared" si="11"/>
        <v>0</v>
      </c>
      <c r="AC220" s="74"/>
      <c r="AD220" s="74"/>
      <c r="AE220" s="157"/>
      <c r="AF220" s="157"/>
      <c r="AG220" s="157"/>
      <c r="AH220" s="141"/>
    </row>
    <row r="221" spans="1:34" ht="18.75" customHeight="1">
      <c r="A221" s="45" t="s">
        <v>178</v>
      </c>
      <c r="B221" s="121">
        <v>6000026824</v>
      </c>
      <c r="C221" s="74" t="s">
        <v>2101</v>
      </c>
      <c r="D221" s="80">
        <v>4924015001</v>
      </c>
      <c r="E221" s="74">
        <v>4</v>
      </c>
      <c r="F221" s="74">
        <v>300</v>
      </c>
      <c r="G221" s="45">
        <f t="shared" si="12"/>
        <v>1200</v>
      </c>
      <c r="H221" s="119" t="s">
        <v>46</v>
      </c>
      <c r="I221" s="128">
        <v>45257</v>
      </c>
      <c r="J221" s="158">
        <v>300</v>
      </c>
      <c r="K221" s="74">
        <v>3</v>
      </c>
      <c r="L221" s="156">
        <v>45261</v>
      </c>
      <c r="M221" s="45">
        <v>1200</v>
      </c>
      <c r="N221" s="45">
        <v>6</v>
      </c>
      <c r="O221" s="45" t="s">
        <v>888</v>
      </c>
      <c r="P221" s="74" t="s">
        <v>1558</v>
      </c>
      <c r="Q221" s="74">
        <v>8500064552</v>
      </c>
      <c r="R221" s="74">
        <v>5001270849</v>
      </c>
      <c r="S221" s="158">
        <v>300</v>
      </c>
      <c r="T221" s="45" t="s">
        <v>152</v>
      </c>
      <c r="U221" s="45">
        <v>8500064551</v>
      </c>
      <c r="V221" s="45">
        <v>5001283690</v>
      </c>
      <c r="W221" s="127">
        <v>44928</v>
      </c>
      <c r="X221" s="152">
        <v>300</v>
      </c>
      <c r="Y221" s="152">
        <v>1200</v>
      </c>
      <c r="Z221" s="152" t="s">
        <v>800</v>
      </c>
      <c r="AA221" s="152">
        <f t="shared" si="10"/>
        <v>0</v>
      </c>
      <c r="AB221" s="152">
        <f t="shared" si="11"/>
        <v>0</v>
      </c>
      <c r="AC221" s="74"/>
      <c r="AD221" s="74"/>
      <c r="AE221" s="157"/>
      <c r="AF221" s="157"/>
      <c r="AG221" s="157"/>
      <c r="AH221" s="141"/>
    </row>
    <row r="222" spans="1:34" ht="18.75" customHeight="1">
      <c r="A222" s="45"/>
      <c r="B222" s="121"/>
      <c r="C222" s="74"/>
      <c r="D222" s="80"/>
      <c r="E222" s="74">
        <v>4</v>
      </c>
      <c r="F222" s="74">
        <v>350</v>
      </c>
      <c r="G222" s="45">
        <f t="shared" si="12"/>
        <v>1400</v>
      </c>
      <c r="H222" s="119" t="s">
        <v>37</v>
      </c>
      <c r="I222" s="128">
        <v>45257</v>
      </c>
      <c r="J222" s="158">
        <v>350</v>
      </c>
      <c r="K222" s="74">
        <v>3</v>
      </c>
      <c r="L222" s="156">
        <v>45261</v>
      </c>
      <c r="M222" s="45">
        <v>1400</v>
      </c>
      <c r="N222" s="45">
        <v>7</v>
      </c>
      <c r="O222" s="45" t="s">
        <v>1640</v>
      </c>
      <c r="P222" s="74" t="s">
        <v>1558</v>
      </c>
      <c r="Q222" s="74">
        <v>8500064552</v>
      </c>
      <c r="R222" s="74">
        <v>5001270849</v>
      </c>
      <c r="S222" s="158">
        <v>350</v>
      </c>
      <c r="T222" s="45" t="s">
        <v>152</v>
      </c>
      <c r="U222" s="45">
        <v>8500064551</v>
      </c>
      <c r="V222" s="45">
        <v>5001283690</v>
      </c>
      <c r="W222" s="127">
        <v>45295</v>
      </c>
      <c r="X222" s="152">
        <v>350</v>
      </c>
      <c r="Y222" s="152">
        <v>1400</v>
      </c>
      <c r="Z222" s="152" t="s">
        <v>800</v>
      </c>
      <c r="AA222" s="152">
        <f t="shared" si="10"/>
        <v>0</v>
      </c>
      <c r="AB222" s="152">
        <f t="shared" si="11"/>
        <v>0</v>
      </c>
      <c r="AC222" s="74"/>
      <c r="AD222" s="74"/>
      <c r="AE222" s="157"/>
      <c r="AF222" s="157"/>
      <c r="AG222" s="157"/>
      <c r="AH222" s="141"/>
    </row>
    <row r="223" spans="1:34" ht="18.75" customHeight="1">
      <c r="A223" s="45"/>
      <c r="B223" s="121"/>
      <c r="C223" s="74"/>
      <c r="D223" s="80"/>
      <c r="E223" s="74">
        <v>4</v>
      </c>
      <c r="F223" s="74">
        <v>600</v>
      </c>
      <c r="G223" s="45">
        <f t="shared" si="12"/>
        <v>2400</v>
      </c>
      <c r="H223" s="119" t="s">
        <v>146</v>
      </c>
      <c r="I223" s="128">
        <v>45257</v>
      </c>
      <c r="J223" s="158">
        <v>600</v>
      </c>
      <c r="K223" s="74">
        <v>6</v>
      </c>
      <c r="L223" s="156">
        <v>45261</v>
      </c>
      <c r="M223" s="45">
        <v>2400</v>
      </c>
      <c r="N223" s="45">
        <v>12</v>
      </c>
      <c r="O223" s="45" t="s">
        <v>888</v>
      </c>
      <c r="P223" s="74" t="s">
        <v>1558</v>
      </c>
      <c r="Q223" s="74">
        <v>8500064552</v>
      </c>
      <c r="R223" s="74">
        <v>5001270849</v>
      </c>
      <c r="S223" s="158">
        <v>600</v>
      </c>
      <c r="T223" s="45" t="s">
        <v>152</v>
      </c>
      <c r="U223" s="45">
        <v>8500064551</v>
      </c>
      <c r="V223" s="45">
        <v>5001283690</v>
      </c>
      <c r="W223" s="127">
        <v>45311</v>
      </c>
      <c r="X223" s="152">
        <v>600</v>
      </c>
      <c r="Y223" s="152">
        <v>2400</v>
      </c>
      <c r="Z223" s="152" t="s">
        <v>800</v>
      </c>
      <c r="AA223" s="152">
        <f t="shared" si="10"/>
        <v>0</v>
      </c>
      <c r="AB223" s="152">
        <f t="shared" si="11"/>
        <v>0</v>
      </c>
      <c r="AC223" s="74"/>
      <c r="AD223" s="74"/>
      <c r="AE223" s="157"/>
      <c r="AF223" s="157"/>
      <c r="AG223" s="157"/>
      <c r="AH223" s="141"/>
    </row>
    <row r="224" spans="1:34" ht="18.75" customHeight="1">
      <c r="A224" s="45" t="s">
        <v>178</v>
      </c>
      <c r="B224" s="121">
        <v>6000026824</v>
      </c>
      <c r="C224" s="74" t="s">
        <v>2099</v>
      </c>
      <c r="D224" s="80">
        <v>4924015001</v>
      </c>
      <c r="E224" s="74">
        <v>4</v>
      </c>
      <c r="F224" s="74">
        <v>700</v>
      </c>
      <c r="G224" s="45">
        <f t="shared" si="12"/>
        <v>2800</v>
      </c>
      <c r="H224" s="119" t="s">
        <v>27</v>
      </c>
      <c r="I224" s="128">
        <v>45257</v>
      </c>
      <c r="J224" s="158">
        <v>700</v>
      </c>
      <c r="K224" s="74">
        <v>7</v>
      </c>
      <c r="L224" s="156">
        <v>45271</v>
      </c>
      <c r="M224" s="45">
        <v>2800</v>
      </c>
      <c r="N224" s="45">
        <v>28</v>
      </c>
      <c r="O224" s="45" t="s">
        <v>793</v>
      </c>
      <c r="P224" s="74" t="s">
        <v>1558</v>
      </c>
      <c r="Q224" s="74">
        <v>8500064556</v>
      </c>
      <c r="R224" s="74">
        <v>5001270847</v>
      </c>
      <c r="S224" s="158">
        <v>700</v>
      </c>
      <c r="T224" s="45" t="s">
        <v>87</v>
      </c>
      <c r="U224" s="45">
        <v>8500064555</v>
      </c>
      <c r="V224" s="45">
        <v>5001320889</v>
      </c>
      <c r="W224" s="127">
        <v>45290</v>
      </c>
      <c r="X224" s="152">
        <v>700</v>
      </c>
      <c r="Y224" s="152">
        <v>2800</v>
      </c>
      <c r="Z224" s="152" t="s">
        <v>1608</v>
      </c>
      <c r="AA224" s="152">
        <f t="shared" si="10"/>
        <v>0</v>
      </c>
      <c r="AB224" s="152">
        <f t="shared" si="11"/>
        <v>0</v>
      </c>
      <c r="AC224" s="74"/>
      <c r="AD224" s="74"/>
      <c r="AE224" s="157"/>
      <c r="AF224" s="157"/>
      <c r="AG224" s="157"/>
      <c r="AH224" s="141"/>
    </row>
    <row r="225" spans="1:34" ht="18.75" customHeight="1">
      <c r="A225" s="45"/>
      <c r="B225" s="121"/>
      <c r="C225" s="74"/>
      <c r="D225" s="80"/>
      <c r="E225" s="74">
        <v>4</v>
      </c>
      <c r="F225" s="74">
        <v>580</v>
      </c>
      <c r="G225" s="45">
        <f t="shared" si="12"/>
        <v>2320</v>
      </c>
      <c r="H225" s="119" t="s">
        <v>46</v>
      </c>
      <c r="I225" s="128">
        <v>45257</v>
      </c>
      <c r="J225" s="158">
        <v>580</v>
      </c>
      <c r="K225" s="74">
        <v>5</v>
      </c>
      <c r="L225" s="156">
        <v>45271</v>
      </c>
      <c r="M225" s="45">
        <v>2320</v>
      </c>
      <c r="N225" s="45">
        <v>23</v>
      </c>
      <c r="O225" s="45" t="s">
        <v>1390</v>
      </c>
      <c r="P225" s="74" t="s">
        <v>1558</v>
      </c>
      <c r="Q225" s="74">
        <v>8500064556</v>
      </c>
      <c r="R225" s="74">
        <v>5001270847</v>
      </c>
      <c r="S225" s="158">
        <v>580</v>
      </c>
      <c r="T225" s="45" t="s">
        <v>87</v>
      </c>
      <c r="U225" s="45">
        <v>8500064555</v>
      </c>
      <c r="V225" s="45">
        <v>5001320889</v>
      </c>
      <c r="W225" s="127">
        <v>45294</v>
      </c>
      <c r="X225" s="152">
        <v>580</v>
      </c>
      <c r="Y225" s="152">
        <v>2320</v>
      </c>
      <c r="Z225" s="152" t="s">
        <v>2324</v>
      </c>
      <c r="AA225" s="152">
        <f t="shared" si="10"/>
        <v>0</v>
      </c>
      <c r="AB225" s="152">
        <f t="shared" si="11"/>
        <v>0</v>
      </c>
      <c r="AC225" s="74"/>
      <c r="AD225" s="74"/>
      <c r="AE225" s="157"/>
      <c r="AF225" s="157"/>
      <c r="AG225" s="157"/>
      <c r="AH225" s="141"/>
    </row>
    <row r="226" spans="1:34" ht="30" customHeight="1">
      <c r="A226" s="45"/>
      <c r="B226" s="121"/>
      <c r="C226" s="74"/>
      <c r="D226" s="80"/>
      <c r="E226" s="74">
        <v>4</v>
      </c>
      <c r="F226" s="74">
        <v>1440</v>
      </c>
      <c r="G226" s="45">
        <f t="shared" si="12"/>
        <v>5760</v>
      </c>
      <c r="H226" s="119" t="s">
        <v>37</v>
      </c>
      <c r="I226" s="128">
        <v>45257</v>
      </c>
      <c r="J226" s="158">
        <v>1440</v>
      </c>
      <c r="K226" s="74">
        <v>14</v>
      </c>
      <c r="L226" s="156">
        <v>45271</v>
      </c>
      <c r="M226" s="45">
        <v>5760</v>
      </c>
      <c r="N226" s="45">
        <v>58</v>
      </c>
      <c r="O226" s="45" t="s">
        <v>1754</v>
      </c>
      <c r="P226" s="74" t="s">
        <v>1558</v>
      </c>
      <c r="Q226" s="74">
        <v>8500064556</v>
      </c>
      <c r="R226" s="74">
        <v>5001270847</v>
      </c>
      <c r="S226" s="158">
        <v>1440</v>
      </c>
      <c r="T226" s="45" t="s">
        <v>87</v>
      </c>
      <c r="U226" s="45">
        <v>8500064555</v>
      </c>
      <c r="V226" s="45">
        <v>5001320889</v>
      </c>
      <c r="W226" s="127">
        <v>45287</v>
      </c>
      <c r="X226" s="152">
        <v>1440</v>
      </c>
      <c r="Y226" s="152">
        <v>5760</v>
      </c>
      <c r="Z226" s="152" t="s">
        <v>927</v>
      </c>
      <c r="AA226" s="152">
        <f t="shared" si="10"/>
        <v>0</v>
      </c>
      <c r="AB226" s="152">
        <f t="shared" si="11"/>
        <v>0</v>
      </c>
      <c r="AC226" s="53" t="s">
        <v>2501</v>
      </c>
      <c r="AD226" s="74"/>
      <c r="AE226" s="157"/>
      <c r="AF226" s="157"/>
      <c r="AG226" s="157"/>
      <c r="AH226" s="141"/>
    </row>
    <row r="227" spans="1:34" ht="18.75" customHeight="1">
      <c r="A227" s="45"/>
      <c r="B227" s="121"/>
      <c r="C227" s="74"/>
      <c r="D227" s="80"/>
      <c r="E227" s="74">
        <v>4</v>
      </c>
      <c r="F227" s="74">
        <v>2080</v>
      </c>
      <c r="G227" s="45">
        <f t="shared" si="12"/>
        <v>8320</v>
      </c>
      <c r="H227" s="119" t="s">
        <v>146</v>
      </c>
      <c r="I227" s="128">
        <v>45257</v>
      </c>
      <c r="J227" s="158">
        <v>2080</v>
      </c>
      <c r="K227" s="74">
        <v>20</v>
      </c>
      <c r="L227" s="156">
        <v>45271</v>
      </c>
      <c r="M227" s="45">
        <v>8320</v>
      </c>
      <c r="N227" s="45">
        <v>83</v>
      </c>
      <c r="O227" s="45" t="s">
        <v>797</v>
      </c>
      <c r="P227" s="74" t="s">
        <v>1558</v>
      </c>
      <c r="Q227" s="74">
        <v>8500064556</v>
      </c>
      <c r="R227" s="74">
        <v>5001270847</v>
      </c>
      <c r="S227" s="158">
        <v>2080</v>
      </c>
      <c r="T227" s="45" t="s">
        <v>87</v>
      </c>
      <c r="U227" s="45">
        <v>8500064555</v>
      </c>
      <c r="V227" s="45">
        <v>5001320889</v>
      </c>
      <c r="W227" s="127">
        <v>45295</v>
      </c>
      <c r="X227" s="152">
        <v>2080</v>
      </c>
      <c r="Y227" s="152">
        <v>8320</v>
      </c>
      <c r="Z227" s="152" t="s">
        <v>423</v>
      </c>
      <c r="AA227" s="152">
        <f t="shared" si="10"/>
        <v>0</v>
      </c>
      <c r="AB227" s="152">
        <f t="shared" si="11"/>
        <v>0</v>
      </c>
      <c r="AC227" s="74"/>
      <c r="AD227" s="74"/>
      <c r="AE227" s="157"/>
      <c r="AF227" s="157"/>
      <c r="AG227" s="157"/>
      <c r="AH227" s="141"/>
    </row>
    <row r="228" spans="1:34" ht="18.75" customHeight="1">
      <c r="A228" s="45" t="s">
        <v>855</v>
      </c>
      <c r="B228" s="121">
        <v>6000026606</v>
      </c>
      <c r="C228" s="74" t="s">
        <v>2103</v>
      </c>
      <c r="D228" s="80" t="s">
        <v>854</v>
      </c>
      <c r="E228" s="74"/>
      <c r="F228" s="74">
        <v>35</v>
      </c>
      <c r="G228" s="45">
        <f t="shared" si="12"/>
        <v>0</v>
      </c>
      <c r="H228" s="119" t="s">
        <v>243</v>
      </c>
      <c r="I228" s="128">
        <v>45257</v>
      </c>
      <c r="J228" s="158">
        <v>35</v>
      </c>
      <c r="K228" s="74">
        <v>3</v>
      </c>
      <c r="L228" s="162"/>
      <c r="M228" s="45"/>
      <c r="N228" s="45"/>
      <c r="O228" s="45"/>
      <c r="P228" s="74" t="s">
        <v>28</v>
      </c>
      <c r="Q228" s="74">
        <v>8500064267</v>
      </c>
      <c r="R228" s="74">
        <v>5001267824</v>
      </c>
      <c r="S228" s="158">
        <v>35</v>
      </c>
      <c r="T228" s="45"/>
      <c r="U228" s="45"/>
      <c r="V228" s="45"/>
      <c r="W228" s="127">
        <v>45282</v>
      </c>
      <c r="X228" s="152">
        <v>35</v>
      </c>
      <c r="Y228" s="152"/>
      <c r="Z228" s="152" t="s">
        <v>800</v>
      </c>
      <c r="AA228" s="152">
        <f t="shared" si="10"/>
        <v>0</v>
      </c>
      <c r="AB228" s="152">
        <f t="shared" si="11"/>
        <v>0</v>
      </c>
      <c r="AC228" s="74"/>
      <c r="AD228" s="74"/>
      <c r="AE228" s="157"/>
      <c r="AF228" s="157"/>
      <c r="AG228" s="157"/>
      <c r="AH228" s="141"/>
    </row>
    <row r="229" spans="1:34" ht="18.75" customHeight="1">
      <c r="A229" s="45"/>
      <c r="B229" s="121" t="s">
        <v>2104</v>
      </c>
      <c r="C229" s="74"/>
      <c r="D229" s="80"/>
      <c r="E229" s="74"/>
      <c r="F229" s="74">
        <v>38</v>
      </c>
      <c r="G229" s="45">
        <f t="shared" si="12"/>
        <v>0</v>
      </c>
      <c r="H229" s="119" t="s">
        <v>27</v>
      </c>
      <c r="I229" s="128">
        <v>45257</v>
      </c>
      <c r="J229" s="158">
        <v>38</v>
      </c>
      <c r="K229" s="74">
        <v>2</v>
      </c>
      <c r="L229" s="162"/>
      <c r="M229" s="45"/>
      <c r="N229" s="45"/>
      <c r="O229" s="45"/>
      <c r="P229" s="74" t="s">
        <v>28</v>
      </c>
      <c r="Q229" s="74">
        <v>8500064267</v>
      </c>
      <c r="R229" s="74">
        <v>5001267824</v>
      </c>
      <c r="S229" s="158">
        <v>38</v>
      </c>
      <c r="T229" s="45"/>
      <c r="U229" s="45"/>
      <c r="V229" s="45"/>
      <c r="W229" s="127">
        <v>45282</v>
      </c>
      <c r="X229" s="152">
        <v>38</v>
      </c>
      <c r="Y229" s="152"/>
      <c r="Z229" s="152" t="s">
        <v>800</v>
      </c>
      <c r="AA229" s="152">
        <f t="shared" si="10"/>
        <v>0</v>
      </c>
      <c r="AB229" s="152">
        <f t="shared" si="11"/>
        <v>0</v>
      </c>
      <c r="AC229" s="74"/>
      <c r="AD229" s="74"/>
      <c r="AE229" s="157"/>
      <c r="AF229" s="157"/>
      <c r="AG229" s="157"/>
      <c r="AH229" s="141"/>
    </row>
    <row r="230" spans="1:34" ht="18.75" customHeight="1">
      <c r="A230" s="45"/>
      <c r="B230" s="121"/>
      <c r="C230" s="74"/>
      <c r="D230" s="80"/>
      <c r="E230" s="74"/>
      <c r="F230" s="74">
        <v>60</v>
      </c>
      <c r="G230" s="45">
        <f t="shared" si="12"/>
        <v>0</v>
      </c>
      <c r="H230" s="119" t="s">
        <v>46</v>
      </c>
      <c r="I230" s="128">
        <v>45257</v>
      </c>
      <c r="J230" s="158">
        <v>60</v>
      </c>
      <c r="K230" s="74">
        <v>2</v>
      </c>
      <c r="L230" s="162"/>
      <c r="M230" s="45"/>
      <c r="N230" s="45"/>
      <c r="O230" s="45"/>
      <c r="P230" s="74" t="s">
        <v>28</v>
      </c>
      <c r="Q230" s="74">
        <v>8500064267</v>
      </c>
      <c r="R230" s="74">
        <v>5001267824</v>
      </c>
      <c r="S230" s="158">
        <v>60</v>
      </c>
      <c r="T230" s="45"/>
      <c r="U230" s="45"/>
      <c r="V230" s="45"/>
      <c r="W230" s="127">
        <v>45282</v>
      </c>
      <c r="X230" s="152">
        <v>60</v>
      </c>
      <c r="Y230" s="152"/>
      <c r="Z230" s="152" t="s">
        <v>800</v>
      </c>
      <c r="AA230" s="152">
        <f t="shared" si="10"/>
        <v>0</v>
      </c>
      <c r="AB230" s="152">
        <f t="shared" si="11"/>
        <v>0</v>
      </c>
      <c r="AC230" s="74"/>
      <c r="AD230" s="74"/>
      <c r="AE230" s="157"/>
      <c r="AF230" s="157"/>
      <c r="AG230" s="157"/>
      <c r="AH230" s="141"/>
    </row>
    <row r="231" spans="1:34" ht="18.75" customHeight="1">
      <c r="A231" s="45"/>
      <c r="B231" s="121"/>
      <c r="C231" s="74"/>
      <c r="D231" s="80"/>
      <c r="E231" s="74"/>
      <c r="F231" s="74">
        <v>16</v>
      </c>
      <c r="G231" s="45">
        <f t="shared" si="12"/>
        <v>0</v>
      </c>
      <c r="H231" s="119" t="s">
        <v>37</v>
      </c>
      <c r="I231" s="128">
        <v>45257</v>
      </c>
      <c r="J231" s="158">
        <v>16</v>
      </c>
      <c r="K231" s="74">
        <v>2</v>
      </c>
      <c r="L231" s="162"/>
      <c r="M231" s="45"/>
      <c r="N231" s="45"/>
      <c r="O231" s="45"/>
      <c r="P231" s="74" t="s">
        <v>28</v>
      </c>
      <c r="Q231" s="74">
        <v>8500064267</v>
      </c>
      <c r="R231" s="74">
        <v>5001267824</v>
      </c>
      <c r="S231" s="158">
        <v>16</v>
      </c>
      <c r="T231" s="45"/>
      <c r="U231" s="45"/>
      <c r="V231" s="45"/>
      <c r="W231" s="127">
        <v>45282</v>
      </c>
      <c r="X231" s="152">
        <v>16</v>
      </c>
      <c r="Y231" s="152"/>
      <c r="Z231" s="152" t="s">
        <v>800</v>
      </c>
      <c r="AA231" s="152">
        <f t="shared" si="10"/>
        <v>0</v>
      </c>
      <c r="AB231" s="152">
        <f t="shared" si="11"/>
        <v>0</v>
      </c>
      <c r="AC231" s="74"/>
      <c r="AD231" s="74"/>
      <c r="AE231" s="157"/>
      <c r="AF231" s="157"/>
      <c r="AG231" s="157"/>
      <c r="AH231" s="141"/>
    </row>
    <row r="232" spans="1:34" ht="18.75" customHeight="1">
      <c r="A232" s="45" t="s">
        <v>645</v>
      </c>
      <c r="B232" s="121">
        <v>6000026944</v>
      </c>
      <c r="C232" s="74" t="s">
        <v>1335</v>
      </c>
      <c r="D232" s="80" t="s">
        <v>2111</v>
      </c>
      <c r="E232" s="74">
        <v>10</v>
      </c>
      <c r="F232" s="74">
        <v>789</v>
      </c>
      <c r="G232" s="45">
        <f t="shared" si="12"/>
        <v>7890</v>
      </c>
      <c r="H232" s="119" t="s">
        <v>46</v>
      </c>
      <c r="I232" s="128">
        <v>45261</v>
      </c>
      <c r="J232" s="74">
        <v>789</v>
      </c>
      <c r="K232" s="74">
        <f>9+7</f>
        <v>16</v>
      </c>
      <c r="L232" s="156">
        <v>45259</v>
      </c>
      <c r="M232" s="45">
        <v>7890</v>
      </c>
      <c r="N232" s="45">
        <v>79</v>
      </c>
      <c r="O232" s="45"/>
      <c r="P232" s="74" t="s">
        <v>160</v>
      </c>
      <c r="Q232" s="74">
        <v>8500064616</v>
      </c>
      <c r="R232" s="74">
        <v>5001283692</v>
      </c>
      <c r="S232" s="74">
        <v>789</v>
      </c>
      <c r="T232" s="45" t="s">
        <v>1558</v>
      </c>
      <c r="U232" s="45">
        <v>85000646415</v>
      </c>
      <c r="V232" s="45">
        <v>5001276050</v>
      </c>
      <c r="W232" s="151" t="s">
        <v>2281</v>
      </c>
      <c r="X232" s="152">
        <v>789</v>
      </c>
      <c r="Y232" s="152">
        <v>7890</v>
      </c>
      <c r="Z232" s="152" t="s">
        <v>197</v>
      </c>
      <c r="AA232" s="152">
        <f t="shared" si="10"/>
        <v>0</v>
      </c>
      <c r="AB232" s="152">
        <f t="shared" si="11"/>
        <v>0</v>
      </c>
      <c r="AC232" s="74"/>
      <c r="AD232" s="74"/>
      <c r="AE232" s="157"/>
      <c r="AF232" s="157"/>
      <c r="AG232" s="157"/>
      <c r="AH232" s="141"/>
    </row>
    <row r="233" spans="1:34" ht="18.75" customHeight="1">
      <c r="A233" s="45"/>
      <c r="B233" s="121"/>
      <c r="C233" s="74"/>
      <c r="D233" s="80"/>
      <c r="E233" s="74">
        <v>10</v>
      </c>
      <c r="F233" s="74">
        <v>598</v>
      </c>
      <c r="G233" s="45">
        <f t="shared" si="12"/>
        <v>5980</v>
      </c>
      <c r="H233" s="119" t="s">
        <v>37</v>
      </c>
      <c r="I233" s="128">
        <v>45261</v>
      </c>
      <c r="J233" s="74">
        <v>598</v>
      </c>
      <c r="K233" s="74">
        <f>7+1</f>
        <v>8</v>
      </c>
      <c r="L233" s="156">
        <v>45259</v>
      </c>
      <c r="M233" s="45">
        <v>5980</v>
      </c>
      <c r="N233" s="45">
        <v>60</v>
      </c>
      <c r="O233" s="45"/>
      <c r="P233" s="74" t="s">
        <v>160</v>
      </c>
      <c r="Q233" s="74">
        <v>8500064616</v>
      </c>
      <c r="R233" s="74">
        <v>5001283692</v>
      </c>
      <c r="S233" s="74">
        <v>598</v>
      </c>
      <c r="T233" s="45" t="s">
        <v>1558</v>
      </c>
      <c r="U233" s="45">
        <v>85000646415</v>
      </c>
      <c r="V233" s="45">
        <v>5001276050</v>
      </c>
      <c r="W233" s="127">
        <v>45273</v>
      </c>
      <c r="X233" s="152">
        <v>598</v>
      </c>
      <c r="Y233" s="152">
        <v>5980</v>
      </c>
      <c r="Z233" s="152" t="s">
        <v>927</v>
      </c>
      <c r="AA233" s="152">
        <f t="shared" si="10"/>
        <v>0</v>
      </c>
      <c r="AB233" s="152">
        <f t="shared" si="11"/>
        <v>0</v>
      </c>
      <c r="AC233" s="74"/>
      <c r="AD233" s="74"/>
      <c r="AE233" s="157"/>
      <c r="AF233" s="157"/>
      <c r="AG233" s="157"/>
      <c r="AH233" s="141"/>
    </row>
    <row r="234" spans="1:34" ht="18.75" customHeight="1">
      <c r="A234" s="45"/>
      <c r="B234" s="121"/>
      <c r="C234" s="74"/>
      <c r="D234" s="80"/>
      <c r="E234" s="74">
        <v>10</v>
      </c>
      <c r="F234" s="74">
        <v>463</v>
      </c>
      <c r="G234" s="45">
        <f t="shared" si="12"/>
        <v>4630</v>
      </c>
      <c r="H234" s="119" t="s">
        <v>146</v>
      </c>
      <c r="I234" s="128">
        <v>45272</v>
      </c>
      <c r="J234" s="158">
        <v>463</v>
      </c>
      <c r="K234" s="74">
        <f>6+2</f>
        <v>8</v>
      </c>
      <c r="L234" s="156">
        <v>45259</v>
      </c>
      <c r="M234" s="45">
        <v>4630</v>
      </c>
      <c r="N234" s="45">
        <v>46</v>
      </c>
      <c r="O234" s="45"/>
      <c r="P234" s="74" t="s">
        <v>160</v>
      </c>
      <c r="Q234" s="74">
        <v>8500064616</v>
      </c>
      <c r="R234" s="74">
        <v>5001323682</v>
      </c>
      <c r="S234" s="74">
        <v>463</v>
      </c>
      <c r="T234" s="45" t="s">
        <v>1558</v>
      </c>
      <c r="U234" s="45">
        <v>85000646415</v>
      </c>
      <c r="V234" s="45">
        <v>5001276050</v>
      </c>
      <c r="W234" s="127">
        <v>45303</v>
      </c>
      <c r="X234" s="152">
        <v>463</v>
      </c>
      <c r="Y234" s="152">
        <v>4630</v>
      </c>
      <c r="Z234" s="152" t="s">
        <v>759</v>
      </c>
      <c r="AA234" s="152">
        <f t="shared" si="10"/>
        <v>0</v>
      </c>
      <c r="AB234" s="152">
        <f t="shared" si="11"/>
        <v>0</v>
      </c>
      <c r="AC234" s="74"/>
      <c r="AD234" s="74"/>
      <c r="AE234" s="157"/>
      <c r="AF234" s="157"/>
      <c r="AG234" s="157"/>
      <c r="AH234" s="141"/>
    </row>
    <row r="235" spans="1:34" ht="18.75" customHeight="1">
      <c r="A235" s="45" t="s">
        <v>645</v>
      </c>
      <c r="B235" s="121">
        <v>6000026944</v>
      </c>
      <c r="C235" s="74" t="s">
        <v>1874</v>
      </c>
      <c r="D235" s="80" t="s">
        <v>2111</v>
      </c>
      <c r="E235" s="74">
        <v>10</v>
      </c>
      <c r="F235" s="211">
        <v>152</v>
      </c>
      <c r="G235" s="212">
        <f t="shared" si="12"/>
        <v>1520</v>
      </c>
      <c r="H235" s="213" t="s">
        <v>27</v>
      </c>
      <c r="I235" s="128">
        <v>45283</v>
      </c>
      <c r="J235" s="158">
        <v>152</v>
      </c>
      <c r="K235" s="74">
        <v>2</v>
      </c>
      <c r="L235" s="156">
        <v>45283</v>
      </c>
      <c r="M235" s="45">
        <v>1520</v>
      </c>
      <c r="N235" s="45">
        <v>30</v>
      </c>
      <c r="O235" s="45"/>
      <c r="P235" s="74" t="s">
        <v>1666</v>
      </c>
      <c r="Q235" s="74">
        <v>8500064618</v>
      </c>
      <c r="R235" s="74">
        <v>5001293529</v>
      </c>
      <c r="S235" s="211">
        <v>152</v>
      </c>
      <c r="T235" s="45" t="s">
        <v>1666</v>
      </c>
      <c r="U235" s="45">
        <v>8500064617</v>
      </c>
      <c r="V235" s="45">
        <v>5001287163</v>
      </c>
      <c r="W235" s="127">
        <v>45283</v>
      </c>
      <c r="X235" s="152">
        <v>152</v>
      </c>
      <c r="Y235" s="152">
        <v>1520</v>
      </c>
      <c r="Z235" s="152" t="s">
        <v>800</v>
      </c>
      <c r="AA235" s="152">
        <f t="shared" si="10"/>
        <v>0</v>
      </c>
      <c r="AB235" s="152">
        <f t="shared" si="11"/>
        <v>0</v>
      </c>
      <c r="AC235" s="74"/>
      <c r="AD235" s="74"/>
      <c r="AE235" s="157"/>
      <c r="AF235" s="157"/>
      <c r="AG235" s="157"/>
      <c r="AH235" s="141"/>
    </row>
    <row r="236" spans="1:34" ht="18.75" customHeight="1">
      <c r="A236" s="45"/>
      <c r="B236" s="121"/>
      <c r="C236" s="74"/>
      <c r="D236" s="80"/>
      <c r="E236" s="74">
        <v>10</v>
      </c>
      <c r="F236" s="74">
        <v>202</v>
      </c>
      <c r="G236" s="45">
        <f t="shared" si="12"/>
        <v>2020</v>
      </c>
      <c r="H236" s="119" t="s">
        <v>46</v>
      </c>
      <c r="I236" s="128">
        <v>45261</v>
      </c>
      <c r="J236" s="74">
        <v>202</v>
      </c>
      <c r="K236" s="74">
        <f>3+4</f>
        <v>7</v>
      </c>
      <c r="L236" s="156">
        <v>45265</v>
      </c>
      <c r="M236" s="45">
        <v>2020</v>
      </c>
      <c r="N236" s="45">
        <v>30</v>
      </c>
      <c r="O236" s="45" t="s">
        <v>1648</v>
      </c>
      <c r="P236" s="74" t="s">
        <v>160</v>
      </c>
      <c r="Q236" s="74">
        <v>8500064618</v>
      </c>
      <c r="R236" s="74">
        <v>5001283693</v>
      </c>
      <c r="S236" s="74">
        <v>202</v>
      </c>
      <c r="T236" s="45" t="s">
        <v>655</v>
      </c>
      <c r="U236" s="45">
        <v>8500064617</v>
      </c>
      <c r="V236" s="45">
        <v>5001297386</v>
      </c>
      <c r="W236" s="127">
        <v>45281</v>
      </c>
      <c r="X236" s="152">
        <v>202</v>
      </c>
      <c r="Y236" s="152">
        <v>2020</v>
      </c>
      <c r="Z236" s="152" t="s">
        <v>800</v>
      </c>
      <c r="AA236" s="152">
        <f t="shared" si="10"/>
        <v>0</v>
      </c>
      <c r="AB236" s="152">
        <f t="shared" si="11"/>
        <v>0</v>
      </c>
      <c r="AC236" s="74"/>
      <c r="AD236" s="74"/>
      <c r="AE236" s="157"/>
      <c r="AF236" s="157"/>
      <c r="AG236" s="157"/>
      <c r="AH236" s="141"/>
    </row>
    <row r="237" spans="1:34" ht="18.75" customHeight="1">
      <c r="A237" s="45"/>
      <c r="B237" s="121"/>
      <c r="C237" s="74"/>
      <c r="D237" s="80"/>
      <c r="E237" s="74">
        <v>10</v>
      </c>
      <c r="F237" s="74">
        <v>197</v>
      </c>
      <c r="G237" s="45">
        <f t="shared" si="12"/>
        <v>1970</v>
      </c>
      <c r="H237" s="119" t="s">
        <v>37</v>
      </c>
      <c r="I237" s="128">
        <v>45261</v>
      </c>
      <c r="J237" s="74">
        <v>197</v>
      </c>
      <c r="K237" s="74">
        <v>3</v>
      </c>
      <c r="L237" s="156">
        <v>45265</v>
      </c>
      <c r="M237" s="45">
        <v>1970</v>
      </c>
      <c r="N237" s="45">
        <v>30</v>
      </c>
      <c r="O237" s="45" t="s">
        <v>1648</v>
      </c>
      <c r="P237" s="74" t="s">
        <v>160</v>
      </c>
      <c r="Q237" s="74">
        <v>8500064618</v>
      </c>
      <c r="R237" s="74">
        <v>5001283693</v>
      </c>
      <c r="S237" s="74">
        <v>197</v>
      </c>
      <c r="T237" s="45" t="s">
        <v>655</v>
      </c>
      <c r="U237" s="45">
        <v>8500064617</v>
      </c>
      <c r="V237" s="45">
        <v>5001297386</v>
      </c>
      <c r="W237" s="127">
        <v>45276</v>
      </c>
      <c r="X237" s="152">
        <v>197</v>
      </c>
      <c r="Y237" s="152">
        <v>1970</v>
      </c>
      <c r="Z237" s="152" t="s">
        <v>800</v>
      </c>
      <c r="AA237" s="152">
        <f t="shared" si="10"/>
        <v>0</v>
      </c>
      <c r="AB237" s="152">
        <f t="shared" si="11"/>
        <v>0</v>
      </c>
      <c r="AC237" s="74"/>
      <c r="AD237" s="74"/>
      <c r="AE237" s="157"/>
      <c r="AF237" s="157"/>
      <c r="AG237" s="157"/>
      <c r="AH237" s="141"/>
    </row>
    <row r="238" spans="1:34" ht="18.75" customHeight="1">
      <c r="A238" s="45"/>
      <c r="B238" s="121"/>
      <c r="C238" s="74"/>
      <c r="D238" s="80"/>
      <c r="E238" s="74">
        <v>10</v>
      </c>
      <c r="F238" s="74">
        <v>112</v>
      </c>
      <c r="G238" s="45">
        <f t="shared" si="12"/>
        <v>1120</v>
      </c>
      <c r="H238" s="119" t="s">
        <v>146</v>
      </c>
      <c r="I238" s="128">
        <v>45261</v>
      </c>
      <c r="J238" s="74">
        <v>112</v>
      </c>
      <c r="K238" s="74">
        <f>3+2</f>
        <v>5</v>
      </c>
      <c r="L238" s="156">
        <v>45265</v>
      </c>
      <c r="M238" s="45">
        <v>1120</v>
      </c>
      <c r="N238" s="45">
        <v>30</v>
      </c>
      <c r="O238" s="45" t="s">
        <v>1648</v>
      </c>
      <c r="P238" s="74" t="s">
        <v>160</v>
      </c>
      <c r="Q238" s="74">
        <v>8500064618</v>
      </c>
      <c r="R238" s="74">
        <v>5001283693</v>
      </c>
      <c r="S238" s="74">
        <v>112</v>
      </c>
      <c r="T238" s="45" t="s">
        <v>655</v>
      </c>
      <c r="U238" s="45">
        <v>8500064617</v>
      </c>
      <c r="V238" s="45">
        <v>5001297386</v>
      </c>
      <c r="W238" s="127">
        <v>45276</v>
      </c>
      <c r="X238" s="152">
        <v>112</v>
      </c>
      <c r="Y238" s="152">
        <v>1120</v>
      </c>
      <c r="Z238" s="152" t="s">
        <v>800</v>
      </c>
      <c r="AA238" s="152">
        <f t="shared" si="10"/>
        <v>0</v>
      </c>
      <c r="AB238" s="152">
        <f t="shared" si="11"/>
        <v>0</v>
      </c>
      <c r="AC238" s="74"/>
      <c r="AD238" s="74"/>
      <c r="AE238" s="157"/>
      <c r="AF238" s="157"/>
      <c r="AG238" s="157"/>
      <c r="AH238" s="141"/>
    </row>
    <row r="239" spans="1:34" ht="20.25" customHeight="1">
      <c r="A239" s="45" t="s">
        <v>2115</v>
      </c>
      <c r="B239" s="121">
        <v>6000026488</v>
      </c>
      <c r="C239" s="74" t="s">
        <v>2113</v>
      </c>
      <c r="D239" s="80" t="s">
        <v>2114</v>
      </c>
      <c r="E239" s="74">
        <v>30</v>
      </c>
      <c r="F239" s="74">
        <v>10</v>
      </c>
      <c r="G239" s="45">
        <f t="shared" si="12"/>
        <v>300</v>
      </c>
      <c r="H239" s="119" t="s">
        <v>27</v>
      </c>
      <c r="I239" s="128">
        <v>45262</v>
      </c>
      <c r="J239" s="74">
        <v>10</v>
      </c>
      <c r="K239" s="74">
        <v>5</v>
      </c>
      <c r="L239" s="156">
        <v>45269</v>
      </c>
      <c r="M239" s="45">
        <v>300</v>
      </c>
      <c r="N239" s="45">
        <v>3</v>
      </c>
      <c r="O239" s="45" t="s">
        <v>1388</v>
      </c>
      <c r="P239" s="74" t="s">
        <v>28</v>
      </c>
      <c r="Q239" s="74">
        <v>8500064697</v>
      </c>
      <c r="R239" s="74">
        <v>5001287722</v>
      </c>
      <c r="S239" s="74">
        <v>10</v>
      </c>
      <c r="T239" s="45" t="s">
        <v>794</v>
      </c>
      <c r="U239" s="45">
        <v>8500064696</v>
      </c>
      <c r="V239" s="45">
        <v>5001319359</v>
      </c>
      <c r="W239" s="127">
        <v>45282</v>
      </c>
      <c r="X239" s="152">
        <v>10</v>
      </c>
      <c r="Y239" s="152">
        <v>300</v>
      </c>
      <c r="Z239" s="152" t="s">
        <v>800</v>
      </c>
      <c r="AA239" s="152">
        <f t="shared" si="10"/>
        <v>0</v>
      </c>
      <c r="AB239" s="152">
        <f t="shared" si="11"/>
        <v>0</v>
      </c>
      <c r="AC239" s="74"/>
      <c r="AD239" s="74"/>
      <c r="AE239" s="157"/>
      <c r="AF239" s="157"/>
      <c r="AG239" s="157"/>
      <c r="AH239" s="141"/>
    </row>
    <row r="240" spans="1:34" ht="20.25" customHeight="1">
      <c r="A240" s="45"/>
      <c r="B240" s="121"/>
      <c r="C240" s="74"/>
      <c r="D240" s="80"/>
      <c r="E240" s="74">
        <v>30</v>
      </c>
      <c r="F240" s="74">
        <v>103</v>
      </c>
      <c r="G240" s="45">
        <f t="shared" si="12"/>
        <v>3090</v>
      </c>
      <c r="H240" s="119" t="s">
        <v>46</v>
      </c>
      <c r="I240" s="128">
        <v>45262</v>
      </c>
      <c r="J240" s="74">
        <v>103</v>
      </c>
      <c r="K240" s="74">
        <v>7</v>
      </c>
      <c r="L240" s="156">
        <v>45269</v>
      </c>
      <c r="M240" s="45">
        <v>3090</v>
      </c>
      <c r="N240" s="45">
        <v>31</v>
      </c>
      <c r="O240" s="45" t="s">
        <v>1603</v>
      </c>
      <c r="P240" s="74" t="s">
        <v>28</v>
      </c>
      <c r="Q240" s="74">
        <v>8500064697</v>
      </c>
      <c r="R240" s="74">
        <v>5001287722</v>
      </c>
      <c r="S240" s="74">
        <v>103</v>
      </c>
      <c r="T240" s="45" t="s">
        <v>794</v>
      </c>
      <c r="U240" s="45">
        <v>8500064696</v>
      </c>
      <c r="V240" s="45">
        <v>5001319359</v>
      </c>
      <c r="W240" s="127">
        <v>45289</v>
      </c>
      <c r="X240" s="152">
        <v>103</v>
      </c>
      <c r="Y240" s="152">
        <v>3090</v>
      </c>
      <c r="Z240" s="152" t="s">
        <v>2325</v>
      </c>
      <c r="AA240" s="152">
        <f t="shared" si="10"/>
        <v>0</v>
      </c>
      <c r="AB240" s="152">
        <f t="shared" si="11"/>
        <v>0</v>
      </c>
      <c r="AC240" s="74"/>
      <c r="AD240" s="74"/>
      <c r="AE240" s="157"/>
      <c r="AF240" s="157"/>
      <c r="AG240" s="157"/>
      <c r="AH240" s="141"/>
    </row>
    <row r="241" spans="1:34" ht="20.25" customHeight="1">
      <c r="A241" s="45"/>
      <c r="B241" s="121"/>
      <c r="C241" s="74"/>
      <c r="D241" s="80"/>
      <c r="E241" s="74">
        <v>30</v>
      </c>
      <c r="F241" s="74">
        <v>88</v>
      </c>
      <c r="G241" s="45">
        <f t="shared" si="12"/>
        <v>2640</v>
      </c>
      <c r="H241" s="119" t="s">
        <v>37</v>
      </c>
      <c r="I241" s="128">
        <v>45262</v>
      </c>
      <c r="J241" s="74">
        <v>88</v>
      </c>
      <c r="K241" s="74">
        <v>6</v>
      </c>
      <c r="L241" s="156">
        <v>45269</v>
      </c>
      <c r="M241" s="45">
        <v>2640</v>
      </c>
      <c r="N241" s="45">
        <v>26</v>
      </c>
      <c r="O241" s="45" t="s">
        <v>1602</v>
      </c>
      <c r="P241" s="74" t="s">
        <v>28</v>
      </c>
      <c r="Q241" s="74">
        <v>8500064697</v>
      </c>
      <c r="R241" s="74">
        <v>5001287722</v>
      </c>
      <c r="S241" s="74">
        <v>88</v>
      </c>
      <c r="T241" s="45" t="s">
        <v>794</v>
      </c>
      <c r="U241" s="45">
        <v>8500064696</v>
      </c>
      <c r="V241" s="45">
        <v>5001319359</v>
      </c>
      <c r="W241" s="127">
        <v>45289</v>
      </c>
      <c r="X241" s="152">
        <v>88</v>
      </c>
      <c r="Y241" s="152">
        <v>2640</v>
      </c>
      <c r="Z241" s="152" t="s">
        <v>2238</v>
      </c>
      <c r="AA241" s="152">
        <f t="shared" si="10"/>
        <v>0</v>
      </c>
      <c r="AB241" s="152">
        <f t="shared" si="11"/>
        <v>0</v>
      </c>
      <c r="AC241" s="74"/>
      <c r="AD241" s="74"/>
      <c r="AE241" s="157"/>
      <c r="AF241" s="157"/>
      <c r="AG241" s="157"/>
      <c r="AH241" s="141"/>
    </row>
    <row r="242" spans="1:34" ht="20.25" customHeight="1">
      <c r="A242" s="45"/>
      <c r="B242" s="121"/>
      <c r="C242" s="74"/>
      <c r="D242" s="80"/>
      <c r="E242" s="74">
        <v>30</v>
      </c>
      <c r="F242" s="74">
        <v>86</v>
      </c>
      <c r="G242" s="45">
        <f t="shared" si="12"/>
        <v>2580</v>
      </c>
      <c r="H242" s="119" t="s">
        <v>146</v>
      </c>
      <c r="I242" s="128">
        <v>45262</v>
      </c>
      <c r="J242" s="74">
        <v>86</v>
      </c>
      <c r="K242" s="74">
        <v>6</v>
      </c>
      <c r="L242" s="156">
        <v>45269</v>
      </c>
      <c r="M242" s="45">
        <v>2580</v>
      </c>
      <c r="N242" s="45">
        <v>26</v>
      </c>
      <c r="O242" s="45" t="s">
        <v>1602</v>
      </c>
      <c r="P242" s="74" t="s">
        <v>28</v>
      </c>
      <c r="Q242" s="74">
        <v>8500064697</v>
      </c>
      <c r="R242" s="74">
        <v>5001287722</v>
      </c>
      <c r="S242" s="74">
        <v>86</v>
      </c>
      <c r="T242" s="45" t="s">
        <v>794</v>
      </c>
      <c r="U242" s="45">
        <v>8500064696</v>
      </c>
      <c r="V242" s="45">
        <v>5001319359</v>
      </c>
      <c r="W242" s="127">
        <v>45282</v>
      </c>
      <c r="X242" s="152">
        <v>86</v>
      </c>
      <c r="Y242" s="152">
        <v>2580</v>
      </c>
      <c r="Z242" s="152" t="s">
        <v>800</v>
      </c>
      <c r="AA242" s="152">
        <f t="shared" si="10"/>
        <v>0</v>
      </c>
      <c r="AB242" s="152">
        <f t="shared" si="11"/>
        <v>0</v>
      </c>
      <c r="AC242" s="74"/>
      <c r="AD242" s="74"/>
      <c r="AE242" s="157"/>
      <c r="AF242" s="157"/>
      <c r="AG242" s="157"/>
      <c r="AH242" s="141"/>
    </row>
    <row r="243" spans="1:34" ht="20.25" customHeight="1">
      <c r="A243" s="45" t="s">
        <v>2115</v>
      </c>
      <c r="B243" s="121">
        <v>6000026488</v>
      </c>
      <c r="C243" s="74" t="s">
        <v>2116</v>
      </c>
      <c r="D243" s="80" t="s">
        <v>2114</v>
      </c>
      <c r="E243" s="74">
        <v>30</v>
      </c>
      <c r="F243" s="74">
        <v>103</v>
      </c>
      <c r="G243" s="45">
        <f t="shared" si="12"/>
        <v>3090</v>
      </c>
      <c r="H243" s="119" t="s">
        <v>46</v>
      </c>
      <c r="I243" s="128">
        <v>45262</v>
      </c>
      <c r="J243" s="74">
        <v>103</v>
      </c>
      <c r="K243" s="74">
        <v>7</v>
      </c>
      <c r="L243" s="156">
        <v>45273</v>
      </c>
      <c r="M243" s="45">
        <v>3090</v>
      </c>
      <c r="N243" s="45">
        <v>31</v>
      </c>
      <c r="O243" s="45" t="s">
        <v>822</v>
      </c>
      <c r="P243" s="74" t="s">
        <v>28</v>
      </c>
      <c r="Q243" s="74">
        <v>8500064699</v>
      </c>
      <c r="R243" s="74">
        <v>5001287726</v>
      </c>
      <c r="S243" s="74">
        <v>103</v>
      </c>
      <c r="T243" s="45" t="s">
        <v>794</v>
      </c>
      <c r="U243" s="45">
        <v>8500064698</v>
      </c>
      <c r="V243" s="45">
        <v>5001328090</v>
      </c>
      <c r="W243" s="127">
        <v>45287</v>
      </c>
      <c r="X243" s="152">
        <v>103</v>
      </c>
      <c r="Y243" s="152">
        <v>3090</v>
      </c>
      <c r="Z243" s="152" t="s">
        <v>2297</v>
      </c>
      <c r="AA243" s="152">
        <f t="shared" si="10"/>
        <v>0</v>
      </c>
      <c r="AB243" s="152">
        <f t="shared" si="11"/>
        <v>0</v>
      </c>
      <c r="AC243" s="74"/>
      <c r="AD243" s="74"/>
      <c r="AE243" s="157"/>
      <c r="AF243" s="157"/>
      <c r="AG243" s="157"/>
      <c r="AH243" s="141"/>
    </row>
    <row r="244" spans="1:34" ht="20.25" customHeight="1">
      <c r="A244" s="45"/>
      <c r="B244" s="121"/>
      <c r="C244" s="74"/>
      <c r="D244" s="80"/>
      <c r="E244" s="74">
        <v>30</v>
      </c>
      <c r="F244" s="74">
        <v>173</v>
      </c>
      <c r="G244" s="45">
        <f t="shared" si="12"/>
        <v>5190</v>
      </c>
      <c r="H244" s="119" t="s">
        <v>37</v>
      </c>
      <c r="I244" s="128">
        <v>45262</v>
      </c>
      <c r="J244" s="74">
        <v>173</v>
      </c>
      <c r="K244" s="74">
        <v>7</v>
      </c>
      <c r="L244" s="156">
        <v>45273</v>
      </c>
      <c r="M244" s="45">
        <v>5190</v>
      </c>
      <c r="N244" s="45">
        <v>52</v>
      </c>
      <c r="O244" s="45" t="s">
        <v>822</v>
      </c>
      <c r="P244" s="74" t="s">
        <v>28</v>
      </c>
      <c r="Q244" s="74">
        <v>8500064699</v>
      </c>
      <c r="R244" s="74">
        <v>5001287726</v>
      </c>
      <c r="S244" s="74">
        <v>173</v>
      </c>
      <c r="T244" s="45" t="s">
        <v>794</v>
      </c>
      <c r="U244" s="45">
        <v>8500064698</v>
      </c>
      <c r="V244" s="45">
        <v>5001328090</v>
      </c>
      <c r="W244" s="127">
        <v>45276</v>
      </c>
      <c r="X244" s="152">
        <v>173</v>
      </c>
      <c r="Y244" s="152">
        <v>5190</v>
      </c>
      <c r="Z244" s="152" t="s">
        <v>927</v>
      </c>
      <c r="AA244" s="152">
        <f t="shared" si="10"/>
        <v>0</v>
      </c>
      <c r="AB244" s="152">
        <f t="shared" si="11"/>
        <v>0</v>
      </c>
      <c r="AC244" s="74"/>
      <c r="AD244" s="74"/>
      <c r="AE244" s="157"/>
      <c r="AF244" s="157"/>
      <c r="AG244" s="157"/>
      <c r="AH244" s="141"/>
    </row>
    <row r="245" spans="1:34" ht="20.25" customHeight="1">
      <c r="A245" s="45"/>
      <c r="B245" s="121"/>
      <c r="C245" s="74"/>
      <c r="D245" s="80"/>
      <c r="E245" s="74">
        <v>30</v>
      </c>
      <c r="F245" s="74">
        <v>37</v>
      </c>
      <c r="G245" s="45">
        <f t="shared" si="12"/>
        <v>1110</v>
      </c>
      <c r="H245" s="119" t="s">
        <v>146</v>
      </c>
      <c r="I245" s="128">
        <v>45262</v>
      </c>
      <c r="J245" s="74">
        <v>37</v>
      </c>
      <c r="K245" s="74">
        <v>5</v>
      </c>
      <c r="L245" s="156">
        <v>45273</v>
      </c>
      <c r="M245" s="45">
        <v>1110</v>
      </c>
      <c r="N245" s="45">
        <v>11</v>
      </c>
      <c r="O245" s="45" t="s">
        <v>824</v>
      </c>
      <c r="P245" s="74" t="s">
        <v>28</v>
      </c>
      <c r="Q245" s="74">
        <v>8500064699</v>
      </c>
      <c r="R245" s="74">
        <v>5001287726</v>
      </c>
      <c r="S245" s="74">
        <v>37</v>
      </c>
      <c r="T245" s="45" t="s">
        <v>794</v>
      </c>
      <c r="U245" s="45">
        <v>8500064698</v>
      </c>
      <c r="V245" s="45">
        <v>5001328090</v>
      </c>
      <c r="W245" s="127">
        <v>48566</v>
      </c>
      <c r="X245" s="152">
        <v>37</v>
      </c>
      <c r="Y245" s="152">
        <v>1110</v>
      </c>
      <c r="Z245" s="152" t="s">
        <v>870</v>
      </c>
      <c r="AA245" s="152">
        <f t="shared" si="10"/>
        <v>0</v>
      </c>
      <c r="AB245" s="152">
        <f t="shared" si="11"/>
        <v>0</v>
      </c>
      <c r="AC245" s="74"/>
      <c r="AD245" s="74"/>
      <c r="AE245" s="157"/>
      <c r="AF245" s="157"/>
      <c r="AG245" s="157"/>
      <c r="AH245" s="141"/>
    </row>
    <row r="246" spans="1:34" ht="20.25" customHeight="1">
      <c r="A246" s="45" t="s">
        <v>2115</v>
      </c>
      <c r="B246" s="121">
        <v>6000026490</v>
      </c>
      <c r="C246" s="74" t="s">
        <v>2113</v>
      </c>
      <c r="D246" s="80" t="s">
        <v>2117</v>
      </c>
      <c r="E246" s="74">
        <v>30</v>
      </c>
      <c r="F246" s="74">
        <v>17</v>
      </c>
      <c r="G246" s="45">
        <f t="shared" si="12"/>
        <v>510</v>
      </c>
      <c r="H246" s="119" t="s">
        <v>46</v>
      </c>
      <c r="I246" s="128">
        <v>45262</v>
      </c>
      <c r="J246" s="74">
        <v>17</v>
      </c>
      <c r="K246" s="74">
        <v>0</v>
      </c>
      <c r="L246" s="156">
        <v>45273</v>
      </c>
      <c r="M246" s="45">
        <v>510</v>
      </c>
      <c r="N246" s="45">
        <v>5</v>
      </c>
      <c r="O246" s="45" t="s">
        <v>824</v>
      </c>
      <c r="P246" s="74" t="s">
        <v>28</v>
      </c>
      <c r="Q246" s="74">
        <v>8500064693</v>
      </c>
      <c r="R246" s="74">
        <v>5001287727</v>
      </c>
      <c r="S246" s="74">
        <v>17</v>
      </c>
      <c r="T246" s="45" t="s">
        <v>794</v>
      </c>
      <c r="U246" s="45">
        <v>8500064692</v>
      </c>
      <c r="V246" s="45">
        <v>5001328101</v>
      </c>
      <c r="W246" s="127">
        <v>45290</v>
      </c>
      <c r="X246" s="152">
        <v>17</v>
      </c>
      <c r="Y246" s="152">
        <v>510</v>
      </c>
      <c r="Z246" s="152" t="s">
        <v>2325</v>
      </c>
      <c r="AA246" s="152">
        <f t="shared" si="10"/>
        <v>0</v>
      </c>
      <c r="AB246" s="152">
        <f t="shared" si="11"/>
        <v>0</v>
      </c>
      <c r="AC246" s="74"/>
      <c r="AD246" s="74"/>
      <c r="AE246" s="157"/>
      <c r="AF246" s="157"/>
      <c r="AG246" s="157"/>
      <c r="AH246" s="141"/>
    </row>
    <row r="247" spans="1:34" ht="20.25" customHeight="1">
      <c r="A247" s="45"/>
      <c r="B247" s="121"/>
      <c r="C247" s="74"/>
      <c r="D247" s="80"/>
      <c r="E247" s="74">
        <v>30</v>
      </c>
      <c r="F247" s="74">
        <v>67</v>
      </c>
      <c r="G247" s="45">
        <f t="shared" si="12"/>
        <v>2010</v>
      </c>
      <c r="H247" s="119" t="s">
        <v>37</v>
      </c>
      <c r="I247" s="128">
        <v>45262</v>
      </c>
      <c r="J247" s="74">
        <v>67</v>
      </c>
      <c r="K247" s="74">
        <v>1</v>
      </c>
      <c r="L247" s="156">
        <v>45271</v>
      </c>
      <c r="M247" s="45">
        <v>2010</v>
      </c>
      <c r="N247" s="45">
        <v>20</v>
      </c>
      <c r="O247" s="45" t="s">
        <v>1574</v>
      </c>
      <c r="P247" s="74" t="s">
        <v>28</v>
      </c>
      <c r="Q247" s="74">
        <v>8500064693</v>
      </c>
      <c r="R247" s="74">
        <v>5001287727</v>
      </c>
      <c r="S247" s="74">
        <v>67</v>
      </c>
      <c r="T247" s="45" t="s">
        <v>794</v>
      </c>
      <c r="U247" s="45">
        <v>8500064692</v>
      </c>
      <c r="V247" s="45">
        <v>5001319965</v>
      </c>
      <c r="W247" s="127">
        <v>45290</v>
      </c>
      <c r="X247" s="152">
        <v>67</v>
      </c>
      <c r="Y247" s="152">
        <v>2010</v>
      </c>
      <c r="Z247" s="152" t="s">
        <v>2238</v>
      </c>
      <c r="AA247" s="152">
        <f t="shared" si="10"/>
        <v>0</v>
      </c>
      <c r="AB247" s="152">
        <f t="shared" si="11"/>
        <v>0</v>
      </c>
      <c r="AC247" s="74"/>
      <c r="AD247" s="74"/>
      <c r="AE247" s="157"/>
      <c r="AF247" s="157"/>
      <c r="AG247" s="157"/>
      <c r="AH247" s="141"/>
    </row>
    <row r="248" spans="1:34" ht="20.25" customHeight="1">
      <c r="A248" s="45" t="s">
        <v>2115</v>
      </c>
      <c r="B248" s="121">
        <v>6000026490</v>
      </c>
      <c r="C248" s="74" t="s">
        <v>2116</v>
      </c>
      <c r="D248" s="80" t="s">
        <v>2117</v>
      </c>
      <c r="E248" s="74">
        <v>30</v>
      </c>
      <c r="F248" s="74">
        <v>149</v>
      </c>
      <c r="G248" s="45">
        <f t="shared" si="12"/>
        <v>4470</v>
      </c>
      <c r="H248" s="119" t="s">
        <v>46</v>
      </c>
      <c r="I248" s="128">
        <v>45265</v>
      </c>
      <c r="J248" s="74">
        <v>149</v>
      </c>
      <c r="K248" s="74">
        <v>1</v>
      </c>
      <c r="L248" s="156">
        <v>45273</v>
      </c>
      <c r="M248" s="45">
        <v>4470</v>
      </c>
      <c r="N248" s="45">
        <v>45</v>
      </c>
      <c r="O248" s="45" t="s">
        <v>735</v>
      </c>
      <c r="P248" s="74" t="s">
        <v>28</v>
      </c>
      <c r="Q248" s="74">
        <v>8500064695</v>
      </c>
      <c r="R248" s="74">
        <v>5001298461</v>
      </c>
      <c r="S248" s="74">
        <v>149</v>
      </c>
      <c r="T248" s="45" t="s">
        <v>794</v>
      </c>
      <c r="U248" s="45">
        <v>8500064694</v>
      </c>
      <c r="V248" s="45">
        <v>5001328096</v>
      </c>
      <c r="W248" s="127">
        <v>45288</v>
      </c>
      <c r="X248" s="152">
        <v>149</v>
      </c>
      <c r="Y248" s="152">
        <v>4470</v>
      </c>
      <c r="Z248" s="152" t="s">
        <v>1988</v>
      </c>
      <c r="AA248" s="152">
        <f t="shared" si="10"/>
        <v>0</v>
      </c>
      <c r="AB248" s="152">
        <f t="shared" si="11"/>
        <v>0</v>
      </c>
      <c r="AC248" s="74"/>
      <c r="AD248" s="74"/>
      <c r="AE248" s="157"/>
      <c r="AF248" s="157"/>
      <c r="AG248" s="157"/>
      <c r="AH248" s="141"/>
    </row>
    <row r="249" spans="1:34" ht="20.25" customHeight="1">
      <c r="A249" s="45"/>
      <c r="B249" s="121"/>
      <c r="C249" s="74"/>
      <c r="D249" s="80"/>
      <c r="E249" s="74">
        <v>30</v>
      </c>
      <c r="F249" s="74">
        <v>307</v>
      </c>
      <c r="G249" s="45">
        <f t="shared" si="12"/>
        <v>9210</v>
      </c>
      <c r="H249" s="119" t="s">
        <v>37</v>
      </c>
      <c r="I249" s="128">
        <v>45265</v>
      </c>
      <c r="J249" s="74">
        <v>307</v>
      </c>
      <c r="K249" s="74">
        <v>3</v>
      </c>
      <c r="L249" s="156">
        <v>45273</v>
      </c>
      <c r="M249" s="45">
        <v>9210</v>
      </c>
      <c r="N249" s="45">
        <v>92</v>
      </c>
      <c r="O249" s="45" t="s">
        <v>1754</v>
      </c>
      <c r="P249" s="74" t="s">
        <v>28</v>
      </c>
      <c r="Q249" s="74">
        <v>8500064695</v>
      </c>
      <c r="R249" s="74">
        <v>5001298461</v>
      </c>
      <c r="S249" s="74">
        <v>307</v>
      </c>
      <c r="T249" s="45" t="s">
        <v>794</v>
      </c>
      <c r="U249" s="45">
        <v>8500064694</v>
      </c>
      <c r="V249" s="45">
        <v>5001328096</v>
      </c>
      <c r="W249" s="127">
        <v>45276</v>
      </c>
      <c r="X249" s="152">
        <v>307</v>
      </c>
      <c r="Y249" s="152">
        <v>9210</v>
      </c>
      <c r="Z249" s="152" t="s">
        <v>927</v>
      </c>
      <c r="AA249" s="152">
        <f t="shared" si="10"/>
        <v>0</v>
      </c>
      <c r="AB249" s="152">
        <f t="shared" si="11"/>
        <v>0</v>
      </c>
      <c r="AC249" s="74"/>
      <c r="AD249" s="74"/>
      <c r="AE249" s="157"/>
      <c r="AF249" s="157"/>
      <c r="AG249" s="157"/>
      <c r="AH249" s="141"/>
    </row>
    <row r="250" spans="1:34" ht="18.75" customHeight="1">
      <c r="A250" s="45"/>
      <c r="B250" s="121"/>
      <c r="C250" s="74"/>
      <c r="D250" s="80"/>
      <c r="E250" s="74">
        <v>30</v>
      </c>
      <c r="F250" s="74">
        <v>60</v>
      </c>
      <c r="G250" s="45">
        <f t="shared" si="12"/>
        <v>1800</v>
      </c>
      <c r="H250" s="119" t="s">
        <v>146</v>
      </c>
      <c r="I250" s="128">
        <v>45265</v>
      </c>
      <c r="J250" s="74">
        <v>60</v>
      </c>
      <c r="K250" s="74">
        <v>2</v>
      </c>
      <c r="L250" s="156">
        <v>45276</v>
      </c>
      <c r="M250" s="45">
        <v>1800</v>
      </c>
      <c r="N250" s="45">
        <v>18</v>
      </c>
      <c r="O250" s="45" t="s">
        <v>793</v>
      </c>
      <c r="P250" s="74" t="s">
        <v>28</v>
      </c>
      <c r="Q250" s="74">
        <v>8500064695</v>
      </c>
      <c r="R250" s="74">
        <v>5001298461</v>
      </c>
      <c r="S250" s="74">
        <v>60</v>
      </c>
      <c r="T250" s="45" t="s">
        <v>794</v>
      </c>
      <c r="U250" s="45">
        <v>8500064694</v>
      </c>
      <c r="V250" s="45">
        <v>5001345391</v>
      </c>
      <c r="W250" s="127">
        <v>45301</v>
      </c>
      <c r="X250" s="152">
        <v>60</v>
      </c>
      <c r="Y250" s="152">
        <v>1800</v>
      </c>
      <c r="Z250" s="152" t="s">
        <v>800</v>
      </c>
      <c r="AA250" s="152">
        <f t="shared" si="10"/>
        <v>0</v>
      </c>
      <c r="AB250" s="152">
        <f t="shared" si="11"/>
        <v>0</v>
      </c>
      <c r="AC250" s="74"/>
      <c r="AD250" s="74"/>
      <c r="AE250" s="157"/>
      <c r="AF250" s="157"/>
      <c r="AG250" s="157"/>
      <c r="AH250" s="141"/>
    </row>
    <row r="251" spans="1:34" ht="18.75" customHeight="1">
      <c r="A251" s="45" t="s">
        <v>1742</v>
      </c>
      <c r="B251" s="121">
        <v>6000026746</v>
      </c>
      <c r="C251" s="74" t="s">
        <v>2118</v>
      </c>
      <c r="D251" s="80">
        <v>15459</v>
      </c>
      <c r="E251" s="74">
        <v>12</v>
      </c>
      <c r="F251" s="74">
        <v>417</v>
      </c>
      <c r="G251" s="45">
        <f t="shared" si="12"/>
        <v>5004</v>
      </c>
      <c r="H251" s="119" t="s">
        <v>46</v>
      </c>
      <c r="I251" s="128">
        <v>45272</v>
      </c>
      <c r="J251" s="158">
        <v>417</v>
      </c>
      <c r="K251" s="74">
        <v>5</v>
      </c>
      <c r="L251" s="156">
        <v>45260</v>
      </c>
      <c r="M251" s="45">
        <v>5004</v>
      </c>
      <c r="N251" s="45">
        <v>24</v>
      </c>
      <c r="O251" s="45" t="s">
        <v>899</v>
      </c>
      <c r="P251" s="74" t="s">
        <v>28</v>
      </c>
      <c r="Q251" s="74">
        <v>8500064265</v>
      </c>
      <c r="R251" s="74">
        <v>5001323718</v>
      </c>
      <c r="S251" s="158">
        <v>417</v>
      </c>
      <c r="T251" s="45" t="s">
        <v>152</v>
      </c>
      <c r="U251" s="45">
        <v>8500064264</v>
      </c>
      <c r="V251" s="45">
        <v>5001280084</v>
      </c>
      <c r="W251" s="127">
        <v>45289</v>
      </c>
      <c r="X251" s="152">
        <v>417</v>
      </c>
      <c r="Y251" s="152">
        <v>5004</v>
      </c>
      <c r="Z251" s="152" t="s">
        <v>826</v>
      </c>
      <c r="AA251" s="152">
        <f t="shared" si="10"/>
        <v>0</v>
      </c>
      <c r="AB251" s="152">
        <f t="shared" si="11"/>
        <v>0</v>
      </c>
      <c r="AC251" s="74"/>
      <c r="AD251" s="74"/>
      <c r="AE251" s="157"/>
      <c r="AF251" s="157"/>
      <c r="AG251" s="157"/>
      <c r="AH251" s="141"/>
    </row>
    <row r="252" spans="1:34" ht="18.75" customHeight="1">
      <c r="A252" s="45" t="s">
        <v>865</v>
      </c>
      <c r="B252" s="121">
        <v>6000026931</v>
      </c>
      <c r="C252" s="74" t="s">
        <v>867</v>
      </c>
      <c r="D252" s="121">
        <v>6000026931</v>
      </c>
      <c r="E252" s="74">
        <v>20</v>
      </c>
      <c r="F252" s="74">
        <v>220</v>
      </c>
      <c r="G252" s="45">
        <f t="shared" ref="G252:G264" si="13">F252*E252</f>
        <v>4400</v>
      </c>
      <c r="H252" s="119" t="s">
        <v>27</v>
      </c>
      <c r="I252" s="128">
        <v>45262</v>
      </c>
      <c r="J252" s="74">
        <v>220</v>
      </c>
      <c r="K252" s="74">
        <v>3</v>
      </c>
      <c r="L252" s="156">
        <v>45264</v>
      </c>
      <c r="M252" s="45">
        <v>4400</v>
      </c>
      <c r="N252" s="45">
        <v>44</v>
      </c>
      <c r="O252" s="45" t="s">
        <v>845</v>
      </c>
      <c r="P252" s="74" t="s">
        <v>28</v>
      </c>
      <c r="Q252" s="74">
        <v>8500064596</v>
      </c>
      <c r="R252" s="74">
        <v>5001287563</v>
      </c>
      <c r="S252" s="74">
        <v>220</v>
      </c>
      <c r="T252" s="45" t="s">
        <v>87</v>
      </c>
      <c r="U252" s="45">
        <v>8500064595</v>
      </c>
      <c r="V252" s="45">
        <v>5001297404</v>
      </c>
      <c r="W252" s="127">
        <v>45282</v>
      </c>
      <c r="X252" s="152">
        <v>220</v>
      </c>
      <c r="Y252" s="152">
        <v>4400</v>
      </c>
      <c r="Z252" s="152" t="s">
        <v>1502</v>
      </c>
      <c r="AA252" s="152">
        <f t="shared" ref="AA252:AA257" si="14">J252-X252</f>
        <v>0</v>
      </c>
      <c r="AB252" s="152">
        <f t="shared" ref="AB252:AB257" si="15">M252-Y252</f>
        <v>0</v>
      </c>
      <c r="AC252" s="74"/>
      <c r="AD252" s="74"/>
      <c r="AE252" s="157"/>
      <c r="AF252" s="157"/>
      <c r="AG252" s="157"/>
      <c r="AH252" s="141"/>
    </row>
    <row r="253" spans="1:34" ht="18.75" customHeight="1">
      <c r="A253" s="45"/>
      <c r="B253" s="121"/>
      <c r="C253" s="74"/>
      <c r="D253" s="80"/>
      <c r="E253" s="74">
        <v>20</v>
      </c>
      <c r="F253" s="74">
        <v>450</v>
      </c>
      <c r="G253" s="45">
        <f t="shared" si="13"/>
        <v>9000</v>
      </c>
      <c r="H253" s="119" t="s">
        <v>46</v>
      </c>
      <c r="I253" s="128">
        <v>45262</v>
      </c>
      <c r="J253" s="74">
        <v>450</v>
      </c>
      <c r="K253" s="74">
        <v>7</v>
      </c>
      <c r="L253" s="156">
        <v>45264</v>
      </c>
      <c r="M253" s="45">
        <v>9000</v>
      </c>
      <c r="N253" s="45">
        <v>90</v>
      </c>
      <c r="O253" s="45" t="s">
        <v>1784</v>
      </c>
      <c r="P253" s="74" t="s">
        <v>28</v>
      </c>
      <c r="Q253" s="74">
        <v>8500064596</v>
      </c>
      <c r="R253" s="74">
        <v>5001287563</v>
      </c>
      <c r="S253" s="74">
        <v>450</v>
      </c>
      <c r="T253" s="45" t="s">
        <v>87</v>
      </c>
      <c r="U253" s="45">
        <v>8500064595</v>
      </c>
      <c r="V253" s="45">
        <v>5001297404</v>
      </c>
      <c r="W253" s="127">
        <v>45282</v>
      </c>
      <c r="X253" s="152">
        <v>450</v>
      </c>
      <c r="Y253" s="152">
        <v>9000</v>
      </c>
      <c r="Z253" s="152" t="s">
        <v>197</v>
      </c>
      <c r="AA253" s="152">
        <f t="shared" si="14"/>
        <v>0</v>
      </c>
      <c r="AB253" s="152">
        <f t="shared" si="15"/>
        <v>0</v>
      </c>
      <c r="AC253" s="74"/>
      <c r="AD253" s="74"/>
      <c r="AE253" s="157"/>
      <c r="AF253" s="157"/>
      <c r="AG253" s="157"/>
      <c r="AH253" s="141"/>
    </row>
    <row r="254" spans="1:34" ht="18.75" customHeight="1">
      <c r="A254" s="45"/>
      <c r="B254" s="121"/>
      <c r="C254" s="74"/>
      <c r="D254" s="80"/>
      <c r="E254" s="74">
        <v>20</v>
      </c>
      <c r="F254" s="74">
        <v>115</v>
      </c>
      <c r="G254" s="45">
        <f t="shared" si="13"/>
        <v>2300</v>
      </c>
      <c r="H254" s="119" t="s">
        <v>37</v>
      </c>
      <c r="I254" s="128">
        <v>45262</v>
      </c>
      <c r="J254" s="74">
        <v>115</v>
      </c>
      <c r="K254" s="74">
        <v>2</v>
      </c>
      <c r="L254" s="156">
        <v>45264</v>
      </c>
      <c r="M254" s="45">
        <v>2300</v>
      </c>
      <c r="N254" s="45">
        <v>23</v>
      </c>
      <c r="O254" s="45" t="s">
        <v>845</v>
      </c>
      <c r="P254" s="74" t="s">
        <v>28</v>
      </c>
      <c r="Q254" s="74">
        <v>8500064596</v>
      </c>
      <c r="R254" s="74">
        <v>5001287563</v>
      </c>
      <c r="S254" s="74">
        <v>115</v>
      </c>
      <c r="T254" s="45" t="s">
        <v>87</v>
      </c>
      <c r="U254" s="45">
        <v>8500064595</v>
      </c>
      <c r="V254" s="45">
        <v>5001297404</v>
      </c>
      <c r="W254" s="127">
        <v>45273</v>
      </c>
      <c r="X254" s="152">
        <v>115</v>
      </c>
      <c r="Y254" s="152">
        <v>2300</v>
      </c>
      <c r="Z254" s="152" t="s">
        <v>927</v>
      </c>
      <c r="AA254" s="152">
        <f t="shared" si="14"/>
        <v>0</v>
      </c>
      <c r="AB254" s="152">
        <f t="shared" si="15"/>
        <v>0</v>
      </c>
      <c r="AC254" s="74"/>
      <c r="AD254" s="74"/>
      <c r="AE254" s="157"/>
      <c r="AF254" s="157"/>
      <c r="AG254" s="157"/>
      <c r="AH254" s="141"/>
    </row>
    <row r="255" spans="1:34" ht="18.75" customHeight="1">
      <c r="A255" s="45" t="s">
        <v>865</v>
      </c>
      <c r="B255" s="121">
        <v>6000026931</v>
      </c>
      <c r="C255" s="74" t="s">
        <v>867</v>
      </c>
      <c r="D255" s="80" t="s">
        <v>244</v>
      </c>
      <c r="E255" s="74">
        <v>4</v>
      </c>
      <c r="F255" s="74">
        <v>5</v>
      </c>
      <c r="G255" s="45">
        <f t="shared" si="13"/>
        <v>20</v>
      </c>
      <c r="H255" s="119" t="s">
        <v>27</v>
      </c>
      <c r="I255" s="128">
        <v>45262</v>
      </c>
      <c r="J255" s="74">
        <v>5</v>
      </c>
      <c r="K255" s="74"/>
      <c r="L255" s="156">
        <v>45264</v>
      </c>
      <c r="M255" s="45">
        <v>20</v>
      </c>
      <c r="N255" s="45"/>
      <c r="O255" s="45"/>
      <c r="P255" s="74" t="s">
        <v>28</v>
      </c>
      <c r="Q255" s="74">
        <v>8500064600</v>
      </c>
      <c r="R255" s="74">
        <v>5001287564</v>
      </c>
      <c r="S255" s="74">
        <v>5</v>
      </c>
      <c r="T255" s="45" t="s">
        <v>87</v>
      </c>
      <c r="U255" s="45">
        <v>8500064597</v>
      </c>
      <c r="V255" s="45">
        <v>5001297400</v>
      </c>
      <c r="W255" s="127">
        <v>45301</v>
      </c>
      <c r="X255" s="152">
        <v>5</v>
      </c>
      <c r="Y255" s="152">
        <v>20</v>
      </c>
      <c r="Z255" s="152"/>
      <c r="AA255" s="152">
        <f t="shared" si="14"/>
        <v>0</v>
      </c>
      <c r="AB255" s="152">
        <f t="shared" si="15"/>
        <v>0</v>
      </c>
      <c r="AC255" s="74"/>
      <c r="AD255" s="74"/>
      <c r="AE255" s="157"/>
      <c r="AF255" s="157"/>
      <c r="AG255" s="157"/>
      <c r="AH255" s="141"/>
    </row>
    <row r="256" spans="1:34" ht="18.75" customHeight="1">
      <c r="A256" s="45"/>
      <c r="B256" s="224"/>
      <c r="C256" s="74"/>
      <c r="D256" s="223"/>
      <c r="E256" s="74">
        <v>4</v>
      </c>
      <c r="F256" s="74">
        <v>5</v>
      </c>
      <c r="G256" s="45">
        <f t="shared" si="13"/>
        <v>20</v>
      </c>
      <c r="H256" s="119" t="s">
        <v>46</v>
      </c>
      <c r="I256" s="128">
        <v>45262</v>
      </c>
      <c r="J256" s="74">
        <v>5</v>
      </c>
      <c r="K256" s="74"/>
      <c r="L256" s="156">
        <v>45264</v>
      </c>
      <c r="M256" s="45">
        <v>20</v>
      </c>
      <c r="N256" s="45"/>
      <c r="O256" s="45"/>
      <c r="P256" s="74" t="s">
        <v>28</v>
      </c>
      <c r="Q256" s="74">
        <v>8500064600</v>
      </c>
      <c r="R256" s="74">
        <v>5001287564</v>
      </c>
      <c r="S256" s="74">
        <v>5</v>
      </c>
      <c r="T256" s="45" t="s">
        <v>87</v>
      </c>
      <c r="U256" s="45">
        <v>8500064597</v>
      </c>
      <c r="V256" s="45">
        <v>5001297400</v>
      </c>
      <c r="W256" s="127">
        <v>45301</v>
      </c>
      <c r="X256" s="152">
        <v>5</v>
      </c>
      <c r="Y256" s="152">
        <v>20</v>
      </c>
      <c r="Z256" s="152"/>
      <c r="AA256" s="152">
        <f t="shared" si="14"/>
        <v>0</v>
      </c>
      <c r="AB256" s="152">
        <f t="shared" si="15"/>
        <v>0</v>
      </c>
      <c r="AC256" s="74"/>
      <c r="AD256" s="74"/>
      <c r="AE256" s="157"/>
      <c r="AF256" s="157"/>
      <c r="AG256" s="157"/>
      <c r="AH256" s="141"/>
    </row>
    <row r="257" spans="1:34" ht="18.75" customHeight="1">
      <c r="A257" s="45"/>
      <c r="B257" s="224"/>
      <c r="C257" s="74"/>
      <c r="D257" s="223"/>
      <c r="E257" s="74">
        <v>4</v>
      </c>
      <c r="F257" s="74">
        <v>5</v>
      </c>
      <c r="G257" s="45">
        <f t="shared" si="13"/>
        <v>20</v>
      </c>
      <c r="H257" s="119" t="s">
        <v>37</v>
      </c>
      <c r="I257" s="128">
        <v>45262</v>
      </c>
      <c r="J257" s="74">
        <v>5</v>
      </c>
      <c r="K257" s="74"/>
      <c r="L257" s="156">
        <v>45264</v>
      </c>
      <c r="M257" s="45">
        <v>20</v>
      </c>
      <c r="N257" s="45"/>
      <c r="O257" s="45"/>
      <c r="P257" s="74" t="s">
        <v>28</v>
      </c>
      <c r="Q257" s="74">
        <v>8500064600</v>
      </c>
      <c r="R257" s="74">
        <v>5001287564</v>
      </c>
      <c r="S257" s="74">
        <v>5</v>
      </c>
      <c r="T257" s="45" t="s">
        <v>87</v>
      </c>
      <c r="U257" s="45">
        <v>8500064597</v>
      </c>
      <c r="V257" s="45">
        <v>5001297400</v>
      </c>
      <c r="W257" s="127">
        <v>45301</v>
      </c>
      <c r="X257" s="152">
        <v>5</v>
      </c>
      <c r="Y257" s="152">
        <v>20</v>
      </c>
      <c r="Z257" s="152"/>
      <c r="AA257" s="152">
        <f t="shared" si="14"/>
        <v>0</v>
      </c>
      <c r="AB257" s="152">
        <f t="shared" si="15"/>
        <v>0</v>
      </c>
      <c r="AC257" s="74"/>
      <c r="AD257" s="74"/>
      <c r="AE257" s="157"/>
      <c r="AF257" s="157"/>
      <c r="AG257" s="157"/>
      <c r="AH257" s="141"/>
    </row>
    <row r="258" spans="1:34" ht="18.75" customHeight="1">
      <c r="A258" s="242" t="s">
        <v>2182</v>
      </c>
      <c r="B258" s="204">
        <v>6000026762</v>
      </c>
      <c r="C258" s="243" t="s">
        <v>1442</v>
      </c>
      <c r="D258" s="244">
        <v>6000026762</v>
      </c>
      <c r="E258" s="74">
        <v>10</v>
      </c>
      <c r="F258" s="74">
        <v>200</v>
      </c>
      <c r="G258" s="45">
        <f t="shared" si="13"/>
        <v>2000</v>
      </c>
      <c r="H258" s="119" t="s">
        <v>27</v>
      </c>
      <c r="I258" s="128">
        <v>45268</v>
      </c>
      <c r="J258" s="74">
        <v>200</v>
      </c>
      <c r="K258" s="74">
        <v>2</v>
      </c>
      <c r="L258" s="156">
        <v>45273</v>
      </c>
      <c r="M258" s="45">
        <v>2000</v>
      </c>
      <c r="N258" s="45">
        <v>30</v>
      </c>
      <c r="O258" s="45" t="s">
        <v>823</v>
      </c>
      <c r="P258" s="74" t="s">
        <v>1558</v>
      </c>
      <c r="Q258" s="74">
        <v>8500064832</v>
      </c>
      <c r="R258" s="74">
        <v>5001309637</v>
      </c>
      <c r="S258" s="74">
        <v>200</v>
      </c>
      <c r="T258" s="45" t="s">
        <v>655</v>
      </c>
      <c r="U258" s="45">
        <v>8500064831</v>
      </c>
      <c r="V258" s="45">
        <v>5001328133</v>
      </c>
      <c r="W258" s="127">
        <v>45280</v>
      </c>
      <c r="X258" s="152">
        <v>200</v>
      </c>
      <c r="Y258" s="152">
        <v>2000</v>
      </c>
      <c r="Z258" s="152" t="s">
        <v>1980</v>
      </c>
      <c r="AA258" s="152">
        <f t="shared" ref="AA258:AA273" si="16">J258-X258</f>
        <v>0</v>
      </c>
      <c r="AB258" s="152">
        <f t="shared" ref="AB258:AB273" si="17">M258-Y258</f>
        <v>0</v>
      </c>
      <c r="AC258" s="74"/>
      <c r="AD258" s="74"/>
      <c r="AE258" s="157"/>
      <c r="AF258" s="157"/>
      <c r="AG258" s="157"/>
      <c r="AH258" s="141"/>
    </row>
    <row r="259" spans="1:34" ht="18.75" customHeight="1">
      <c r="A259" s="242"/>
      <c r="B259" s="204"/>
      <c r="C259" s="243"/>
      <c r="D259" s="244"/>
      <c r="E259" s="74">
        <v>10</v>
      </c>
      <c r="F259" s="74">
        <v>250</v>
      </c>
      <c r="G259" s="45">
        <f t="shared" si="13"/>
        <v>2500</v>
      </c>
      <c r="H259" s="119" t="s">
        <v>46</v>
      </c>
      <c r="I259" s="128">
        <v>45268</v>
      </c>
      <c r="J259" s="74">
        <v>250</v>
      </c>
      <c r="K259" s="74">
        <v>2</v>
      </c>
      <c r="L259" s="156">
        <v>45273</v>
      </c>
      <c r="M259" s="45">
        <v>2500</v>
      </c>
      <c r="N259" s="45">
        <v>30</v>
      </c>
      <c r="O259" s="45" t="s">
        <v>823</v>
      </c>
      <c r="P259" s="74" t="s">
        <v>1558</v>
      </c>
      <c r="Q259" s="74">
        <v>8500064832</v>
      </c>
      <c r="R259" s="74">
        <v>5001309637</v>
      </c>
      <c r="S259" s="74">
        <v>250</v>
      </c>
      <c r="T259" s="45" t="s">
        <v>655</v>
      </c>
      <c r="U259" s="45">
        <v>8500064831</v>
      </c>
      <c r="V259" s="45">
        <v>5001328133</v>
      </c>
      <c r="W259" s="127">
        <v>45280</v>
      </c>
      <c r="X259" s="152">
        <v>250</v>
      </c>
      <c r="Y259" s="152">
        <v>2500</v>
      </c>
      <c r="Z259" s="152" t="s">
        <v>1980</v>
      </c>
      <c r="AA259" s="152">
        <f t="shared" si="16"/>
        <v>0</v>
      </c>
      <c r="AB259" s="152">
        <f t="shared" si="17"/>
        <v>0</v>
      </c>
      <c r="AC259" s="74"/>
      <c r="AD259" s="74"/>
      <c r="AE259" s="157"/>
      <c r="AF259" s="157"/>
      <c r="AG259" s="157"/>
      <c r="AH259" s="141"/>
    </row>
    <row r="260" spans="1:34" ht="18.75" customHeight="1">
      <c r="A260" s="242"/>
      <c r="B260" s="204"/>
      <c r="C260" s="243"/>
      <c r="D260" s="244"/>
      <c r="E260" s="74">
        <v>10</v>
      </c>
      <c r="F260" s="74">
        <v>350</v>
      </c>
      <c r="G260" s="45">
        <f t="shared" si="13"/>
        <v>3500</v>
      </c>
      <c r="H260" s="119" t="s">
        <v>37</v>
      </c>
      <c r="I260" s="128">
        <v>45268</v>
      </c>
      <c r="J260" s="74">
        <v>350</v>
      </c>
      <c r="K260" s="74">
        <v>3</v>
      </c>
      <c r="L260" s="156">
        <v>45273</v>
      </c>
      <c r="M260" s="45">
        <v>3500</v>
      </c>
      <c r="N260" s="45">
        <v>30</v>
      </c>
      <c r="O260" s="45" t="s">
        <v>922</v>
      </c>
      <c r="P260" s="74" t="s">
        <v>1558</v>
      </c>
      <c r="Q260" s="74">
        <v>8500064832</v>
      </c>
      <c r="R260" s="74">
        <v>5001309637</v>
      </c>
      <c r="S260" s="74">
        <v>350</v>
      </c>
      <c r="T260" s="45" t="s">
        <v>655</v>
      </c>
      <c r="U260" s="45">
        <v>8500064831</v>
      </c>
      <c r="V260" s="45">
        <v>5001328133</v>
      </c>
      <c r="W260" s="127">
        <v>45280</v>
      </c>
      <c r="X260" s="152">
        <v>350</v>
      </c>
      <c r="Y260" s="152">
        <v>3500</v>
      </c>
      <c r="Z260" s="152" t="s">
        <v>1980</v>
      </c>
      <c r="AA260" s="152">
        <f t="shared" si="16"/>
        <v>0</v>
      </c>
      <c r="AB260" s="152">
        <f t="shared" si="17"/>
        <v>0</v>
      </c>
      <c r="AC260" s="74"/>
      <c r="AD260" s="74"/>
      <c r="AE260" s="157"/>
      <c r="AF260" s="157"/>
      <c r="AG260" s="157"/>
      <c r="AH260" s="141"/>
    </row>
    <row r="261" spans="1:34" ht="18.75" customHeight="1">
      <c r="A261" s="45" t="s">
        <v>2182</v>
      </c>
      <c r="B261" s="121">
        <v>6000026762</v>
      </c>
      <c r="C261" s="74" t="s">
        <v>2181</v>
      </c>
      <c r="D261" s="80">
        <v>6000026762</v>
      </c>
      <c r="E261" s="74">
        <v>10</v>
      </c>
      <c r="F261" s="74">
        <v>250</v>
      </c>
      <c r="G261" s="45">
        <f t="shared" si="13"/>
        <v>2500</v>
      </c>
      <c r="H261" s="119" t="s">
        <v>46</v>
      </c>
      <c r="I261" s="128">
        <v>45268</v>
      </c>
      <c r="J261" s="74">
        <v>250</v>
      </c>
      <c r="K261" s="74">
        <v>2</v>
      </c>
      <c r="L261" s="156">
        <v>45274</v>
      </c>
      <c r="M261" s="45">
        <v>2500</v>
      </c>
      <c r="N261" s="45">
        <v>50</v>
      </c>
      <c r="O261" s="45" t="s">
        <v>898</v>
      </c>
      <c r="P261" s="74" t="s">
        <v>1558</v>
      </c>
      <c r="Q261" s="74">
        <v>8500064834</v>
      </c>
      <c r="R261" s="74">
        <v>5001309638</v>
      </c>
      <c r="S261" s="74">
        <v>250</v>
      </c>
      <c r="T261" s="45" t="s">
        <v>655</v>
      </c>
      <c r="U261" s="45">
        <v>8500064833</v>
      </c>
      <c r="V261" s="45">
        <v>5001332235</v>
      </c>
      <c r="W261" s="127" t="s">
        <v>2652</v>
      </c>
      <c r="X261" s="152">
        <f>170+80</f>
        <v>250</v>
      </c>
      <c r="Y261" s="152">
        <f>1700+800</f>
        <v>2500</v>
      </c>
      <c r="Z261" s="152" t="s">
        <v>1785</v>
      </c>
      <c r="AA261" s="152">
        <f t="shared" si="16"/>
        <v>0</v>
      </c>
      <c r="AB261" s="152">
        <f t="shared" si="17"/>
        <v>0</v>
      </c>
      <c r="AC261" s="74"/>
      <c r="AD261" s="74"/>
      <c r="AE261" s="157"/>
      <c r="AF261" s="157"/>
      <c r="AG261" s="157"/>
      <c r="AH261" s="141"/>
    </row>
    <row r="262" spans="1:34" ht="18.75" customHeight="1">
      <c r="A262" s="45"/>
      <c r="B262" s="121"/>
      <c r="C262" s="74"/>
      <c r="D262" s="80"/>
      <c r="E262" s="74">
        <v>10</v>
      </c>
      <c r="F262" s="74">
        <v>250</v>
      </c>
      <c r="G262" s="45">
        <f t="shared" si="13"/>
        <v>2500</v>
      </c>
      <c r="H262" s="119" t="s">
        <v>37</v>
      </c>
      <c r="I262" s="128">
        <v>45268</v>
      </c>
      <c r="J262" s="74">
        <v>250</v>
      </c>
      <c r="K262" s="74">
        <v>2</v>
      </c>
      <c r="L262" s="156">
        <v>45274</v>
      </c>
      <c r="M262" s="45">
        <v>2500</v>
      </c>
      <c r="N262" s="45">
        <v>30</v>
      </c>
      <c r="O262" s="45" t="s">
        <v>898</v>
      </c>
      <c r="P262" s="74" t="s">
        <v>1558</v>
      </c>
      <c r="Q262" s="74">
        <v>8500064834</v>
      </c>
      <c r="R262" s="74">
        <v>5001309638</v>
      </c>
      <c r="S262" s="74">
        <v>250</v>
      </c>
      <c r="T262" s="45" t="s">
        <v>655</v>
      </c>
      <c r="U262" s="45">
        <v>8500064833</v>
      </c>
      <c r="V262" s="45">
        <v>5001332235</v>
      </c>
      <c r="W262" s="127">
        <v>45282</v>
      </c>
      <c r="X262" s="152">
        <v>250</v>
      </c>
      <c r="Y262" s="152">
        <v>2500</v>
      </c>
      <c r="Z262" s="152" t="s">
        <v>800</v>
      </c>
      <c r="AA262" s="152">
        <f t="shared" si="16"/>
        <v>0</v>
      </c>
      <c r="AB262" s="152">
        <f t="shared" si="17"/>
        <v>0</v>
      </c>
      <c r="AC262" s="74"/>
      <c r="AD262" s="74"/>
      <c r="AE262" s="157"/>
      <c r="AF262" s="157"/>
      <c r="AG262" s="157"/>
      <c r="AH262" s="141"/>
    </row>
    <row r="263" spans="1:34" ht="18.75" customHeight="1">
      <c r="A263" s="45" t="s">
        <v>2182</v>
      </c>
      <c r="B263" s="121">
        <v>6000026762</v>
      </c>
      <c r="C263" s="74" t="s">
        <v>1443</v>
      </c>
      <c r="D263" s="80">
        <v>6000026762</v>
      </c>
      <c r="E263" s="74">
        <v>10</v>
      </c>
      <c r="F263" s="74">
        <v>150</v>
      </c>
      <c r="G263" s="45">
        <f t="shared" si="13"/>
        <v>1500</v>
      </c>
      <c r="H263" s="119" t="s">
        <v>46</v>
      </c>
      <c r="I263" s="128">
        <v>45268</v>
      </c>
      <c r="J263" s="74">
        <v>150</v>
      </c>
      <c r="K263" s="74">
        <v>1</v>
      </c>
      <c r="L263" s="156">
        <v>45274</v>
      </c>
      <c r="M263" s="45">
        <f>1450+50</f>
        <v>1500</v>
      </c>
      <c r="N263" s="45">
        <v>30</v>
      </c>
      <c r="O263" s="45" t="s">
        <v>898</v>
      </c>
      <c r="P263" s="74" t="s">
        <v>1558</v>
      </c>
      <c r="Q263" s="74">
        <v>8500064836</v>
      </c>
      <c r="R263" s="74">
        <v>5001309639</v>
      </c>
      <c r="S263" s="74">
        <v>150</v>
      </c>
      <c r="T263" s="45" t="s">
        <v>655</v>
      </c>
      <c r="U263" s="45">
        <v>8500064835</v>
      </c>
      <c r="V263" s="45">
        <v>5001332234</v>
      </c>
      <c r="W263" s="127">
        <v>45311</v>
      </c>
      <c r="X263" s="152">
        <v>150</v>
      </c>
      <c r="Y263" s="152">
        <v>1500</v>
      </c>
      <c r="Z263" s="152" t="s">
        <v>1609</v>
      </c>
      <c r="AA263" s="152">
        <f t="shared" si="16"/>
        <v>0</v>
      </c>
      <c r="AB263" s="152">
        <f t="shared" si="17"/>
        <v>0</v>
      </c>
      <c r="AC263" s="74"/>
      <c r="AD263" s="74"/>
      <c r="AE263" s="157"/>
      <c r="AF263" s="157"/>
      <c r="AG263" s="157"/>
      <c r="AH263" s="141"/>
    </row>
    <row r="264" spans="1:34" ht="18.75" customHeight="1">
      <c r="A264" s="45"/>
      <c r="B264" s="121"/>
      <c r="C264" s="74"/>
      <c r="D264" s="80"/>
      <c r="E264" s="74">
        <v>10</v>
      </c>
      <c r="F264" s="74">
        <v>150</v>
      </c>
      <c r="G264" s="45">
        <f t="shared" si="13"/>
        <v>1500</v>
      </c>
      <c r="H264" s="119" t="s">
        <v>37</v>
      </c>
      <c r="I264" s="128">
        <v>45268</v>
      </c>
      <c r="J264" s="74">
        <v>150</v>
      </c>
      <c r="K264" s="74">
        <v>1</v>
      </c>
      <c r="L264" s="156">
        <v>45274</v>
      </c>
      <c r="M264" s="45">
        <v>1500</v>
      </c>
      <c r="N264" s="45">
        <v>30</v>
      </c>
      <c r="O264" s="45" t="s">
        <v>898</v>
      </c>
      <c r="P264" s="74" t="s">
        <v>1558</v>
      </c>
      <c r="Q264" s="74">
        <v>8500064836</v>
      </c>
      <c r="R264" s="74">
        <v>5001309639</v>
      </c>
      <c r="S264" s="74">
        <v>150</v>
      </c>
      <c r="T264" s="45" t="s">
        <v>655</v>
      </c>
      <c r="U264" s="45">
        <v>8500064835</v>
      </c>
      <c r="V264" s="45">
        <v>5001332234</v>
      </c>
      <c r="W264" s="127">
        <v>45307</v>
      </c>
      <c r="X264" s="152">
        <v>150</v>
      </c>
      <c r="Y264" s="152">
        <v>1500</v>
      </c>
      <c r="Z264" s="152" t="s">
        <v>1607</v>
      </c>
      <c r="AA264" s="152">
        <f t="shared" si="16"/>
        <v>0</v>
      </c>
      <c r="AB264" s="152">
        <f t="shared" si="17"/>
        <v>0</v>
      </c>
      <c r="AC264" s="74"/>
      <c r="AD264" s="74"/>
      <c r="AE264" s="157"/>
      <c r="AF264" s="157"/>
      <c r="AG264" s="157"/>
      <c r="AH264" s="141"/>
    </row>
    <row r="265" spans="1:34" ht="18.75" customHeight="1">
      <c r="A265" s="45" t="s">
        <v>652</v>
      </c>
      <c r="B265" s="121">
        <v>6000026800</v>
      </c>
      <c r="C265" s="74" t="s">
        <v>2119</v>
      </c>
      <c r="D265" s="80">
        <v>2342476</v>
      </c>
      <c r="E265" s="74">
        <v>10</v>
      </c>
      <c r="F265" s="74">
        <v>400</v>
      </c>
      <c r="G265" s="45">
        <f t="shared" ref="G265:G274" si="18">F265*E265</f>
        <v>4000</v>
      </c>
      <c r="H265" s="119" t="s">
        <v>243</v>
      </c>
      <c r="I265" s="128">
        <v>45272</v>
      </c>
      <c r="J265" s="74">
        <v>400</v>
      </c>
      <c r="K265" s="74">
        <v>6</v>
      </c>
      <c r="L265" s="156">
        <v>45275</v>
      </c>
      <c r="M265" s="45">
        <v>4000</v>
      </c>
      <c r="N265" s="45">
        <v>50</v>
      </c>
      <c r="O265" s="45" t="s">
        <v>916</v>
      </c>
      <c r="P265" s="74" t="s">
        <v>28</v>
      </c>
      <c r="Q265" s="74">
        <v>8500064703</v>
      </c>
      <c r="R265" s="74">
        <v>5001323702</v>
      </c>
      <c r="S265" s="74">
        <v>400</v>
      </c>
      <c r="T265" s="45" t="s">
        <v>655</v>
      </c>
      <c r="U265" s="45">
        <v>8500064702</v>
      </c>
      <c r="V265" s="45">
        <v>5001335592</v>
      </c>
      <c r="W265" s="151" t="s">
        <v>2281</v>
      </c>
      <c r="X265" s="152">
        <v>400</v>
      </c>
      <c r="Y265" s="152">
        <v>4000</v>
      </c>
      <c r="Z265" s="152" t="s">
        <v>1608</v>
      </c>
      <c r="AA265" s="152">
        <f t="shared" si="16"/>
        <v>0</v>
      </c>
      <c r="AB265" s="152">
        <f t="shared" si="17"/>
        <v>0</v>
      </c>
      <c r="AC265" s="74"/>
      <c r="AD265" s="74"/>
      <c r="AE265" s="157"/>
      <c r="AF265" s="157"/>
      <c r="AG265" s="157"/>
      <c r="AH265" s="141"/>
    </row>
    <row r="266" spans="1:34" ht="18.75" customHeight="1">
      <c r="A266" s="45"/>
      <c r="B266" s="121"/>
      <c r="C266" s="74"/>
      <c r="D266" s="80"/>
      <c r="E266" s="74">
        <v>10</v>
      </c>
      <c r="F266" s="74">
        <v>400</v>
      </c>
      <c r="G266" s="45">
        <f t="shared" si="18"/>
        <v>4000</v>
      </c>
      <c r="H266" s="119" t="s">
        <v>27</v>
      </c>
      <c r="I266" s="128">
        <v>45272</v>
      </c>
      <c r="J266" s="74">
        <v>400</v>
      </c>
      <c r="K266" s="74">
        <v>5</v>
      </c>
      <c r="L266" s="156">
        <v>45274</v>
      </c>
      <c r="M266" s="45">
        <v>4000</v>
      </c>
      <c r="N266" s="45">
        <v>50</v>
      </c>
      <c r="O266" s="45" t="s">
        <v>898</v>
      </c>
      <c r="P266" s="74" t="s">
        <v>28</v>
      </c>
      <c r="Q266" s="74">
        <v>8500064703</v>
      </c>
      <c r="R266" s="74">
        <v>5001323702</v>
      </c>
      <c r="S266" s="74">
        <v>400</v>
      </c>
      <c r="T266" s="45" t="s">
        <v>655</v>
      </c>
      <c r="U266" s="45">
        <v>8500064702</v>
      </c>
      <c r="V266" s="45">
        <v>5001332233</v>
      </c>
      <c r="W266" s="127">
        <v>45287</v>
      </c>
      <c r="X266" s="152">
        <v>400</v>
      </c>
      <c r="Y266" s="152">
        <v>4000</v>
      </c>
      <c r="Z266" s="152" t="s">
        <v>1502</v>
      </c>
      <c r="AA266" s="152">
        <f t="shared" si="16"/>
        <v>0</v>
      </c>
      <c r="AB266" s="152">
        <f t="shared" si="17"/>
        <v>0</v>
      </c>
      <c r="AC266" s="74"/>
      <c r="AD266" s="74"/>
      <c r="AE266" s="157"/>
      <c r="AF266" s="157"/>
      <c r="AG266" s="157"/>
      <c r="AH266" s="141"/>
    </row>
    <row r="267" spans="1:34" ht="18.75" customHeight="1">
      <c r="A267" s="45"/>
      <c r="B267" s="121"/>
      <c r="C267" s="74"/>
      <c r="D267" s="80"/>
      <c r="E267" s="74">
        <v>10</v>
      </c>
      <c r="F267" s="74">
        <v>584</v>
      </c>
      <c r="G267" s="45">
        <f t="shared" si="18"/>
        <v>5840</v>
      </c>
      <c r="H267" s="119" t="s">
        <v>46</v>
      </c>
      <c r="I267" s="128">
        <v>45272</v>
      </c>
      <c r="J267" s="74">
        <v>584</v>
      </c>
      <c r="K267" s="74">
        <v>8</v>
      </c>
      <c r="L267" s="156">
        <v>45275</v>
      </c>
      <c r="M267" s="45">
        <v>5840</v>
      </c>
      <c r="N267" s="45">
        <v>60</v>
      </c>
      <c r="O267" s="45" t="s">
        <v>1761</v>
      </c>
      <c r="P267" s="74" t="s">
        <v>28</v>
      </c>
      <c r="Q267" s="74">
        <v>8500064703</v>
      </c>
      <c r="R267" s="74">
        <v>5001323702</v>
      </c>
      <c r="S267" s="74">
        <v>584</v>
      </c>
      <c r="T267" s="45" t="s">
        <v>655</v>
      </c>
      <c r="U267" s="45">
        <v>8500064702</v>
      </c>
      <c r="V267" s="45">
        <v>5001335592</v>
      </c>
      <c r="W267" s="127">
        <v>45300</v>
      </c>
      <c r="X267" s="152">
        <v>584</v>
      </c>
      <c r="Y267" s="152">
        <v>5840</v>
      </c>
      <c r="Z267" s="152" t="s">
        <v>1609</v>
      </c>
      <c r="AA267" s="152">
        <f t="shared" si="16"/>
        <v>0</v>
      </c>
      <c r="AB267" s="152">
        <f t="shared" si="17"/>
        <v>0</v>
      </c>
      <c r="AC267" s="74"/>
      <c r="AD267" s="74"/>
      <c r="AE267" s="157"/>
      <c r="AF267" s="157"/>
      <c r="AG267" s="157"/>
      <c r="AH267" s="141"/>
    </row>
    <row r="268" spans="1:34" ht="18.75" customHeight="1">
      <c r="A268" s="45"/>
      <c r="B268" s="121"/>
      <c r="C268" s="74"/>
      <c r="D268" s="80"/>
      <c r="E268" s="74">
        <v>10</v>
      </c>
      <c r="F268" s="74">
        <v>1500</v>
      </c>
      <c r="G268" s="45">
        <f t="shared" si="18"/>
        <v>15000</v>
      </c>
      <c r="H268" s="119" t="s">
        <v>37</v>
      </c>
      <c r="I268" s="128">
        <v>45272</v>
      </c>
      <c r="J268" s="74">
        <v>1500</v>
      </c>
      <c r="K268" s="74">
        <v>16</v>
      </c>
      <c r="L268" s="156">
        <v>45273</v>
      </c>
      <c r="M268" s="45">
        <v>15000</v>
      </c>
      <c r="N268" s="45">
        <v>150</v>
      </c>
      <c r="O268" s="45" t="s">
        <v>1439</v>
      </c>
      <c r="P268" s="74" t="s">
        <v>28</v>
      </c>
      <c r="Q268" s="74">
        <v>8500064703</v>
      </c>
      <c r="R268" s="74">
        <v>5001323702</v>
      </c>
      <c r="S268" s="74">
        <v>1500</v>
      </c>
      <c r="T268" s="45" t="s">
        <v>655</v>
      </c>
      <c r="U268" s="45">
        <v>8500064702</v>
      </c>
      <c r="V268" s="45">
        <v>5001328113</v>
      </c>
      <c r="W268" s="127">
        <v>45278</v>
      </c>
      <c r="X268" s="152">
        <v>1500</v>
      </c>
      <c r="Y268" s="152">
        <v>15000</v>
      </c>
      <c r="Z268" s="152" t="s">
        <v>927</v>
      </c>
      <c r="AA268" s="152">
        <f t="shared" si="16"/>
        <v>0</v>
      </c>
      <c r="AB268" s="152">
        <f t="shared" si="17"/>
        <v>0</v>
      </c>
      <c r="AC268" s="74"/>
      <c r="AD268" s="74"/>
      <c r="AE268" s="157"/>
      <c r="AF268" s="157"/>
      <c r="AG268" s="157"/>
      <c r="AH268" s="141"/>
    </row>
    <row r="269" spans="1:34" ht="18.75" customHeight="1">
      <c r="A269" s="45"/>
      <c r="B269" s="121"/>
      <c r="C269" s="74"/>
      <c r="D269" s="80"/>
      <c r="E269" s="74">
        <v>10</v>
      </c>
      <c r="F269" s="74">
        <v>566</v>
      </c>
      <c r="G269" s="45">
        <f t="shared" si="18"/>
        <v>5660</v>
      </c>
      <c r="H269" s="119" t="s">
        <v>146</v>
      </c>
      <c r="I269" s="128">
        <v>45271</v>
      </c>
      <c r="J269" s="158">
        <v>566</v>
      </c>
      <c r="K269" s="74">
        <v>6</v>
      </c>
      <c r="L269" s="156">
        <v>45274</v>
      </c>
      <c r="M269" s="45">
        <v>5660</v>
      </c>
      <c r="N269" s="45">
        <v>90</v>
      </c>
      <c r="O269" s="45" t="s">
        <v>898</v>
      </c>
      <c r="P269" s="74" t="s">
        <v>28</v>
      </c>
      <c r="Q269" s="74">
        <v>8500064703</v>
      </c>
      <c r="R269" s="74">
        <v>5001320730</v>
      </c>
      <c r="S269" s="158">
        <v>566</v>
      </c>
      <c r="T269" s="45" t="s">
        <v>655</v>
      </c>
      <c r="U269" s="45">
        <v>8500064702</v>
      </c>
      <c r="V269" s="45">
        <v>5001332233</v>
      </c>
      <c r="W269" s="127">
        <v>45307</v>
      </c>
      <c r="X269" s="152">
        <v>566</v>
      </c>
      <c r="Y269" s="152">
        <v>5660</v>
      </c>
      <c r="Z269" s="152" t="s">
        <v>759</v>
      </c>
      <c r="AA269" s="152">
        <f t="shared" si="16"/>
        <v>0</v>
      </c>
      <c r="AB269" s="152">
        <f t="shared" si="17"/>
        <v>0</v>
      </c>
      <c r="AC269" s="74"/>
      <c r="AD269" s="74"/>
      <c r="AE269" s="157"/>
      <c r="AF269" s="157"/>
      <c r="AG269" s="157"/>
      <c r="AH269" s="141"/>
    </row>
    <row r="270" spans="1:34" ht="18.75" customHeight="1">
      <c r="A270" s="45" t="s">
        <v>652</v>
      </c>
      <c r="B270" s="121">
        <v>6000026801</v>
      </c>
      <c r="C270" s="74" t="s">
        <v>2119</v>
      </c>
      <c r="D270" s="80">
        <v>2342477</v>
      </c>
      <c r="E270" s="74">
        <v>10</v>
      </c>
      <c r="F270" s="74">
        <v>400</v>
      </c>
      <c r="G270" s="45">
        <f t="shared" si="18"/>
        <v>4000</v>
      </c>
      <c r="H270" s="119" t="s">
        <v>243</v>
      </c>
      <c r="I270" s="128">
        <v>45271</v>
      </c>
      <c r="J270" s="158">
        <v>400</v>
      </c>
      <c r="K270" s="74">
        <v>6</v>
      </c>
      <c r="L270" s="156">
        <v>45275</v>
      </c>
      <c r="M270" s="45">
        <v>4000</v>
      </c>
      <c r="N270" s="45">
        <v>50</v>
      </c>
      <c r="O270" s="45" t="s">
        <v>878</v>
      </c>
      <c r="P270" s="74" t="s">
        <v>28</v>
      </c>
      <c r="Q270" s="74">
        <v>8500064705</v>
      </c>
      <c r="R270" s="74">
        <v>5001320731</v>
      </c>
      <c r="S270" s="158">
        <v>400</v>
      </c>
      <c r="T270" s="45" t="s">
        <v>655</v>
      </c>
      <c r="U270" s="45">
        <v>8500064704</v>
      </c>
      <c r="V270" s="45">
        <v>5001335593</v>
      </c>
      <c r="W270" s="151" t="s">
        <v>2281</v>
      </c>
      <c r="X270" s="152">
        <v>400</v>
      </c>
      <c r="Y270" s="152">
        <v>4000</v>
      </c>
      <c r="Z270" s="152" t="s">
        <v>729</v>
      </c>
      <c r="AA270" s="152">
        <f t="shared" si="16"/>
        <v>0</v>
      </c>
      <c r="AB270" s="152">
        <f t="shared" si="17"/>
        <v>0</v>
      </c>
      <c r="AC270" s="74"/>
      <c r="AD270" s="74"/>
      <c r="AE270" s="157"/>
      <c r="AF270" s="157"/>
      <c r="AG270" s="157"/>
      <c r="AH270" s="141"/>
    </row>
    <row r="271" spans="1:34" ht="18.75" customHeight="1">
      <c r="A271" s="45"/>
      <c r="B271" s="121"/>
      <c r="C271" s="74"/>
      <c r="D271" s="80"/>
      <c r="E271" s="74">
        <v>10</v>
      </c>
      <c r="F271" s="74">
        <v>400</v>
      </c>
      <c r="G271" s="45">
        <f t="shared" si="18"/>
        <v>4000</v>
      </c>
      <c r="H271" s="119" t="s">
        <v>27</v>
      </c>
      <c r="I271" s="128">
        <v>45272</v>
      </c>
      <c r="J271" s="158">
        <v>400</v>
      </c>
      <c r="K271" s="74">
        <v>5</v>
      </c>
      <c r="L271" s="156">
        <v>45275</v>
      </c>
      <c r="M271" s="45">
        <v>4000</v>
      </c>
      <c r="N271" s="45">
        <v>50</v>
      </c>
      <c r="O271" s="45" t="s">
        <v>1880</v>
      </c>
      <c r="P271" s="74" t="s">
        <v>28</v>
      </c>
      <c r="Q271" s="74">
        <v>8500064705</v>
      </c>
      <c r="R271" s="74">
        <v>5001323712</v>
      </c>
      <c r="S271" s="158">
        <v>400</v>
      </c>
      <c r="T271" s="45" t="s">
        <v>655</v>
      </c>
      <c r="U271" s="45">
        <v>8500064704</v>
      </c>
      <c r="V271" s="45">
        <v>5001335593</v>
      </c>
      <c r="W271" s="127">
        <v>45289</v>
      </c>
      <c r="X271" s="152">
        <v>400</v>
      </c>
      <c r="Y271" s="152">
        <v>4000</v>
      </c>
      <c r="Z271" s="152" t="s">
        <v>1608</v>
      </c>
      <c r="AA271" s="152">
        <f t="shared" si="16"/>
        <v>0</v>
      </c>
      <c r="AB271" s="152">
        <f t="shared" si="17"/>
        <v>0</v>
      </c>
      <c r="AC271" s="74"/>
      <c r="AD271" s="74"/>
      <c r="AE271" s="157"/>
      <c r="AF271" s="157"/>
      <c r="AG271" s="157"/>
      <c r="AH271" s="141"/>
    </row>
    <row r="272" spans="1:34" ht="18.75" customHeight="1">
      <c r="A272" s="45"/>
      <c r="B272" s="121"/>
      <c r="C272" s="74"/>
      <c r="D272" s="80"/>
      <c r="E272" s="74">
        <v>10</v>
      </c>
      <c r="F272" s="74">
        <v>582</v>
      </c>
      <c r="G272" s="45">
        <f t="shared" si="18"/>
        <v>5820</v>
      </c>
      <c r="H272" s="119" t="s">
        <v>46</v>
      </c>
      <c r="I272" s="128">
        <v>45272</v>
      </c>
      <c r="J272" s="158">
        <v>582</v>
      </c>
      <c r="K272" s="74">
        <f>3+4</f>
        <v>7</v>
      </c>
      <c r="L272" s="156">
        <v>45273</v>
      </c>
      <c r="M272" s="45">
        <v>5820</v>
      </c>
      <c r="N272" s="45">
        <v>80</v>
      </c>
      <c r="O272" s="45" t="s">
        <v>1549</v>
      </c>
      <c r="P272" s="74" t="s">
        <v>28</v>
      </c>
      <c r="Q272" s="74">
        <v>8500064705</v>
      </c>
      <c r="R272" s="74">
        <v>5001323712</v>
      </c>
      <c r="S272" s="158">
        <v>582</v>
      </c>
      <c r="T272" s="45" t="s">
        <v>655</v>
      </c>
      <c r="U272" s="45">
        <v>8500064704</v>
      </c>
      <c r="V272" s="45">
        <v>5001328118</v>
      </c>
      <c r="W272" s="127">
        <v>45301</v>
      </c>
      <c r="X272" s="152">
        <f>10+572</f>
        <v>582</v>
      </c>
      <c r="Y272" s="152">
        <f>100+5720</f>
        <v>5820</v>
      </c>
      <c r="Z272" s="152" t="s">
        <v>2463</v>
      </c>
      <c r="AA272" s="152">
        <f t="shared" si="16"/>
        <v>0</v>
      </c>
      <c r="AB272" s="152">
        <f t="shared" si="17"/>
        <v>0</v>
      </c>
      <c r="AC272" s="74"/>
      <c r="AD272" s="74"/>
      <c r="AE272" s="157"/>
      <c r="AF272" s="157"/>
      <c r="AG272" s="157"/>
      <c r="AH272" s="141"/>
    </row>
    <row r="273" spans="1:34" ht="18.75" customHeight="1">
      <c r="A273" s="45"/>
      <c r="B273" s="121"/>
      <c r="C273" s="74"/>
      <c r="D273" s="80"/>
      <c r="E273" s="74">
        <v>10</v>
      </c>
      <c r="F273" s="74">
        <v>1500</v>
      </c>
      <c r="G273" s="45">
        <f t="shared" si="18"/>
        <v>15000</v>
      </c>
      <c r="H273" s="119" t="s">
        <v>37</v>
      </c>
      <c r="I273" s="128">
        <v>45271</v>
      </c>
      <c r="J273" s="158">
        <v>1500</v>
      </c>
      <c r="K273" s="74">
        <v>15</v>
      </c>
      <c r="L273" s="156">
        <v>45273</v>
      </c>
      <c r="M273" s="45">
        <v>15000</v>
      </c>
      <c r="N273" s="45">
        <v>150</v>
      </c>
      <c r="O273" s="45" t="s">
        <v>862</v>
      </c>
      <c r="P273" s="74" t="s">
        <v>28</v>
      </c>
      <c r="Q273" s="74">
        <v>8500064705</v>
      </c>
      <c r="R273" s="74">
        <v>5001320731</v>
      </c>
      <c r="S273" s="158">
        <v>1500</v>
      </c>
      <c r="T273" s="45" t="s">
        <v>655</v>
      </c>
      <c r="U273" s="45">
        <v>8500064704</v>
      </c>
      <c r="V273" s="45">
        <v>5001328118</v>
      </c>
      <c r="W273" s="127">
        <v>45278</v>
      </c>
      <c r="X273" s="152">
        <f>300+1200</f>
        <v>1500</v>
      </c>
      <c r="Y273" s="152">
        <f>3000+12000</f>
        <v>15000</v>
      </c>
      <c r="Z273" s="152" t="s">
        <v>2240</v>
      </c>
      <c r="AA273" s="152">
        <f t="shared" si="16"/>
        <v>0</v>
      </c>
      <c r="AB273" s="152">
        <f t="shared" si="17"/>
        <v>0</v>
      </c>
      <c r="AC273" s="74"/>
      <c r="AD273" s="74"/>
      <c r="AE273" s="157"/>
      <c r="AF273" s="157"/>
      <c r="AG273" s="157"/>
      <c r="AH273" s="141"/>
    </row>
    <row r="274" spans="1:34" ht="18.75" customHeight="1">
      <c r="A274" s="45"/>
      <c r="B274" s="121"/>
      <c r="C274" s="74"/>
      <c r="D274" s="80"/>
      <c r="E274" s="74">
        <v>10</v>
      </c>
      <c r="F274" s="74">
        <v>568</v>
      </c>
      <c r="G274" s="45">
        <f t="shared" si="18"/>
        <v>5680</v>
      </c>
      <c r="H274" s="119" t="s">
        <v>146</v>
      </c>
      <c r="I274" s="128">
        <v>45271</v>
      </c>
      <c r="J274" s="158">
        <v>568</v>
      </c>
      <c r="K274" s="158">
        <v>8</v>
      </c>
      <c r="L274" s="156">
        <v>45275</v>
      </c>
      <c r="M274" s="234">
        <v>5680</v>
      </c>
      <c r="N274" s="234">
        <v>70</v>
      </c>
      <c r="O274" s="234" t="s">
        <v>1880</v>
      </c>
      <c r="P274" s="74" t="s">
        <v>28</v>
      </c>
      <c r="Q274" s="74">
        <v>8500064705</v>
      </c>
      <c r="R274" s="158">
        <v>5001320731</v>
      </c>
      <c r="S274" s="158">
        <v>568</v>
      </c>
      <c r="T274" s="45" t="s">
        <v>655</v>
      </c>
      <c r="U274" s="45">
        <v>8500064704</v>
      </c>
      <c r="V274" s="45">
        <v>5001335593</v>
      </c>
      <c r="W274" s="241">
        <v>45307</v>
      </c>
      <c r="X274" s="210">
        <v>568</v>
      </c>
      <c r="Y274" s="210">
        <v>5680</v>
      </c>
      <c r="Z274" s="210" t="s">
        <v>759</v>
      </c>
      <c r="AA274" s="152">
        <f t="shared" ref="AA274:AA283" si="19">J274-X274</f>
        <v>0</v>
      </c>
      <c r="AB274" s="152">
        <f t="shared" ref="AB274:AB283" si="20">M274-Y274</f>
        <v>0</v>
      </c>
      <c r="AC274" s="158"/>
    </row>
    <row r="275" spans="1:34" ht="18.75" customHeight="1">
      <c r="A275" s="45" t="s">
        <v>652</v>
      </c>
      <c r="B275" s="121">
        <v>6000026798</v>
      </c>
      <c r="C275" s="74" t="s">
        <v>2119</v>
      </c>
      <c r="D275" s="80">
        <v>2342475</v>
      </c>
      <c r="E275" s="74">
        <v>10</v>
      </c>
      <c r="F275" s="74">
        <v>400</v>
      </c>
      <c r="G275" s="45">
        <f t="shared" ref="G275:G283" si="21">F275*E275</f>
        <v>4000</v>
      </c>
      <c r="H275" s="119" t="s">
        <v>243</v>
      </c>
      <c r="I275" s="128">
        <v>45272</v>
      </c>
      <c r="J275" s="74">
        <v>400</v>
      </c>
      <c r="K275" s="158">
        <v>9</v>
      </c>
      <c r="L275" s="237">
        <v>45275</v>
      </c>
      <c r="M275" s="234">
        <v>4000</v>
      </c>
      <c r="N275" s="234">
        <v>50</v>
      </c>
      <c r="O275" s="234" t="s">
        <v>2107</v>
      </c>
      <c r="P275" s="74" t="s">
        <v>28</v>
      </c>
      <c r="Q275" s="74">
        <v>8500064701</v>
      </c>
      <c r="R275" s="158">
        <v>5001323707</v>
      </c>
      <c r="S275" s="74">
        <v>400</v>
      </c>
      <c r="T275" s="45" t="s">
        <v>655</v>
      </c>
      <c r="U275" s="234">
        <v>8500064700</v>
      </c>
      <c r="V275" s="234">
        <v>5001335594</v>
      </c>
      <c r="W275" s="241">
        <v>45280</v>
      </c>
      <c r="X275" s="210">
        <v>400</v>
      </c>
      <c r="Y275" s="210">
        <v>4000</v>
      </c>
      <c r="Z275" s="210" t="s">
        <v>2266</v>
      </c>
      <c r="AA275" s="152">
        <f t="shared" si="19"/>
        <v>0</v>
      </c>
      <c r="AB275" s="152">
        <f t="shared" si="20"/>
        <v>0</v>
      </c>
      <c r="AC275" s="158"/>
    </row>
    <row r="276" spans="1:34" ht="18.75" customHeight="1">
      <c r="A276" s="45"/>
      <c r="B276" s="121"/>
      <c r="C276" s="74"/>
      <c r="D276" s="80"/>
      <c r="E276" s="74">
        <v>10</v>
      </c>
      <c r="F276" s="74">
        <v>400</v>
      </c>
      <c r="G276" s="45">
        <f t="shared" si="21"/>
        <v>4000</v>
      </c>
      <c r="H276" s="119" t="s">
        <v>27</v>
      </c>
      <c r="I276" s="128">
        <v>45272</v>
      </c>
      <c r="J276" s="74">
        <v>400</v>
      </c>
      <c r="K276" s="158">
        <v>10</v>
      </c>
      <c r="L276" s="237">
        <v>45275</v>
      </c>
      <c r="M276" s="234">
        <v>4000</v>
      </c>
      <c r="N276" s="234">
        <v>50</v>
      </c>
      <c r="O276" s="234" t="s">
        <v>877</v>
      </c>
      <c r="P276" s="74" t="s">
        <v>28</v>
      </c>
      <c r="Q276" s="74">
        <v>8500064701</v>
      </c>
      <c r="R276" s="158">
        <v>5001323707</v>
      </c>
      <c r="S276" s="74">
        <v>400</v>
      </c>
      <c r="T276" s="45" t="s">
        <v>655</v>
      </c>
      <c r="U276" s="234">
        <v>8500064700</v>
      </c>
      <c r="V276" s="234">
        <v>5001335594</v>
      </c>
      <c r="W276" s="241">
        <v>45286</v>
      </c>
      <c r="X276" s="210">
        <v>400</v>
      </c>
      <c r="Y276" s="210">
        <v>4000</v>
      </c>
      <c r="Z276" s="210" t="s">
        <v>1502</v>
      </c>
      <c r="AA276" s="152">
        <f t="shared" si="19"/>
        <v>0</v>
      </c>
      <c r="AB276" s="152">
        <f t="shared" si="20"/>
        <v>0</v>
      </c>
      <c r="AC276" s="158"/>
    </row>
    <row r="277" spans="1:34" ht="18.75" customHeight="1">
      <c r="A277" s="45"/>
      <c r="B277" s="121"/>
      <c r="C277" s="74"/>
      <c r="D277" s="80"/>
      <c r="E277" s="74">
        <v>10</v>
      </c>
      <c r="F277" s="74">
        <v>584</v>
      </c>
      <c r="G277" s="45">
        <f t="shared" si="21"/>
        <v>5840</v>
      </c>
      <c r="H277" s="119" t="s">
        <v>46</v>
      </c>
      <c r="I277" s="128">
        <v>45271</v>
      </c>
      <c r="J277" s="74">
        <v>584</v>
      </c>
      <c r="K277" s="158">
        <v>12</v>
      </c>
      <c r="L277" s="237">
        <v>45276</v>
      </c>
      <c r="M277" s="234">
        <v>5840</v>
      </c>
      <c r="N277" s="234">
        <v>60</v>
      </c>
      <c r="O277" s="234" t="s">
        <v>887</v>
      </c>
      <c r="P277" s="74" t="s">
        <v>28</v>
      </c>
      <c r="Q277" s="74">
        <v>8500064701</v>
      </c>
      <c r="R277" s="158">
        <v>5001320732</v>
      </c>
      <c r="S277" s="74">
        <v>584</v>
      </c>
      <c r="T277" s="45" t="s">
        <v>655</v>
      </c>
      <c r="U277" s="234">
        <v>8500064700</v>
      </c>
      <c r="V277" s="234">
        <v>5001345416</v>
      </c>
      <c r="W277" s="241" t="s">
        <v>2440</v>
      </c>
      <c r="X277" s="210">
        <f>350+234</f>
        <v>584</v>
      </c>
      <c r="Y277" s="210">
        <f>3500+2340</f>
        <v>5840</v>
      </c>
      <c r="Z277" s="210" t="s">
        <v>2441</v>
      </c>
      <c r="AA277" s="152">
        <f t="shared" si="19"/>
        <v>0</v>
      </c>
      <c r="AB277" s="152">
        <f t="shared" si="20"/>
        <v>0</v>
      </c>
      <c r="AC277" s="158"/>
    </row>
    <row r="278" spans="1:34" ht="18.75" customHeight="1">
      <c r="A278" s="45"/>
      <c r="B278" s="121"/>
      <c r="C278" s="74"/>
      <c r="D278" s="80"/>
      <c r="E278" s="74">
        <v>10</v>
      </c>
      <c r="F278" s="74">
        <v>1500</v>
      </c>
      <c r="G278" s="45">
        <f t="shared" si="21"/>
        <v>15000</v>
      </c>
      <c r="H278" s="119" t="s">
        <v>37</v>
      </c>
      <c r="I278" s="128">
        <v>45272</v>
      </c>
      <c r="J278" s="74">
        <v>1500</v>
      </c>
      <c r="K278" s="158">
        <v>22</v>
      </c>
      <c r="L278" s="237">
        <v>45274</v>
      </c>
      <c r="M278" s="234">
        <v>15000</v>
      </c>
      <c r="N278" s="234">
        <v>150</v>
      </c>
      <c r="O278" s="234"/>
      <c r="P278" s="74" t="s">
        <v>28</v>
      </c>
      <c r="Q278" s="74">
        <v>8500064701</v>
      </c>
      <c r="R278" s="158">
        <v>5001323707</v>
      </c>
      <c r="S278" s="74">
        <v>1500</v>
      </c>
      <c r="T278" s="45" t="s">
        <v>655</v>
      </c>
      <c r="U278" s="234">
        <v>8500064700</v>
      </c>
      <c r="V278" s="234">
        <v>5001332214</v>
      </c>
      <c r="W278" s="241">
        <v>45276</v>
      </c>
      <c r="X278" s="210">
        <v>1500</v>
      </c>
      <c r="Y278" s="210">
        <v>15000</v>
      </c>
      <c r="Z278" s="210" t="s">
        <v>35</v>
      </c>
      <c r="AA278" s="152">
        <f t="shared" si="19"/>
        <v>0</v>
      </c>
      <c r="AB278" s="152">
        <f t="shared" si="20"/>
        <v>0</v>
      </c>
      <c r="AC278" s="158"/>
    </row>
    <row r="279" spans="1:34" ht="18.75" customHeight="1">
      <c r="A279" s="45"/>
      <c r="B279" s="121"/>
      <c r="C279" s="74"/>
      <c r="D279" s="80"/>
      <c r="E279" s="74">
        <v>10</v>
      </c>
      <c r="F279" s="74">
        <v>566</v>
      </c>
      <c r="G279" s="45">
        <f t="shared" si="21"/>
        <v>5660</v>
      </c>
      <c r="H279" s="119" t="s">
        <v>146</v>
      </c>
      <c r="I279" s="128">
        <v>45272</v>
      </c>
      <c r="J279" s="74">
        <v>566</v>
      </c>
      <c r="K279" s="158">
        <v>14</v>
      </c>
      <c r="L279" s="237" t="s">
        <v>2301</v>
      </c>
      <c r="M279" s="234">
        <f>5550+110</f>
        <v>5660</v>
      </c>
      <c r="N279" s="234">
        <v>90</v>
      </c>
      <c r="O279" s="234" t="s">
        <v>2302</v>
      </c>
      <c r="P279" s="74" t="s">
        <v>28</v>
      </c>
      <c r="Q279" s="74">
        <v>8500064701</v>
      </c>
      <c r="R279" s="158">
        <v>5001323707</v>
      </c>
      <c r="S279" s="74">
        <v>566</v>
      </c>
      <c r="T279" s="45" t="s">
        <v>655</v>
      </c>
      <c r="U279" s="234">
        <v>8500064700</v>
      </c>
      <c r="V279" s="234">
        <v>5001335596</v>
      </c>
      <c r="W279" s="241" t="s">
        <v>2459</v>
      </c>
      <c r="X279" s="210">
        <f>300+266</f>
        <v>566</v>
      </c>
      <c r="Y279" s="210">
        <f>3000+2660</f>
        <v>5660</v>
      </c>
      <c r="Z279" s="210" t="s">
        <v>1785</v>
      </c>
      <c r="AA279" s="152">
        <f t="shared" si="19"/>
        <v>0</v>
      </c>
      <c r="AB279" s="152">
        <f t="shared" si="20"/>
        <v>0</v>
      </c>
      <c r="AC279" s="158"/>
    </row>
    <row r="280" spans="1:34" ht="18.75" customHeight="1">
      <c r="A280" s="45" t="s">
        <v>692</v>
      </c>
      <c r="B280" s="121">
        <v>6000026916</v>
      </c>
      <c r="C280" s="74" t="s">
        <v>2193</v>
      </c>
      <c r="D280" s="80">
        <v>312149930</v>
      </c>
      <c r="E280" s="231">
        <v>20</v>
      </c>
      <c r="F280" s="157">
        <v>400</v>
      </c>
      <c r="G280" s="45">
        <f t="shared" si="21"/>
        <v>8000</v>
      </c>
      <c r="H280" s="236" t="s">
        <v>27</v>
      </c>
      <c r="I280" s="128">
        <v>45282</v>
      </c>
      <c r="J280" s="157">
        <v>400</v>
      </c>
      <c r="K280" s="158">
        <f>9+1</f>
        <v>10</v>
      </c>
      <c r="L280" s="237">
        <v>45271</v>
      </c>
      <c r="M280" s="234">
        <v>8000</v>
      </c>
      <c r="N280" s="234">
        <v>80</v>
      </c>
      <c r="O280" s="234" t="s">
        <v>862</v>
      </c>
      <c r="P280" s="158" t="s">
        <v>160</v>
      </c>
      <c r="Q280" s="158">
        <v>8500064816</v>
      </c>
      <c r="R280" s="158">
        <v>5001362009</v>
      </c>
      <c r="S280" s="158"/>
      <c r="T280" s="234" t="s">
        <v>1558</v>
      </c>
      <c r="U280" s="234">
        <v>8500064815</v>
      </c>
      <c r="V280" s="234">
        <v>5001320862</v>
      </c>
      <c r="W280" s="241">
        <v>45307</v>
      </c>
      <c r="X280" s="210">
        <v>400</v>
      </c>
      <c r="Y280" s="210">
        <v>8000</v>
      </c>
      <c r="Z280" s="210" t="s">
        <v>727</v>
      </c>
      <c r="AA280" s="152">
        <f t="shared" si="19"/>
        <v>0</v>
      </c>
      <c r="AB280" s="152">
        <f t="shared" si="20"/>
        <v>0</v>
      </c>
      <c r="AC280" s="158"/>
    </row>
    <row r="281" spans="1:34" ht="18.75" customHeight="1">
      <c r="A281" s="45"/>
      <c r="B281" s="121"/>
      <c r="C281" s="74"/>
      <c r="D281" s="80"/>
      <c r="E281" s="231">
        <v>20</v>
      </c>
      <c r="F281" s="157">
        <v>1310</v>
      </c>
      <c r="G281" s="45">
        <f t="shared" si="21"/>
        <v>26200</v>
      </c>
      <c r="H281" s="236" t="s">
        <v>46</v>
      </c>
      <c r="I281" s="128">
        <v>45282</v>
      </c>
      <c r="J281" s="157">
        <v>1310</v>
      </c>
      <c r="K281" s="158">
        <f>18+12</f>
        <v>30</v>
      </c>
      <c r="L281" s="237">
        <v>45271</v>
      </c>
      <c r="M281" s="234">
        <v>26200</v>
      </c>
      <c r="N281" s="234">
        <v>262</v>
      </c>
      <c r="O281" s="234" t="s">
        <v>862</v>
      </c>
      <c r="P281" s="158" t="s">
        <v>160</v>
      </c>
      <c r="Q281" s="158">
        <v>8500064816</v>
      </c>
      <c r="R281" s="158">
        <v>5001362009</v>
      </c>
      <c r="S281" s="158"/>
      <c r="T281" s="234" t="s">
        <v>1558</v>
      </c>
      <c r="U281" s="234">
        <v>8500064815</v>
      </c>
      <c r="V281" s="234">
        <v>5001320862</v>
      </c>
      <c r="W281" s="241">
        <v>45289</v>
      </c>
      <c r="X281" s="210">
        <v>1310</v>
      </c>
      <c r="Y281" s="210">
        <v>26200</v>
      </c>
      <c r="Z281" s="210" t="s">
        <v>755</v>
      </c>
      <c r="AA281" s="152">
        <f t="shared" si="19"/>
        <v>0</v>
      </c>
      <c r="AB281" s="152">
        <f t="shared" si="20"/>
        <v>0</v>
      </c>
      <c r="AC281" s="158"/>
    </row>
    <row r="282" spans="1:34" ht="18.75" customHeight="1">
      <c r="A282" s="45"/>
      <c r="B282" s="121"/>
      <c r="C282" s="74"/>
      <c r="D282" s="80"/>
      <c r="E282" s="231">
        <v>20</v>
      </c>
      <c r="F282" s="157">
        <v>750</v>
      </c>
      <c r="G282" s="45">
        <f t="shared" si="21"/>
        <v>15000</v>
      </c>
      <c r="H282" s="236" t="s">
        <v>37</v>
      </c>
      <c r="I282" s="128">
        <v>45282</v>
      </c>
      <c r="J282" s="157">
        <v>750</v>
      </c>
      <c r="K282" s="158">
        <f>13</f>
        <v>13</v>
      </c>
      <c r="L282" s="237">
        <v>45271</v>
      </c>
      <c r="M282" s="234">
        <v>15000</v>
      </c>
      <c r="N282" s="234">
        <v>150</v>
      </c>
      <c r="O282" s="234" t="s">
        <v>797</v>
      </c>
      <c r="P282" s="158" t="s">
        <v>160</v>
      </c>
      <c r="Q282" s="158">
        <v>8500064816</v>
      </c>
      <c r="R282" s="158">
        <v>5001362009</v>
      </c>
      <c r="S282" s="158"/>
      <c r="T282" s="234" t="s">
        <v>1558</v>
      </c>
      <c r="U282" s="234">
        <v>8500064815</v>
      </c>
      <c r="V282" s="234">
        <v>5001320862</v>
      </c>
      <c r="W282" s="241">
        <v>45308</v>
      </c>
      <c r="X282" s="210">
        <v>750</v>
      </c>
      <c r="Y282" s="210">
        <v>15000</v>
      </c>
      <c r="Z282" s="210" t="s">
        <v>927</v>
      </c>
      <c r="AA282" s="152">
        <f t="shared" si="19"/>
        <v>0</v>
      </c>
      <c r="AB282" s="152">
        <f t="shared" si="20"/>
        <v>0</v>
      </c>
      <c r="AC282" s="158"/>
    </row>
    <row r="283" spans="1:34" ht="18.75" customHeight="1">
      <c r="A283" s="45"/>
      <c r="B283" s="121"/>
      <c r="C283" s="74"/>
      <c r="D283" s="80"/>
      <c r="E283" s="231">
        <v>20</v>
      </c>
      <c r="F283" s="157">
        <v>150</v>
      </c>
      <c r="G283" s="45">
        <f t="shared" si="21"/>
        <v>3000</v>
      </c>
      <c r="H283" s="236" t="s">
        <v>146</v>
      </c>
      <c r="I283" s="128">
        <v>45282</v>
      </c>
      <c r="J283" s="157">
        <v>150</v>
      </c>
      <c r="K283" s="158">
        <f>8+2</f>
        <v>10</v>
      </c>
      <c r="L283" s="237">
        <v>45271</v>
      </c>
      <c r="M283" s="234">
        <v>3000</v>
      </c>
      <c r="N283" s="234">
        <v>30</v>
      </c>
      <c r="O283" s="234" t="s">
        <v>730</v>
      </c>
      <c r="P283" s="158" t="s">
        <v>160</v>
      </c>
      <c r="Q283" s="158">
        <v>8500064816</v>
      </c>
      <c r="R283" s="158">
        <v>5001362009</v>
      </c>
      <c r="S283" s="158"/>
      <c r="T283" s="234" t="s">
        <v>1558</v>
      </c>
      <c r="U283" s="234">
        <v>8500064815</v>
      </c>
      <c r="V283" s="234">
        <v>5001320862</v>
      </c>
      <c r="W283" s="241">
        <v>45311</v>
      </c>
      <c r="X283" s="210">
        <v>150</v>
      </c>
      <c r="Y283" s="210">
        <v>3000</v>
      </c>
      <c r="Z283" s="210" t="s">
        <v>759</v>
      </c>
      <c r="AA283" s="152">
        <f t="shared" si="19"/>
        <v>0</v>
      </c>
      <c r="AB283" s="152">
        <f t="shared" si="20"/>
        <v>0</v>
      </c>
      <c r="AC283" s="158"/>
    </row>
    <row r="284" spans="1:34" ht="18.75" customHeight="1">
      <c r="A284" s="45" t="s">
        <v>692</v>
      </c>
      <c r="B284" s="121">
        <v>6000026917</v>
      </c>
      <c r="C284" s="74" t="s">
        <v>2193</v>
      </c>
      <c r="D284" s="80">
        <v>312151830</v>
      </c>
      <c r="E284" s="231">
        <v>20</v>
      </c>
      <c r="F284" s="157">
        <v>400</v>
      </c>
      <c r="G284" s="45">
        <f t="shared" ref="G284:G311" si="22">F284*E284</f>
        <v>8000</v>
      </c>
      <c r="H284" s="236" t="s">
        <v>27</v>
      </c>
      <c r="I284" s="128">
        <v>45282</v>
      </c>
      <c r="J284" s="157">
        <v>400</v>
      </c>
      <c r="K284" s="158">
        <f>5+2</f>
        <v>7</v>
      </c>
      <c r="L284" s="237">
        <v>45271</v>
      </c>
      <c r="M284" s="234">
        <v>8000</v>
      </c>
      <c r="N284" s="234">
        <v>80</v>
      </c>
      <c r="O284" s="234" t="s">
        <v>2194</v>
      </c>
      <c r="P284" s="158" t="s">
        <v>160</v>
      </c>
      <c r="Q284" s="158">
        <v>8500064818</v>
      </c>
      <c r="R284" s="158">
        <v>5001362186</v>
      </c>
      <c r="S284" s="158"/>
      <c r="T284" s="234" t="s">
        <v>1558</v>
      </c>
      <c r="U284" s="234">
        <v>8500064817</v>
      </c>
      <c r="V284" s="234">
        <v>5001320869</v>
      </c>
      <c r="W284" s="241">
        <v>45308</v>
      </c>
      <c r="X284" s="210">
        <v>400</v>
      </c>
      <c r="Y284" s="210">
        <v>8000</v>
      </c>
      <c r="Z284" s="210" t="s">
        <v>727</v>
      </c>
      <c r="AA284" s="152">
        <f t="shared" ref="AA284:AA292" si="23">J284-X284</f>
        <v>0</v>
      </c>
      <c r="AB284" s="152">
        <f t="shared" ref="AB284:AB292" si="24">M284-Y284</f>
        <v>0</v>
      </c>
      <c r="AC284" s="158"/>
    </row>
    <row r="285" spans="1:34" ht="18.75" customHeight="1">
      <c r="A285" s="45"/>
      <c r="B285" s="121"/>
      <c r="C285" s="74"/>
      <c r="D285" s="80"/>
      <c r="E285" s="231">
        <v>20</v>
      </c>
      <c r="F285" s="157">
        <v>1310</v>
      </c>
      <c r="G285" s="45">
        <f t="shared" si="22"/>
        <v>26200</v>
      </c>
      <c r="H285" s="236" t="s">
        <v>46</v>
      </c>
      <c r="I285" s="128">
        <v>45282</v>
      </c>
      <c r="J285" s="157">
        <v>1310</v>
      </c>
      <c r="K285" s="158">
        <f>15+5</f>
        <v>20</v>
      </c>
      <c r="L285" s="237">
        <v>45271</v>
      </c>
      <c r="M285" s="234">
        <v>26200</v>
      </c>
      <c r="N285" s="234">
        <v>262</v>
      </c>
      <c r="O285" s="234" t="s">
        <v>2195</v>
      </c>
      <c r="P285" s="158" t="s">
        <v>160</v>
      </c>
      <c r="Q285" s="158">
        <v>8500064818</v>
      </c>
      <c r="R285" s="158">
        <v>5001362186</v>
      </c>
      <c r="S285" s="158"/>
      <c r="T285" s="234" t="s">
        <v>1558</v>
      </c>
      <c r="U285" s="234">
        <v>8500064817</v>
      </c>
      <c r="V285" s="234">
        <v>5001320869</v>
      </c>
      <c r="W285" s="241" t="s">
        <v>2356</v>
      </c>
      <c r="X285" s="210">
        <f>700+610</f>
        <v>1310</v>
      </c>
      <c r="Y285" s="210">
        <f>14000+12200</f>
        <v>26200</v>
      </c>
      <c r="Z285" s="210" t="s">
        <v>2357</v>
      </c>
      <c r="AA285" s="152">
        <f t="shared" si="23"/>
        <v>0</v>
      </c>
      <c r="AB285" s="152">
        <f t="shared" si="24"/>
        <v>0</v>
      </c>
      <c r="AC285" s="158"/>
    </row>
    <row r="286" spans="1:34" ht="18.75" customHeight="1">
      <c r="A286" s="229"/>
      <c r="B286" s="230"/>
      <c r="C286" s="231"/>
      <c r="D286" s="232"/>
      <c r="E286" s="231">
        <v>20</v>
      </c>
      <c r="F286" s="157">
        <v>750</v>
      </c>
      <c r="G286" s="45">
        <f t="shared" si="22"/>
        <v>15000</v>
      </c>
      <c r="H286" s="236" t="s">
        <v>37</v>
      </c>
      <c r="I286" s="128">
        <v>45282</v>
      </c>
      <c r="J286" s="157">
        <v>750</v>
      </c>
      <c r="K286" s="158">
        <f>9+2</f>
        <v>11</v>
      </c>
      <c r="L286" s="237" t="s">
        <v>2214</v>
      </c>
      <c r="M286" s="234">
        <f>10000+5000</f>
        <v>15000</v>
      </c>
      <c r="N286" s="234">
        <v>150</v>
      </c>
      <c r="O286" s="234" t="s">
        <v>2213</v>
      </c>
      <c r="P286" s="158" t="s">
        <v>160</v>
      </c>
      <c r="Q286" s="158">
        <v>8500064818</v>
      </c>
      <c r="R286" s="158">
        <v>5001362186</v>
      </c>
      <c r="S286" s="158"/>
      <c r="T286" s="234" t="s">
        <v>1558</v>
      </c>
      <c r="U286" s="234">
        <v>8500064817</v>
      </c>
      <c r="V286" s="234">
        <v>5001320869</v>
      </c>
      <c r="W286" s="241">
        <v>45309</v>
      </c>
      <c r="X286" s="210">
        <v>750</v>
      </c>
      <c r="Y286" s="210">
        <v>15000</v>
      </c>
      <c r="Z286" s="210" t="s">
        <v>927</v>
      </c>
      <c r="AA286" s="152">
        <f t="shared" si="23"/>
        <v>0</v>
      </c>
      <c r="AB286" s="152">
        <f t="shared" si="24"/>
        <v>0</v>
      </c>
      <c r="AC286" s="158"/>
    </row>
    <row r="287" spans="1:34" ht="18.75" customHeight="1">
      <c r="A287" s="229"/>
      <c r="B287" s="230"/>
      <c r="C287" s="231"/>
      <c r="D287" s="232"/>
      <c r="E287" s="231">
        <v>20</v>
      </c>
      <c r="F287" s="157">
        <v>150</v>
      </c>
      <c r="G287" s="45">
        <f t="shared" si="22"/>
        <v>3000</v>
      </c>
      <c r="H287" s="236" t="s">
        <v>146</v>
      </c>
      <c r="I287" s="128">
        <v>45282</v>
      </c>
      <c r="J287" s="157">
        <v>150</v>
      </c>
      <c r="K287" s="158">
        <f>3+3</f>
        <v>6</v>
      </c>
      <c r="L287" s="237">
        <v>45271</v>
      </c>
      <c r="M287" s="234">
        <v>3000</v>
      </c>
      <c r="N287" s="234">
        <v>30</v>
      </c>
      <c r="O287" s="234" t="s">
        <v>1565</v>
      </c>
      <c r="P287" s="158" t="s">
        <v>160</v>
      </c>
      <c r="Q287" s="158">
        <v>8500064818</v>
      </c>
      <c r="R287" s="158">
        <v>5001362186</v>
      </c>
      <c r="S287" s="158"/>
      <c r="T287" s="234" t="s">
        <v>1558</v>
      </c>
      <c r="U287" s="234">
        <v>8500064817</v>
      </c>
      <c r="V287" s="234">
        <v>5001320869</v>
      </c>
      <c r="W287" s="241">
        <v>45311</v>
      </c>
      <c r="X287" s="210">
        <v>150</v>
      </c>
      <c r="Y287" s="210">
        <v>3000</v>
      </c>
      <c r="Z287" s="210" t="s">
        <v>759</v>
      </c>
      <c r="AA287" s="152">
        <f t="shared" si="23"/>
        <v>0</v>
      </c>
      <c r="AB287" s="152">
        <f t="shared" si="24"/>
        <v>0</v>
      </c>
      <c r="AC287" s="158"/>
    </row>
    <row r="288" spans="1:34" ht="33" customHeight="1">
      <c r="A288" s="45" t="s">
        <v>692</v>
      </c>
      <c r="B288" s="121">
        <v>6000026921</v>
      </c>
      <c r="C288" s="74" t="s">
        <v>2193</v>
      </c>
      <c r="D288" s="80">
        <v>312152730</v>
      </c>
      <c r="E288" s="231">
        <v>20</v>
      </c>
      <c r="F288" s="157">
        <v>400</v>
      </c>
      <c r="G288" s="45">
        <f t="shared" si="22"/>
        <v>8000</v>
      </c>
      <c r="H288" s="236" t="s">
        <v>27</v>
      </c>
      <c r="I288" s="128" t="s">
        <v>2453</v>
      </c>
      <c r="J288" s="158">
        <f>240+122+38</f>
        <v>400</v>
      </c>
      <c r="K288" s="158">
        <f>6+5</f>
        <v>11</v>
      </c>
      <c r="L288" s="237">
        <v>45290</v>
      </c>
      <c r="M288" s="234">
        <v>8000</v>
      </c>
      <c r="N288" s="234">
        <v>80</v>
      </c>
      <c r="O288" s="234" t="s">
        <v>862</v>
      </c>
      <c r="P288" s="158" t="s">
        <v>160</v>
      </c>
      <c r="Q288" s="158">
        <v>8500064822</v>
      </c>
      <c r="R288" s="158">
        <v>5000043294</v>
      </c>
      <c r="S288" s="158"/>
      <c r="T288" s="234" t="s">
        <v>1558</v>
      </c>
      <c r="U288" s="234">
        <v>8500064820</v>
      </c>
      <c r="V288" s="234">
        <v>5001393999</v>
      </c>
      <c r="W288" s="241">
        <v>45309</v>
      </c>
      <c r="X288" s="210">
        <v>400</v>
      </c>
      <c r="Y288" s="210">
        <v>8000</v>
      </c>
      <c r="Z288" s="210" t="s">
        <v>727</v>
      </c>
      <c r="AA288" s="152">
        <f t="shared" si="23"/>
        <v>0</v>
      </c>
      <c r="AB288" s="152">
        <f t="shared" si="24"/>
        <v>0</v>
      </c>
      <c r="AC288" s="158"/>
    </row>
    <row r="289" spans="1:34" ht="18.75" customHeight="1">
      <c r="A289" s="229"/>
      <c r="B289" s="230"/>
      <c r="C289" s="231"/>
      <c r="D289" s="232"/>
      <c r="E289" s="231">
        <v>20</v>
      </c>
      <c r="F289" s="157">
        <v>1310</v>
      </c>
      <c r="G289" s="45">
        <f t="shared" si="22"/>
        <v>26200</v>
      </c>
      <c r="H289" s="236" t="s">
        <v>46</v>
      </c>
      <c r="I289" s="128">
        <v>44928</v>
      </c>
      <c r="J289" s="158">
        <v>1310</v>
      </c>
      <c r="K289" s="158">
        <v>16</v>
      </c>
      <c r="L289" s="237">
        <v>45290</v>
      </c>
      <c r="M289" s="234">
        <v>26200</v>
      </c>
      <c r="N289" s="234">
        <v>262</v>
      </c>
      <c r="O289" s="234"/>
      <c r="P289" s="158" t="s">
        <v>160</v>
      </c>
      <c r="Q289" s="158">
        <v>8500064822</v>
      </c>
      <c r="R289" s="158">
        <v>5000043294</v>
      </c>
      <c r="S289" s="158"/>
      <c r="T289" s="234" t="s">
        <v>1558</v>
      </c>
      <c r="U289" s="234">
        <v>8500064820</v>
      </c>
      <c r="V289" s="234">
        <v>5001393999</v>
      </c>
      <c r="W289" s="241">
        <v>45295</v>
      </c>
      <c r="X289" s="210">
        <v>1310</v>
      </c>
      <c r="Y289" s="210">
        <v>26200</v>
      </c>
      <c r="Z289" s="210" t="s">
        <v>755</v>
      </c>
      <c r="AA289" s="152">
        <f t="shared" si="23"/>
        <v>0</v>
      </c>
      <c r="AB289" s="152">
        <f t="shared" si="24"/>
        <v>0</v>
      </c>
      <c r="AC289" s="158"/>
    </row>
    <row r="290" spans="1:34" ht="18.75" customHeight="1">
      <c r="A290" s="229"/>
      <c r="B290" s="230"/>
      <c r="C290" s="231"/>
      <c r="D290" s="232"/>
      <c r="E290" s="231">
        <v>20</v>
      </c>
      <c r="F290" s="157">
        <v>750</v>
      </c>
      <c r="G290" s="45">
        <f t="shared" si="22"/>
        <v>15000</v>
      </c>
      <c r="H290" s="236" t="s">
        <v>37</v>
      </c>
      <c r="I290" s="128" t="s">
        <v>2759</v>
      </c>
      <c r="J290" s="158">
        <f>740+10</f>
        <v>750</v>
      </c>
      <c r="K290" s="158">
        <v>12</v>
      </c>
      <c r="L290" s="237">
        <v>45290</v>
      </c>
      <c r="M290" s="234">
        <v>15000</v>
      </c>
      <c r="N290" s="234">
        <v>150</v>
      </c>
      <c r="O290" s="234"/>
      <c r="P290" s="158" t="s">
        <v>160</v>
      </c>
      <c r="Q290" s="158">
        <v>8500064822</v>
      </c>
      <c r="R290" s="158">
        <v>5000043294</v>
      </c>
      <c r="S290" s="158"/>
      <c r="T290" s="234" t="s">
        <v>1558</v>
      </c>
      <c r="U290" s="234">
        <v>8500064820</v>
      </c>
      <c r="V290" s="234">
        <v>5001393999</v>
      </c>
      <c r="W290" s="241" t="s">
        <v>2760</v>
      </c>
      <c r="X290" s="210">
        <f>740+10</f>
        <v>750</v>
      </c>
      <c r="Y290" s="210">
        <f>14800+200</f>
        <v>15000</v>
      </c>
      <c r="Z290" s="210" t="s">
        <v>2405</v>
      </c>
      <c r="AA290" s="152">
        <f t="shared" si="23"/>
        <v>0</v>
      </c>
      <c r="AB290" s="152">
        <f t="shared" si="24"/>
        <v>0</v>
      </c>
      <c r="AC290" s="158"/>
    </row>
    <row r="291" spans="1:34" ht="18.75" customHeight="1">
      <c r="A291" s="229"/>
      <c r="B291" s="230"/>
      <c r="C291" s="231"/>
      <c r="D291" s="232"/>
      <c r="E291" s="231">
        <v>20</v>
      </c>
      <c r="F291" s="157">
        <v>150</v>
      </c>
      <c r="G291" s="45">
        <f t="shared" si="22"/>
        <v>3000</v>
      </c>
      <c r="H291" s="236" t="s">
        <v>146</v>
      </c>
      <c r="I291" s="128">
        <v>44928</v>
      </c>
      <c r="J291" s="158">
        <f>120+30</f>
        <v>150</v>
      </c>
      <c r="K291" s="158">
        <f>3+2</f>
        <v>5</v>
      </c>
      <c r="L291" s="237">
        <v>45290</v>
      </c>
      <c r="M291" s="234">
        <v>3000</v>
      </c>
      <c r="N291" s="234">
        <v>30</v>
      </c>
      <c r="O291" s="234" t="s">
        <v>788</v>
      </c>
      <c r="P291" s="158" t="s">
        <v>160</v>
      </c>
      <c r="Q291" s="158">
        <v>8500064822</v>
      </c>
      <c r="R291" s="158">
        <v>5000043294</v>
      </c>
      <c r="S291" s="158"/>
      <c r="T291" s="234" t="s">
        <v>1558</v>
      </c>
      <c r="U291" s="234">
        <v>8500064820</v>
      </c>
      <c r="V291" s="234">
        <v>5001393999</v>
      </c>
      <c r="W291" s="241">
        <v>45313</v>
      </c>
      <c r="X291" s="210">
        <v>150</v>
      </c>
      <c r="Y291" s="210">
        <v>3000</v>
      </c>
      <c r="Z291" s="210" t="s">
        <v>759</v>
      </c>
      <c r="AA291" s="152">
        <f t="shared" si="23"/>
        <v>0</v>
      </c>
      <c r="AB291" s="152">
        <f t="shared" si="24"/>
        <v>0</v>
      </c>
      <c r="AC291" s="158" t="s">
        <v>2727</v>
      </c>
    </row>
    <row r="292" spans="1:34" ht="18.75" customHeight="1">
      <c r="A292" s="229"/>
      <c r="B292" s="230"/>
      <c r="C292" s="231"/>
      <c r="D292" s="232" t="s">
        <v>244</v>
      </c>
      <c r="E292" s="231">
        <v>20</v>
      </c>
      <c r="F292" s="157">
        <v>30</v>
      </c>
      <c r="G292" s="229">
        <f t="shared" si="22"/>
        <v>600</v>
      </c>
      <c r="H292" s="236" t="s">
        <v>243</v>
      </c>
      <c r="I292" s="128">
        <v>44928</v>
      </c>
      <c r="J292" s="158">
        <v>30</v>
      </c>
      <c r="K292" s="158">
        <f>2+1</f>
        <v>3</v>
      </c>
      <c r="L292" s="237">
        <v>45290</v>
      </c>
      <c r="M292" s="234">
        <v>600</v>
      </c>
      <c r="N292" s="234">
        <v>6</v>
      </c>
      <c r="O292" s="234" t="s">
        <v>788</v>
      </c>
      <c r="P292" s="158" t="s">
        <v>160</v>
      </c>
      <c r="Q292" s="158">
        <v>8500065830</v>
      </c>
      <c r="R292" s="158">
        <v>5000043296</v>
      </c>
      <c r="S292" s="158"/>
      <c r="T292" s="234" t="s">
        <v>1558</v>
      </c>
      <c r="U292" s="234">
        <v>8500065829</v>
      </c>
      <c r="V292" s="234">
        <v>5001394051</v>
      </c>
      <c r="W292" s="235"/>
      <c r="X292" s="210">
        <v>30</v>
      </c>
      <c r="Y292" s="210">
        <v>600</v>
      </c>
      <c r="Z292" s="210"/>
      <c r="AA292" s="152">
        <f t="shared" si="23"/>
        <v>0</v>
      </c>
      <c r="AB292" s="152">
        <f t="shared" si="24"/>
        <v>0</v>
      </c>
      <c r="AC292" s="158"/>
    </row>
    <row r="293" spans="1:34" ht="18.75" customHeight="1">
      <c r="A293" s="45" t="s">
        <v>240</v>
      </c>
      <c r="B293" s="121">
        <v>6000026872</v>
      </c>
      <c r="C293" s="494" t="s">
        <v>2120</v>
      </c>
      <c r="D293" s="495"/>
      <c r="E293" s="74"/>
      <c r="F293" s="74"/>
      <c r="G293" s="45">
        <f t="shared" si="22"/>
        <v>0</v>
      </c>
      <c r="H293" s="119"/>
      <c r="I293" s="133"/>
      <c r="J293" s="158"/>
      <c r="K293" s="74"/>
      <c r="L293" s="162"/>
      <c r="M293" s="45"/>
      <c r="N293" s="45"/>
      <c r="O293" s="45"/>
      <c r="P293" s="74"/>
      <c r="Q293" s="74"/>
      <c r="R293" s="74"/>
      <c r="S293" s="74"/>
      <c r="T293" s="45"/>
      <c r="U293" s="45"/>
      <c r="V293" s="45"/>
      <c r="W293" s="151"/>
      <c r="X293" s="152"/>
      <c r="Y293" s="152"/>
      <c r="Z293" s="152"/>
      <c r="AA293" s="152">
        <f>J293-X293</f>
        <v>0</v>
      </c>
      <c r="AB293" s="152">
        <f>M293-Y293</f>
        <v>0</v>
      </c>
      <c r="AC293" s="74">
        <v>80040068</v>
      </c>
      <c r="AD293" s="74"/>
      <c r="AE293" s="157"/>
      <c r="AF293" s="157"/>
      <c r="AG293" s="157"/>
      <c r="AH293" s="141"/>
    </row>
    <row r="294" spans="1:34" ht="18.75" customHeight="1">
      <c r="A294" s="45" t="s">
        <v>240</v>
      </c>
      <c r="B294" s="121">
        <v>6000026685</v>
      </c>
      <c r="C294" s="494" t="s">
        <v>2120</v>
      </c>
      <c r="D294" s="495"/>
      <c r="E294" s="74"/>
      <c r="F294" s="74"/>
      <c r="G294" s="45">
        <f t="shared" si="22"/>
        <v>0</v>
      </c>
      <c r="H294" s="119"/>
      <c r="I294" s="133"/>
      <c r="J294" s="158"/>
      <c r="K294" s="74"/>
      <c r="L294" s="162"/>
      <c r="M294" s="45"/>
      <c r="N294" s="45"/>
      <c r="O294" s="45"/>
      <c r="P294" s="74"/>
      <c r="Q294" s="74"/>
      <c r="R294" s="74"/>
      <c r="S294" s="74"/>
      <c r="T294" s="45"/>
      <c r="U294" s="45"/>
      <c r="V294" s="45"/>
      <c r="W294" s="151"/>
      <c r="X294" s="152"/>
      <c r="Y294" s="152"/>
      <c r="Z294" s="152"/>
      <c r="AA294" s="152">
        <f>J294-X294</f>
        <v>0</v>
      </c>
      <c r="AB294" s="152">
        <f>M294-Y294</f>
        <v>0</v>
      </c>
      <c r="AC294" s="74">
        <v>80040067</v>
      </c>
      <c r="AD294" s="74"/>
      <c r="AE294" s="157"/>
      <c r="AF294" s="157"/>
      <c r="AG294" s="157"/>
      <c r="AH294" s="141"/>
    </row>
    <row r="295" spans="1:34" ht="18.75" customHeight="1">
      <c r="A295" s="45" t="s">
        <v>240</v>
      </c>
      <c r="B295" s="121">
        <v>6000026203</v>
      </c>
      <c r="C295" s="494" t="s">
        <v>2120</v>
      </c>
      <c r="D295" s="495"/>
      <c r="E295" s="74"/>
      <c r="F295" s="74"/>
      <c r="G295" s="45">
        <f t="shared" si="22"/>
        <v>0</v>
      </c>
      <c r="H295" s="119"/>
      <c r="I295" s="128"/>
      <c r="J295" s="158"/>
      <c r="K295" s="74"/>
      <c r="L295" s="156"/>
      <c r="M295" s="45"/>
      <c r="N295" s="45"/>
      <c r="O295" s="45"/>
      <c r="P295" s="74"/>
      <c r="Q295" s="74"/>
      <c r="R295" s="74"/>
      <c r="S295" s="74"/>
      <c r="T295" s="45"/>
      <c r="U295" s="45"/>
      <c r="V295" s="45"/>
      <c r="W295" s="151"/>
      <c r="X295" s="152"/>
      <c r="Y295" s="152"/>
      <c r="Z295" s="152"/>
      <c r="AA295" s="152">
        <f>J295-X295</f>
        <v>0</v>
      </c>
      <c r="AB295" s="152">
        <f>M295-Y295</f>
        <v>0</v>
      </c>
      <c r="AC295" s="74">
        <v>80040063</v>
      </c>
      <c r="AD295" s="74"/>
      <c r="AE295" s="157"/>
      <c r="AF295" s="157"/>
      <c r="AG295" s="157"/>
      <c r="AH295" s="141"/>
    </row>
    <row r="296" spans="1:34" ht="18.75" customHeight="1">
      <c r="A296" s="45" t="s">
        <v>240</v>
      </c>
      <c r="B296" s="121">
        <v>6000026204</v>
      </c>
      <c r="C296" s="494" t="s">
        <v>2120</v>
      </c>
      <c r="D296" s="495"/>
      <c r="E296" s="74"/>
      <c r="F296" s="74"/>
      <c r="G296" s="45">
        <f t="shared" si="22"/>
        <v>0</v>
      </c>
      <c r="H296" s="119"/>
      <c r="I296" s="128"/>
      <c r="J296" s="158"/>
      <c r="K296" s="74"/>
      <c r="L296" s="156"/>
      <c r="M296" s="45"/>
      <c r="N296" s="45"/>
      <c r="O296" s="45"/>
      <c r="P296" s="74"/>
      <c r="Q296" s="74"/>
      <c r="R296" s="74"/>
      <c r="S296" s="74"/>
      <c r="T296" s="45"/>
      <c r="U296" s="45"/>
      <c r="V296" s="45"/>
      <c r="W296" s="151"/>
      <c r="X296" s="152"/>
      <c r="Y296" s="152"/>
      <c r="Z296" s="152"/>
      <c r="AA296" s="152">
        <f>J296-X296</f>
        <v>0</v>
      </c>
      <c r="AB296" s="152">
        <f>M296-Y296</f>
        <v>0</v>
      </c>
      <c r="AC296" s="74">
        <v>80040066</v>
      </c>
      <c r="AD296" s="74"/>
      <c r="AE296" s="157"/>
      <c r="AF296" s="157"/>
      <c r="AG296" s="157"/>
      <c r="AH296" s="141"/>
    </row>
    <row r="297" spans="1:34" ht="18.75" customHeight="1">
      <c r="A297" s="120" t="s">
        <v>1610</v>
      </c>
      <c r="B297" s="121">
        <v>6000026675</v>
      </c>
      <c r="C297" s="494" t="s">
        <v>2120</v>
      </c>
      <c r="D297" s="495"/>
      <c r="E297" s="74"/>
      <c r="F297" s="74"/>
      <c r="G297" s="45">
        <f t="shared" si="22"/>
        <v>0</v>
      </c>
      <c r="H297" s="119"/>
      <c r="I297" s="133"/>
      <c r="J297" s="158"/>
      <c r="K297" s="74"/>
      <c r="L297" s="162"/>
      <c r="M297" s="45"/>
      <c r="N297" s="45"/>
      <c r="O297" s="45"/>
      <c r="P297" s="74"/>
      <c r="Q297" s="74"/>
      <c r="R297" s="74"/>
      <c r="S297" s="74"/>
      <c r="T297" s="45"/>
      <c r="U297" s="45"/>
      <c r="V297" s="45"/>
      <c r="W297" s="151"/>
      <c r="X297" s="152"/>
      <c r="Y297" s="152"/>
      <c r="Z297" s="152"/>
      <c r="AA297" s="152">
        <f t="shared" ref="AA297:AA312" si="25">J297-X297</f>
        <v>0</v>
      </c>
      <c r="AB297" s="152">
        <f t="shared" ref="AB297:AB312" si="26">M297-Y297</f>
        <v>0</v>
      </c>
      <c r="AC297" s="74">
        <v>80040062</v>
      </c>
      <c r="AD297" s="74"/>
      <c r="AE297" s="157"/>
      <c r="AF297" s="157"/>
      <c r="AG297" s="157"/>
      <c r="AH297" s="141"/>
    </row>
    <row r="298" spans="1:34" ht="18.75" customHeight="1">
      <c r="A298" s="45" t="s">
        <v>652</v>
      </c>
      <c r="B298" s="121">
        <v>6000026531</v>
      </c>
      <c r="C298" s="74" t="s">
        <v>2060</v>
      </c>
      <c r="D298" s="45">
        <v>2342454</v>
      </c>
      <c r="E298" s="74">
        <v>10</v>
      </c>
      <c r="F298" s="74">
        <v>1875</v>
      </c>
      <c r="G298" s="45">
        <f t="shared" si="22"/>
        <v>18750</v>
      </c>
      <c r="H298" s="119" t="s">
        <v>46</v>
      </c>
      <c r="I298" s="128">
        <v>45252</v>
      </c>
      <c r="J298" s="158">
        <v>1875</v>
      </c>
      <c r="K298" s="74">
        <v>11</v>
      </c>
      <c r="L298" s="156">
        <v>45276</v>
      </c>
      <c r="M298" s="45">
        <v>18750</v>
      </c>
      <c r="N298" s="45">
        <v>150</v>
      </c>
      <c r="O298" s="45"/>
      <c r="P298" s="74" t="s">
        <v>1666</v>
      </c>
      <c r="Q298" s="74"/>
      <c r="R298" s="74"/>
      <c r="S298" s="158">
        <v>1785</v>
      </c>
      <c r="T298" s="45" t="s">
        <v>1666</v>
      </c>
      <c r="U298" s="45"/>
      <c r="V298" s="45"/>
      <c r="W298" s="127">
        <v>45279</v>
      </c>
      <c r="X298" s="152">
        <f>1000+875</f>
        <v>1875</v>
      </c>
      <c r="Y298" s="152">
        <f>10000+8750</f>
        <v>18750</v>
      </c>
      <c r="Z298" s="152" t="s">
        <v>800</v>
      </c>
      <c r="AA298" s="152">
        <f t="shared" si="25"/>
        <v>0</v>
      </c>
      <c r="AB298" s="152">
        <f t="shared" si="26"/>
        <v>0</v>
      </c>
      <c r="AC298" s="74"/>
      <c r="AD298" s="74"/>
      <c r="AE298" s="157"/>
      <c r="AF298" s="157"/>
      <c r="AG298" s="157"/>
      <c r="AH298" s="141"/>
    </row>
    <row r="299" spans="1:34" ht="19.5" customHeight="1">
      <c r="A299" s="45"/>
      <c r="B299" s="121"/>
      <c r="C299" s="74"/>
      <c r="D299" s="45"/>
      <c r="E299" s="74">
        <v>10</v>
      </c>
      <c r="F299" s="74">
        <v>550</v>
      </c>
      <c r="G299" s="45">
        <f t="shared" si="22"/>
        <v>5500</v>
      </c>
      <c r="H299" s="119" t="s">
        <v>146</v>
      </c>
      <c r="I299" s="128">
        <v>45252</v>
      </c>
      <c r="J299" s="158">
        <v>550</v>
      </c>
      <c r="K299" s="74">
        <v>7</v>
      </c>
      <c r="L299" s="156">
        <v>45278</v>
      </c>
      <c r="M299" s="45">
        <v>5500</v>
      </c>
      <c r="N299" s="45">
        <v>50</v>
      </c>
      <c r="O299" s="45"/>
      <c r="P299" s="74" t="s">
        <v>1666</v>
      </c>
      <c r="Q299" s="74"/>
      <c r="R299" s="74"/>
      <c r="S299" s="158">
        <v>550</v>
      </c>
      <c r="T299" s="45" t="s">
        <v>1666</v>
      </c>
      <c r="U299" s="45"/>
      <c r="V299" s="45"/>
      <c r="W299" s="127">
        <v>45278</v>
      </c>
      <c r="X299" s="152">
        <v>550</v>
      </c>
      <c r="Y299" s="152">
        <v>5500</v>
      </c>
      <c r="Z299" s="152" t="s">
        <v>800</v>
      </c>
      <c r="AA299" s="152">
        <f t="shared" si="25"/>
        <v>0</v>
      </c>
      <c r="AB299" s="152">
        <f t="shared" si="26"/>
        <v>0</v>
      </c>
      <c r="AC299" s="74" t="s">
        <v>1665</v>
      </c>
      <c r="AD299" s="74"/>
      <c r="AE299" s="157"/>
      <c r="AF299" s="157"/>
      <c r="AG299" s="157"/>
      <c r="AH299" s="141"/>
    </row>
    <row r="300" spans="1:34" ht="18.75" customHeight="1">
      <c r="A300" s="45" t="s">
        <v>652</v>
      </c>
      <c r="B300" s="121">
        <v>6000026532</v>
      </c>
      <c r="C300" s="74" t="s">
        <v>2060</v>
      </c>
      <c r="D300" s="45">
        <v>2342455</v>
      </c>
      <c r="E300" s="74">
        <v>10</v>
      </c>
      <c r="F300" s="74">
        <v>550</v>
      </c>
      <c r="G300" s="45">
        <f t="shared" si="22"/>
        <v>5500</v>
      </c>
      <c r="H300" s="119" t="s">
        <v>146</v>
      </c>
      <c r="I300" s="128">
        <v>45252</v>
      </c>
      <c r="J300" s="158">
        <v>550</v>
      </c>
      <c r="K300" s="74">
        <v>6</v>
      </c>
      <c r="L300" s="162" t="s">
        <v>2091</v>
      </c>
      <c r="M300" s="45">
        <v>5500</v>
      </c>
      <c r="N300" s="45">
        <v>50</v>
      </c>
      <c r="O300" s="45" t="s">
        <v>737</v>
      </c>
      <c r="P300" s="74" t="s">
        <v>1666</v>
      </c>
      <c r="Q300" s="74"/>
      <c r="R300" s="74"/>
      <c r="S300" s="158">
        <v>550</v>
      </c>
      <c r="T300" s="45" t="s">
        <v>2090</v>
      </c>
      <c r="U300" s="45"/>
      <c r="V300" s="45"/>
      <c r="W300" s="127">
        <v>45279</v>
      </c>
      <c r="X300" s="152">
        <v>550</v>
      </c>
      <c r="Y300" s="152">
        <v>5500</v>
      </c>
      <c r="Z300" s="152" t="s">
        <v>800</v>
      </c>
      <c r="AA300" s="152">
        <f t="shared" si="25"/>
        <v>0</v>
      </c>
      <c r="AB300" s="152">
        <f t="shared" si="26"/>
        <v>0</v>
      </c>
      <c r="AC300" s="74"/>
      <c r="AD300" s="74"/>
      <c r="AE300" s="157"/>
      <c r="AF300" s="157"/>
      <c r="AG300" s="157"/>
      <c r="AH300" s="141"/>
    </row>
    <row r="301" spans="1:34" ht="18.75" customHeight="1">
      <c r="A301" s="214" t="s">
        <v>1358</v>
      </c>
      <c r="B301" s="215">
        <v>6000026238</v>
      </c>
      <c r="C301" s="216" t="s">
        <v>2062</v>
      </c>
      <c r="D301" s="214" t="s">
        <v>2061</v>
      </c>
      <c r="E301" s="74">
        <v>20</v>
      </c>
      <c r="F301" s="74">
        <v>225</v>
      </c>
      <c r="G301" s="45">
        <f t="shared" si="22"/>
        <v>4500</v>
      </c>
      <c r="H301" s="119" t="s">
        <v>37</v>
      </c>
      <c r="I301" s="128">
        <v>45259</v>
      </c>
      <c r="J301" s="158">
        <v>225</v>
      </c>
      <c r="K301" s="74"/>
      <c r="L301" s="156">
        <v>45259</v>
      </c>
      <c r="M301" s="45">
        <v>4500</v>
      </c>
      <c r="N301" s="45"/>
      <c r="O301" s="45"/>
      <c r="P301" s="74" t="s">
        <v>1666</v>
      </c>
      <c r="Q301" s="74"/>
      <c r="R301" s="74"/>
      <c r="S301" s="158">
        <v>225</v>
      </c>
      <c r="T301" s="45" t="s">
        <v>1666</v>
      </c>
      <c r="U301" s="45"/>
      <c r="V301" s="45"/>
      <c r="W301" s="127">
        <v>45276</v>
      </c>
      <c r="X301" s="152">
        <v>225</v>
      </c>
      <c r="Y301" s="152">
        <v>4500</v>
      </c>
      <c r="Z301" s="152" t="s">
        <v>800</v>
      </c>
      <c r="AA301" s="152">
        <f t="shared" si="25"/>
        <v>0</v>
      </c>
      <c r="AB301" s="152">
        <f t="shared" si="26"/>
        <v>0</v>
      </c>
      <c r="AC301" s="74"/>
      <c r="AD301" s="74"/>
      <c r="AE301" s="157"/>
      <c r="AF301" s="157"/>
      <c r="AG301" s="157"/>
      <c r="AH301" s="141"/>
    </row>
    <row r="302" spans="1:34" ht="25.5" customHeight="1">
      <c r="A302" s="214" t="s">
        <v>2317</v>
      </c>
      <c r="B302" s="215">
        <v>6000026432</v>
      </c>
      <c r="C302" s="216" t="s">
        <v>379</v>
      </c>
      <c r="D302" s="214"/>
      <c r="E302" s="74">
        <v>10</v>
      </c>
      <c r="F302" s="74">
        <v>576</v>
      </c>
      <c r="G302" s="45">
        <f t="shared" si="22"/>
        <v>5760</v>
      </c>
      <c r="H302" s="119" t="s">
        <v>146</v>
      </c>
      <c r="I302" s="128">
        <v>45254</v>
      </c>
      <c r="J302" s="158">
        <v>576</v>
      </c>
      <c r="K302" s="74">
        <v>6</v>
      </c>
      <c r="L302" s="156">
        <v>45255</v>
      </c>
      <c r="M302" s="45">
        <v>5760</v>
      </c>
      <c r="N302" s="45">
        <v>58</v>
      </c>
      <c r="O302" s="45" t="s">
        <v>1567</v>
      </c>
      <c r="P302" s="74" t="s">
        <v>160</v>
      </c>
      <c r="Q302" s="74">
        <v>8500063532</v>
      </c>
      <c r="R302" s="74"/>
      <c r="S302" s="74"/>
      <c r="T302" s="45" t="s">
        <v>87</v>
      </c>
      <c r="U302" s="45"/>
      <c r="V302" s="45"/>
      <c r="W302" s="127">
        <v>45280</v>
      </c>
      <c r="X302" s="152">
        <v>576</v>
      </c>
      <c r="Y302" s="152">
        <v>5760</v>
      </c>
      <c r="Z302" s="152" t="s">
        <v>826</v>
      </c>
      <c r="AA302" s="152">
        <f t="shared" si="25"/>
        <v>0</v>
      </c>
      <c r="AB302" s="152">
        <f t="shared" si="26"/>
        <v>0</v>
      </c>
      <c r="AC302" s="74"/>
      <c r="AD302" s="74"/>
      <c r="AE302" s="157"/>
      <c r="AF302" s="157"/>
      <c r="AG302" s="157"/>
      <c r="AH302" s="141"/>
    </row>
    <row r="303" spans="1:34" ht="18.75" customHeight="1">
      <c r="A303" s="214" t="s">
        <v>254</v>
      </c>
      <c r="B303" s="215">
        <v>6000026648</v>
      </c>
      <c r="C303" s="216" t="s">
        <v>2124</v>
      </c>
      <c r="D303" s="214" t="s">
        <v>2125</v>
      </c>
      <c r="E303" s="74">
        <v>30</v>
      </c>
      <c r="F303" s="74">
        <v>60</v>
      </c>
      <c r="G303" s="45">
        <f t="shared" si="22"/>
        <v>1800</v>
      </c>
      <c r="H303" s="119" t="s">
        <v>46</v>
      </c>
      <c r="I303" s="128">
        <v>45259</v>
      </c>
      <c r="J303" s="158">
        <v>60</v>
      </c>
      <c r="K303" s="74">
        <v>0</v>
      </c>
      <c r="L303" s="156">
        <v>45259</v>
      </c>
      <c r="M303" s="45">
        <v>1800</v>
      </c>
      <c r="N303" s="45">
        <v>9</v>
      </c>
      <c r="O303" s="45"/>
      <c r="P303" s="74" t="s">
        <v>1666</v>
      </c>
      <c r="Q303" s="74"/>
      <c r="R303" s="74"/>
      <c r="S303" s="74"/>
      <c r="T303" s="45" t="s">
        <v>1666</v>
      </c>
      <c r="U303" s="45"/>
      <c r="V303" s="45"/>
      <c r="W303" s="127">
        <v>45282</v>
      </c>
      <c r="X303" s="152">
        <v>60</v>
      </c>
      <c r="Y303" s="152">
        <v>1800</v>
      </c>
      <c r="Z303" s="152" t="s">
        <v>800</v>
      </c>
      <c r="AA303" s="152">
        <f t="shared" si="25"/>
        <v>0</v>
      </c>
      <c r="AB303" s="152">
        <f t="shared" si="26"/>
        <v>0</v>
      </c>
      <c r="AC303" s="74"/>
      <c r="AD303" s="74"/>
      <c r="AE303" s="157"/>
      <c r="AF303" s="157"/>
      <c r="AG303" s="157"/>
      <c r="AH303" s="141"/>
    </row>
    <row r="304" spans="1:34" ht="18.75" customHeight="1">
      <c r="A304" s="214"/>
      <c r="B304" s="215"/>
      <c r="C304" s="216" t="s">
        <v>2124</v>
      </c>
      <c r="D304" s="214" t="s">
        <v>2125</v>
      </c>
      <c r="E304" s="74">
        <v>30</v>
      </c>
      <c r="F304" s="74">
        <v>20</v>
      </c>
      <c r="G304" s="45">
        <f t="shared" si="22"/>
        <v>600</v>
      </c>
      <c r="H304" s="119" t="s">
        <v>37</v>
      </c>
      <c r="I304" s="128">
        <v>45279</v>
      </c>
      <c r="J304" s="158">
        <v>20</v>
      </c>
      <c r="K304" s="74"/>
      <c r="L304" s="156">
        <v>45279</v>
      </c>
      <c r="M304" s="45">
        <v>600</v>
      </c>
      <c r="N304" s="45"/>
      <c r="O304" s="45"/>
      <c r="P304" s="74" t="s">
        <v>1666</v>
      </c>
      <c r="Q304" s="74"/>
      <c r="R304" s="74"/>
      <c r="S304" s="74"/>
      <c r="T304" s="45" t="s">
        <v>1666</v>
      </c>
      <c r="U304" s="45"/>
      <c r="V304" s="45"/>
      <c r="W304" s="127">
        <v>45281</v>
      </c>
      <c r="X304" s="152">
        <v>20</v>
      </c>
      <c r="Y304" s="152">
        <v>600</v>
      </c>
      <c r="Z304" s="152" t="s">
        <v>800</v>
      </c>
      <c r="AA304" s="152">
        <f t="shared" si="25"/>
        <v>0</v>
      </c>
      <c r="AB304" s="152">
        <f t="shared" si="26"/>
        <v>0</v>
      </c>
      <c r="AC304" s="74"/>
      <c r="AD304" s="74"/>
      <c r="AE304" s="157"/>
      <c r="AF304" s="157"/>
      <c r="AG304" s="157"/>
      <c r="AH304" s="141"/>
    </row>
    <row r="305" spans="1:34" ht="18.75" customHeight="1">
      <c r="A305" s="214" t="s">
        <v>296</v>
      </c>
      <c r="B305" s="215">
        <v>6000026782</v>
      </c>
      <c r="C305" s="216" t="s">
        <v>297</v>
      </c>
      <c r="D305" s="214"/>
      <c r="E305" s="74">
        <v>10</v>
      </c>
      <c r="F305" s="74">
        <v>100</v>
      </c>
      <c r="G305" s="45">
        <f t="shared" si="22"/>
        <v>1000</v>
      </c>
      <c r="H305" s="119" t="s">
        <v>37</v>
      </c>
      <c r="I305" s="128">
        <v>45259</v>
      </c>
      <c r="J305" s="158">
        <v>100</v>
      </c>
      <c r="K305" s="74">
        <v>2</v>
      </c>
      <c r="L305" s="156">
        <v>45259</v>
      </c>
      <c r="M305" s="45">
        <v>1000</v>
      </c>
      <c r="N305" s="45">
        <v>5</v>
      </c>
      <c r="O305" s="45"/>
      <c r="P305" s="74" t="s">
        <v>1666</v>
      </c>
      <c r="Q305" s="74"/>
      <c r="R305" s="74"/>
      <c r="S305" s="74"/>
      <c r="T305" s="45" t="s">
        <v>1666</v>
      </c>
      <c r="U305" s="45"/>
      <c r="V305" s="45"/>
      <c r="W305" s="127">
        <v>45287</v>
      </c>
      <c r="X305" s="152">
        <v>100</v>
      </c>
      <c r="Y305" s="152">
        <v>1000</v>
      </c>
      <c r="Z305" s="152" t="s">
        <v>800</v>
      </c>
      <c r="AA305" s="152">
        <f t="shared" si="25"/>
        <v>0</v>
      </c>
      <c r="AB305" s="152">
        <f t="shared" si="26"/>
        <v>0</v>
      </c>
      <c r="AC305" s="74"/>
      <c r="AD305" s="74"/>
      <c r="AE305" s="157"/>
      <c r="AF305" s="157"/>
      <c r="AG305" s="157"/>
      <c r="AH305" s="141"/>
    </row>
    <row r="306" spans="1:34" ht="18.75" customHeight="1">
      <c r="A306" s="214" t="s">
        <v>382</v>
      </c>
      <c r="B306" s="215">
        <v>6000026740</v>
      </c>
      <c r="C306" s="216" t="s">
        <v>383</v>
      </c>
      <c r="D306" s="214"/>
      <c r="E306" s="74">
        <v>10</v>
      </c>
      <c r="F306" s="74">
        <v>190</v>
      </c>
      <c r="G306" s="45">
        <f t="shared" si="22"/>
        <v>1900</v>
      </c>
      <c r="H306" s="119" t="s">
        <v>37</v>
      </c>
      <c r="I306" s="128">
        <v>45259</v>
      </c>
      <c r="J306" s="158">
        <v>190</v>
      </c>
      <c r="K306" s="74">
        <f>3+3</f>
        <v>6</v>
      </c>
      <c r="L306" s="156">
        <v>45259</v>
      </c>
      <c r="M306" s="45">
        <v>1900</v>
      </c>
      <c r="N306" s="45">
        <v>19</v>
      </c>
      <c r="O306" s="45"/>
      <c r="P306" s="74" t="s">
        <v>1666</v>
      </c>
      <c r="Q306" s="74"/>
      <c r="R306" s="74"/>
      <c r="S306" s="158">
        <v>190</v>
      </c>
      <c r="T306" s="45" t="s">
        <v>1666</v>
      </c>
      <c r="U306" s="45"/>
      <c r="V306" s="45"/>
      <c r="W306" s="127">
        <v>45282</v>
      </c>
      <c r="X306" s="152">
        <v>190</v>
      </c>
      <c r="Y306" s="152">
        <v>1900</v>
      </c>
      <c r="Z306" s="152" t="s">
        <v>800</v>
      </c>
      <c r="AA306" s="152">
        <f t="shared" si="25"/>
        <v>0</v>
      </c>
      <c r="AB306" s="152">
        <f t="shared" si="26"/>
        <v>0</v>
      </c>
      <c r="AC306" s="74"/>
      <c r="AD306" s="74"/>
      <c r="AE306" s="157"/>
      <c r="AF306" s="157"/>
      <c r="AG306" s="157"/>
      <c r="AH306" s="141"/>
    </row>
    <row r="307" spans="1:34" ht="18.75" customHeight="1">
      <c r="A307" s="214" t="s">
        <v>382</v>
      </c>
      <c r="B307" s="215">
        <v>6000026740</v>
      </c>
      <c r="C307" s="216" t="s">
        <v>404</v>
      </c>
      <c r="D307" s="214"/>
      <c r="E307" s="74"/>
      <c r="F307" s="74">
        <v>100</v>
      </c>
      <c r="G307" s="45">
        <v>1000</v>
      </c>
      <c r="H307" s="119" t="s">
        <v>37</v>
      </c>
      <c r="I307" s="128">
        <v>45279</v>
      </c>
      <c r="J307" s="158">
        <v>100</v>
      </c>
      <c r="K307" s="74"/>
      <c r="L307" s="156">
        <v>48567</v>
      </c>
      <c r="M307" s="45">
        <v>1000</v>
      </c>
      <c r="N307" s="45"/>
      <c r="O307" s="45"/>
      <c r="P307" s="74" t="s">
        <v>1666</v>
      </c>
      <c r="Q307" s="74"/>
      <c r="R307" s="74"/>
      <c r="S307" s="158"/>
      <c r="T307" s="45" t="s">
        <v>1666</v>
      </c>
      <c r="U307" s="45"/>
      <c r="V307" s="45"/>
      <c r="W307" s="127">
        <v>45281</v>
      </c>
      <c r="X307" s="152">
        <v>100</v>
      </c>
      <c r="Y307" s="152">
        <v>1000</v>
      </c>
      <c r="Z307" s="152" t="s">
        <v>800</v>
      </c>
      <c r="AA307" s="152">
        <f t="shared" si="25"/>
        <v>0</v>
      </c>
      <c r="AB307" s="152">
        <f t="shared" si="26"/>
        <v>0</v>
      </c>
      <c r="AC307" s="74"/>
      <c r="AD307" s="74"/>
      <c r="AE307" s="157"/>
      <c r="AF307" s="157"/>
      <c r="AG307" s="157"/>
      <c r="AH307" s="141"/>
    </row>
    <row r="308" spans="1:34" ht="20.25" customHeight="1">
      <c r="A308" s="214" t="s">
        <v>240</v>
      </c>
      <c r="B308" s="215">
        <v>6000026898</v>
      </c>
      <c r="C308" s="216" t="s">
        <v>241</v>
      </c>
      <c r="D308" s="214"/>
      <c r="E308" s="74"/>
      <c r="F308" s="74"/>
      <c r="G308" s="45">
        <f t="shared" si="22"/>
        <v>0</v>
      </c>
      <c r="H308" s="119" t="s">
        <v>46</v>
      </c>
      <c r="I308" s="128">
        <v>45265</v>
      </c>
      <c r="J308" s="158">
        <v>100</v>
      </c>
      <c r="K308" s="74"/>
      <c r="L308" s="156">
        <v>45283</v>
      </c>
      <c r="M308" s="45">
        <v>3000</v>
      </c>
      <c r="N308" s="45"/>
      <c r="O308" s="45"/>
      <c r="P308" s="74" t="s">
        <v>1666</v>
      </c>
      <c r="Q308" s="74"/>
      <c r="R308" s="74"/>
      <c r="S308" s="74"/>
      <c r="T308" s="45" t="s">
        <v>1666</v>
      </c>
      <c r="U308" s="45"/>
      <c r="V308" s="45"/>
      <c r="W308" s="127">
        <v>45283</v>
      </c>
      <c r="X308" s="152">
        <v>100</v>
      </c>
      <c r="Y308" s="152">
        <v>3000</v>
      </c>
      <c r="Z308" s="152" t="s">
        <v>800</v>
      </c>
      <c r="AA308" s="152">
        <f t="shared" si="25"/>
        <v>0</v>
      </c>
      <c r="AB308" s="152">
        <f t="shared" si="26"/>
        <v>0</v>
      </c>
      <c r="AC308" s="74"/>
      <c r="AD308" s="74"/>
      <c r="AE308" s="157"/>
      <c r="AF308" s="157"/>
      <c r="AG308" s="157"/>
      <c r="AH308" s="141"/>
    </row>
    <row r="309" spans="1:34" ht="23.25" customHeight="1">
      <c r="A309" s="214" t="s">
        <v>382</v>
      </c>
      <c r="B309" s="215">
        <v>6000026735</v>
      </c>
      <c r="C309" s="216" t="s">
        <v>383</v>
      </c>
      <c r="D309" s="214"/>
      <c r="E309" s="231"/>
      <c r="F309" s="157"/>
      <c r="G309" s="45">
        <f t="shared" si="22"/>
        <v>0</v>
      </c>
      <c r="H309" s="236" t="s">
        <v>243</v>
      </c>
      <c r="I309" s="128">
        <v>45278</v>
      </c>
      <c r="J309" s="158">
        <v>1780</v>
      </c>
      <c r="K309" s="158"/>
      <c r="L309" s="237">
        <v>45278</v>
      </c>
      <c r="M309" s="234">
        <v>17800</v>
      </c>
      <c r="N309" s="234"/>
      <c r="O309" s="234"/>
      <c r="P309" s="74" t="s">
        <v>1666</v>
      </c>
      <c r="Q309" s="158"/>
      <c r="R309" s="158"/>
      <c r="S309" s="158"/>
      <c r="T309" s="45" t="s">
        <v>1666</v>
      </c>
      <c r="U309" s="234"/>
      <c r="V309" s="234"/>
      <c r="W309" s="241" t="s">
        <v>2271</v>
      </c>
      <c r="X309" s="210">
        <f>1380+400</f>
        <v>1780</v>
      </c>
      <c r="Y309" s="210">
        <f>13800+4000</f>
        <v>17800</v>
      </c>
      <c r="Z309" s="210" t="s">
        <v>800</v>
      </c>
      <c r="AA309" s="210">
        <f t="shared" si="25"/>
        <v>0</v>
      </c>
      <c r="AB309" s="152">
        <f t="shared" si="26"/>
        <v>0</v>
      </c>
    </row>
    <row r="310" spans="1:34" ht="25.5" customHeight="1">
      <c r="A310" s="214" t="s">
        <v>865</v>
      </c>
      <c r="B310" s="215">
        <v>6000027055</v>
      </c>
      <c r="C310" s="216" t="s">
        <v>2246</v>
      </c>
      <c r="D310" s="214"/>
      <c r="E310" s="231"/>
      <c r="F310" s="157"/>
      <c r="G310" s="45">
        <f t="shared" si="22"/>
        <v>0</v>
      </c>
      <c r="H310" s="236" t="s">
        <v>243</v>
      </c>
      <c r="I310" s="128">
        <v>48566</v>
      </c>
      <c r="J310" s="158">
        <v>376</v>
      </c>
      <c r="K310" s="158"/>
      <c r="L310" s="237">
        <v>45279</v>
      </c>
      <c r="M310" s="234">
        <v>11280</v>
      </c>
      <c r="N310" s="234"/>
      <c r="O310" s="234"/>
      <c r="P310" s="74" t="s">
        <v>1666</v>
      </c>
      <c r="Q310" s="158"/>
      <c r="R310" s="158"/>
      <c r="S310" s="158"/>
      <c r="T310" s="45" t="s">
        <v>1666</v>
      </c>
      <c r="U310" s="234"/>
      <c r="V310" s="234"/>
      <c r="W310" s="241">
        <v>45281</v>
      </c>
      <c r="X310" s="210">
        <v>376</v>
      </c>
      <c r="Y310" s="210">
        <v>11280</v>
      </c>
      <c r="Z310" s="210" t="s">
        <v>800</v>
      </c>
      <c r="AA310" s="210">
        <f t="shared" si="25"/>
        <v>0</v>
      </c>
      <c r="AB310" s="152">
        <f t="shared" si="26"/>
        <v>0</v>
      </c>
    </row>
    <row r="311" spans="1:34" s="97" customFormat="1" ht="26.25" customHeight="1">
      <c r="A311" s="90" t="s">
        <v>1610</v>
      </c>
      <c r="B311" s="88">
        <v>6000027473</v>
      </c>
      <c r="C311" s="2" t="s">
        <v>1611</v>
      </c>
      <c r="D311" s="250" t="s">
        <v>3207</v>
      </c>
      <c r="E311" s="94">
        <v>4</v>
      </c>
      <c r="F311" s="74">
        <v>550</v>
      </c>
      <c r="G311" s="45">
        <f t="shared" si="22"/>
        <v>2200</v>
      </c>
      <c r="H311" s="119" t="s">
        <v>27</v>
      </c>
      <c r="I311" s="133" t="s">
        <v>2327</v>
      </c>
      <c r="J311" s="74">
        <v>550</v>
      </c>
      <c r="K311" s="45"/>
      <c r="L311" s="156" t="s">
        <v>2328</v>
      </c>
      <c r="M311" s="90">
        <v>2200</v>
      </c>
      <c r="N311" s="90"/>
      <c r="O311" s="90"/>
      <c r="P311" s="94" t="s">
        <v>2311</v>
      </c>
      <c r="Q311" s="94"/>
      <c r="R311" s="94"/>
      <c r="S311" s="74">
        <v>550</v>
      </c>
      <c r="T311" s="90"/>
      <c r="U311" s="90"/>
      <c r="V311" s="90"/>
      <c r="W311" s="109">
        <v>45294</v>
      </c>
      <c r="X311" s="106">
        <v>550</v>
      </c>
      <c r="Y311" s="106">
        <v>2200</v>
      </c>
      <c r="Z311" s="106" t="s">
        <v>800</v>
      </c>
      <c r="AA311" s="106">
        <f t="shared" si="25"/>
        <v>0</v>
      </c>
      <c r="AB311" s="106">
        <f t="shared" si="26"/>
        <v>0</v>
      </c>
      <c r="AC311" s="94"/>
      <c r="AD311" s="94"/>
      <c r="AE311" s="110"/>
      <c r="AF311" s="110"/>
      <c r="AG311" s="110"/>
      <c r="AH311" s="99"/>
    </row>
    <row r="312" spans="1:34" s="97" customFormat="1" ht="26.25" customHeight="1">
      <c r="A312" s="90"/>
      <c r="B312" s="88"/>
      <c r="C312" s="94"/>
      <c r="D312" s="95"/>
      <c r="E312" s="94">
        <v>4</v>
      </c>
      <c r="F312" s="74">
        <v>510</v>
      </c>
      <c r="G312" s="45">
        <v>2040</v>
      </c>
      <c r="H312" s="119" t="s">
        <v>46</v>
      </c>
      <c r="I312" s="133" t="s">
        <v>2327</v>
      </c>
      <c r="J312" s="74">
        <v>510</v>
      </c>
      <c r="K312" s="45"/>
      <c r="L312" s="156" t="s">
        <v>2328</v>
      </c>
      <c r="M312" s="90">
        <v>2040</v>
      </c>
      <c r="N312" s="90"/>
      <c r="O312" s="90"/>
      <c r="P312" s="94" t="s">
        <v>2311</v>
      </c>
      <c r="Q312" s="94"/>
      <c r="R312" s="94"/>
      <c r="S312" s="74">
        <v>510</v>
      </c>
      <c r="T312" s="90"/>
      <c r="U312" s="90"/>
      <c r="V312" s="90"/>
      <c r="W312" s="109">
        <v>45294</v>
      </c>
      <c r="X312" s="106">
        <v>510</v>
      </c>
      <c r="Y312" s="106">
        <v>2040</v>
      </c>
      <c r="Z312" s="106" t="s">
        <v>800</v>
      </c>
      <c r="AA312" s="106">
        <f t="shared" si="25"/>
        <v>0</v>
      </c>
      <c r="AB312" s="106">
        <f t="shared" si="26"/>
        <v>0</v>
      </c>
      <c r="AC312" s="94"/>
      <c r="AD312" s="94"/>
      <c r="AE312" s="110"/>
      <c r="AF312" s="110"/>
      <c r="AG312" s="110"/>
      <c r="AH312" s="99"/>
    </row>
    <row r="313" spans="1:34" ht="18.75" customHeight="1">
      <c r="A313" s="214" t="s">
        <v>254</v>
      </c>
      <c r="B313" s="230">
        <v>6000026635</v>
      </c>
      <c r="C313" s="231" t="s">
        <v>255</v>
      </c>
      <c r="D313" s="232" t="s">
        <v>2309</v>
      </c>
      <c r="E313" s="231"/>
      <c r="F313" s="157"/>
      <c r="G313" s="229"/>
      <c r="H313" s="236" t="s">
        <v>37</v>
      </c>
      <c r="I313" s="128">
        <v>45288</v>
      </c>
      <c r="J313" s="158">
        <v>30</v>
      </c>
      <c r="K313" s="158">
        <v>2</v>
      </c>
      <c r="L313" s="237">
        <v>45288</v>
      </c>
      <c r="M313" s="234">
        <v>900</v>
      </c>
      <c r="N313" s="234"/>
      <c r="O313" s="234"/>
      <c r="P313" s="74" t="s">
        <v>1666</v>
      </c>
      <c r="Q313" s="158"/>
      <c r="R313" s="158"/>
      <c r="S313" s="158">
        <v>30</v>
      </c>
      <c r="T313" s="45" t="s">
        <v>1666</v>
      </c>
      <c r="U313" s="234"/>
      <c r="V313" s="234"/>
      <c r="W313" s="241">
        <v>45288</v>
      </c>
      <c r="X313" s="210">
        <v>30</v>
      </c>
      <c r="Y313" s="210">
        <v>900</v>
      </c>
      <c r="Z313" s="210" t="s">
        <v>800</v>
      </c>
      <c r="AA313" s="210">
        <f>J313-X313</f>
        <v>0</v>
      </c>
      <c r="AB313" s="152">
        <f>M313-Y313</f>
        <v>0</v>
      </c>
    </row>
    <row r="314" spans="1:34" ht="18.75" customHeight="1">
      <c r="A314" s="214" t="s">
        <v>254</v>
      </c>
      <c r="B314" s="230">
        <v>6000026654</v>
      </c>
      <c r="C314" s="231" t="s">
        <v>255</v>
      </c>
      <c r="D314" s="232" t="s">
        <v>2125</v>
      </c>
      <c r="E314" s="231"/>
      <c r="F314" s="157"/>
      <c r="G314" s="229"/>
      <c r="H314" s="236" t="s">
        <v>37</v>
      </c>
      <c r="I314" s="128">
        <v>45288</v>
      </c>
      <c r="J314" s="158">
        <v>50</v>
      </c>
      <c r="K314" s="158">
        <v>2</v>
      </c>
      <c r="L314" s="237">
        <v>45288</v>
      </c>
      <c r="M314" s="234">
        <v>1500</v>
      </c>
      <c r="N314" s="234"/>
      <c r="O314" s="234"/>
      <c r="P314" s="74" t="s">
        <v>1666</v>
      </c>
      <c r="Q314" s="158"/>
      <c r="R314" s="158"/>
      <c r="S314" s="158">
        <v>50</v>
      </c>
      <c r="T314" s="45" t="s">
        <v>1666</v>
      </c>
      <c r="U314" s="234"/>
      <c r="V314" s="234"/>
      <c r="W314" s="241">
        <v>45288</v>
      </c>
      <c r="X314" s="210">
        <v>50</v>
      </c>
      <c r="Y314" s="210">
        <v>1500</v>
      </c>
      <c r="Z314" s="210" t="s">
        <v>800</v>
      </c>
      <c r="AA314" s="210">
        <f>J314-X314</f>
        <v>0</v>
      </c>
      <c r="AB314" s="152">
        <f>M314-Y314</f>
        <v>0</v>
      </c>
    </row>
    <row r="315" spans="1:34" ht="18.75" customHeight="1">
      <c r="A315" s="229" t="s">
        <v>804</v>
      </c>
      <c r="B315" s="230">
        <v>6000027097</v>
      </c>
      <c r="C315" s="231" t="s">
        <v>807</v>
      </c>
      <c r="D315" s="232"/>
      <c r="E315" s="231"/>
      <c r="F315" s="157"/>
      <c r="G315" s="229"/>
      <c r="H315" s="236" t="s">
        <v>146</v>
      </c>
      <c r="I315" s="128">
        <v>45293</v>
      </c>
      <c r="J315" s="158">
        <v>100</v>
      </c>
      <c r="K315" s="158"/>
      <c r="L315" s="237">
        <v>45293</v>
      </c>
      <c r="M315" s="234">
        <v>1000</v>
      </c>
      <c r="N315" s="234"/>
      <c r="O315" s="254" t="s">
        <v>1374</v>
      </c>
      <c r="P315" s="74" t="s">
        <v>1666</v>
      </c>
      <c r="Q315" s="158"/>
      <c r="R315" s="158"/>
      <c r="S315" s="158">
        <v>100</v>
      </c>
      <c r="T315" s="45" t="s">
        <v>1666</v>
      </c>
      <c r="U315" s="234"/>
      <c r="V315" s="234"/>
      <c r="W315" s="241">
        <v>45322</v>
      </c>
      <c r="X315" s="210">
        <v>100</v>
      </c>
      <c r="Y315" s="210">
        <v>1000</v>
      </c>
      <c r="Z315" s="210" t="s">
        <v>759</v>
      </c>
      <c r="AA315" s="210">
        <f t="shared" ref="AA315:AA322" si="27">J315-X315</f>
        <v>0</v>
      </c>
      <c r="AB315" s="152">
        <f t="shared" ref="AB315:AB322" si="28">M315-Y315</f>
        <v>0</v>
      </c>
    </row>
    <row r="316" spans="1:34" ht="18.75" customHeight="1">
      <c r="A316" s="229" t="s">
        <v>804</v>
      </c>
      <c r="B316" s="230">
        <v>6000027099</v>
      </c>
      <c r="C316" s="231" t="s">
        <v>807</v>
      </c>
      <c r="D316" s="232"/>
      <c r="E316" s="231"/>
      <c r="F316" s="157"/>
      <c r="G316" s="229"/>
      <c r="H316" s="236" t="s">
        <v>146</v>
      </c>
      <c r="I316" s="128">
        <v>45293</v>
      </c>
      <c r="J316" s="158">
        <v>100</v>
      </c>
      <c r="K316" s="158"/>
      <c r="L316" s="237">
        <v>45293</v>
      </c>
      <c r="M316" s="234">
        <v>1000</v>
      </c>
      <c r="N316" s="234"/>
      <c r="O316" s="254" t="s">
        <v>1374</v>
      </c>
      <c r="P316" s="74" t="s">
        <v>1666</v>
      </c>
      <c r="Q316" s="158"/>
      <c r="R316" s="158"/>
      <c r="S316" s="158"/>
      <c r="T316" s="45" t="s">
        <v>1666</v>
      </c>
      <c r="U316" s="234"/>
      <c r="V316" s="234"/>
      <c r="W316" s="241">
        <v>45324</v>
      </c>
      <c r="X316" s="210">
        <v>100</v>
      </c>
      <c r="Y316" s="210">
        <v>1000</v>
      </c>
      <c r="Z316" s="210" t="s">
        <v>759</v>
      </c>
      <c r="AA316" s="210">
        <f t="shared" si="27"/>
        <v>0</v>
      </c>
      <c r="AB316" s="152">
        <f t="shared" si="28"/>
        <v>0</v>
      </c>
    </row>
    <row r="317" spans="1:34" ht="18.75" customHeight="1">
      <c r="A317" s="229" t="s">
        <v>804</v>
      </c>
      <c r="B317" s="230">
        <v>6000026302</v>
      </c>
      <c r="C317" s="231" t="s">
        <v>2346</v>
      </c>
      <c r="D317" s="232"/>
      <c r="E317" s="231"/>
      <c r="F317" s="157"/>
      <c r="G317" s="229"/>
      <c r="H317" s="236" t="s">
        <v>146</v>
      </c>
      <c r="I317" s="128">
        <v>45293</v>
      </c>
      <c r="J317" s="158">
        <v>200</v>
      </c>
      <c r="K317" s="158"/>
      <c r="L317" s="237">
        <v>45293</v>
      </c>
      <c r="M317" s="234">
        <v>2000</v>
      </c>
      <c r="N317" s="234"/>
      <c r="O317" s="254" t="s">
        <v>1374</v>
      </c>
      <c r="P317" s="74" t="s">
        <v>1666</v>
      </c>
      <c r="Q317" s="158"/>
      <c r="R317" s="158"/>
      <c r="S317" s="158"/>
      <c r="T317" s="45" t="s">
        <v>1666</v>
      </c>
      <c r="U317" s="234"/>
      <c r="V317" s="234"/>
      <c r="W317" s="241">
        <v>45324</v>
      </c>
      <c r="X317" s="210">
        <v>200</v>
      </c>
      <c r="Y317" s="210">
        <v>2000</v>
      </c>
      <c r="Z317" s="210" t="s">
        <v>759</v>
      </c>
      <c r="AA317" s="210">
        <f t="shared" si="27"/>
        <v>0</v>
      </c>
      <c r="AB317" s="152">
        <f t="shared" si="28"/>
        <v>0</v>
      </c>
    </row>
    <row r="318" spans="1:34" ht="18.75" customHeight="1">
      <c r="A318" s="83" t="s">
        <v>1727</v>
      </c>
      <c r="B318" s="230">
        <v>6000027424</v>
      </c>
      <c r="C318" s="231" t="s">
        <v>2299</v>
      </c>
      <c r="D318" s="232" t="s">
        <v>2771</v>
      </c>
      <c r="E318" s="231"/>
      <c r="F318" s="157"/>
      <c r="G318" s="229"/>
      <c r="H318" s="236" t="s">
        <v>146</v>
      </c>
      <c r="I318" s="128">
        <v>45293</v>
      </c>
      <c r="J318" s="158">
        <v>1220</v>
      </c>
      <c r="K318" s="158"/>
      <c r="L318" s="237">
        <v>45293</v>
      </c>
      <c r="M318" s="234">
        <v>12200</v>
      </c>
      <c r="N318" s="234"/>
      <c r="O318" s="254"/>
      <c r="P318" s="74" t="s">
        <v>1666</v>
      </c>
      <c r="Q318" s="158"/>
      <c r="R318" s="158"/>
      <c r="S318" s="158"/>
      <c r="T318" s="45" t="s">
        <v>1666</v>
      </c>
      <c r="U318" s="234"/>
      <c r="V318" s="234"/>
      <c r="W318" s="241">
        <v>45324</v>
      </c>
      <c r="X318" s="210">
        <v>1220</v>
      </c>
      <c r="Y318" s="210">
        <v>12200</v>
      </c>
      <c r="Z318" s="210" t="s">
        <v>759</v>
      </c>
      <c r="AA318" s="210">
        <f t="shared" si="27"/>
        <v>0</v>
      </c>
      <c r="AB318" s="152">
        <f t="shared" si="28"/>
        <v>0</v>
      </c>
    </row>
    <row r="319" spans="1:34" ht="18.75" customHeight="1">
      <c r="A319" s="229" t="s">
        <v>804</v>
      </c>
      <c r="B319" s="230">
        <v>6000027104</v>
      </c>
      <c r="C319" s="231" t="s">
        <v>2346</v>
      </c>
      <c r="D319" s="232"/>
      <c r="E319" s="231"/>
      <c r="F319" s="157"/>
      <c r="G319" s="229"/>
      <c r="H319" s="236" t="s">
        <v>146</v>
      </c>
      <c r="I319" s="128">
        <v>45293</v>
      </c>
      <c r="J319" s="158">
        <v>100</v>
      </c>
      <c r="K319" s="158"/>
      <c r="L319" s="237">
        <v>45293</v>
      </c>
      <c r="M319" s="234">
        <v>1000</v>
      </c>
      <c r="N319" s="234"/>
      <c r="O319" s="254" t="s">
        <v>1374</v>
      </c>
      <c r="P319" s="74" t="s">
        <v>1666</v>
      </c>
      <c r="Q319" s="158"/>
      <c r="R319" s="158"/>
      <c r="S319" s="158">
        <v>100</v>
      </c>
      <c r="T319" s="45" t="s">
        <v>1666</v>
      </c>
      <c r="U319" s="234"/>
      <c r="V319" s="234"/>
      <c r="W319" s="241">
        <v>45324</v>
      </c>
      <c r="X319" s="210">
        <v>100</v>
      </c>
      <c r="Y319" s="210">
        <v>1000</v>
      </c>
      <c r="Z319" s="210" t="s">
        <v>759</v>
      </c>
      <c r="AA319" s="210">
        <f t="shared" si="27"/>
        <v>0</v>
      </c>
      <c r="AB319" s="152">
        <f t="shared" si="28"/>
        <v>0</v>
      </c>
    </row>
    <row r="320" spans="1:34" ht="18.75" customHeight="1">
      <c r="A320" s="229"/>
      <c r="B320" s="230"/>
      <c r="C320" s="231"/>
      <c r="D320" s="232"/>
      <c r="E320" s="231"/>
      <c r="F320" s="157"/>
      <c r="G320" s="229"/>
      <c r="H320" s="236"/>
      <c r="I320" s="133"/>
      <c r="J320" s="158"/>
      <c r="K320" s="158"/>
      <c r="L320" s="233"/>
      <c r="M320" s="234"/>
      <c r="N320" s="234"/>
      <c r="O320" s="254"/>
      <c r="P320" s="158"/>
      <c r="Q320" s="158"/>
      <c r="R320" s="158"/>
      <c r="S320" s="158"/>
      <c r="T320" s="234"/>
      <c r="U320" s="234"/>
      <c r="V320" s="234"/>
      <c r="W320" s="235"/>
      <c r="X320" s="210"/>
      <c r="Y320" s="210"/>
      <c r="Z320" s="210"/>
      <c r="AA320" s="210">
        <f t="shared" si="27"/>
        <v>0</v>
      </c>
      <c r="AB320" s="152">
        <f t="shared" si="28"/>
        <v>0</v>
      </c>
    </row>
    <row r="321" spans="16:28" ht="18.75" customHeight="1">
      <c r="P321" s="158"/>
      <c r="Q321" s="158"/>
      <c r="R321" s="158"/>
      <c r="S321" s="158"/>
      <c r="T321" s="234"/>
      <c r="U321" s="234"/>
      <c r="V321" s="234"/>
      <c r="W321" s="235"/>
      <c r="X321" s="210"/>
      <c r="Y321" s="210"/>
      <c r="Z321" s="210"/>
      <c r="AA321" s="210">
        <f t="shared" si="27"/>
        <v>0</v>
      </c>
      <c r="AB321" s="152">
        <f t="shared" si="28"/>
        <v>0</v>
      </c>
    </row>
    <row r="322" spans="16:28" ht="18.75" customHeight="1">
      <c r="P322" s="158"/>
      <c r="Q322" s="158"/>
      <c r="R322" s="158"/>
      <c r="S322" s="158"/>
      <c r="T322" s="234"/>
      <c r="U322" s="234"/>
      <c r="V322" s="234"/>
      <c r="W322" s="235"/>
      <c r="X322" s="210"/>
      <c r="Y322" s="210"/>
      <c r="Z322" s="210"/>
      <c r="AA322" s="210">
        <f t="shared" si="27"/>
        <v>0</v>
      </c>
      <c r="AB322" s="152">
        <f t="shared" si="28"/>
        <v>0</v>
      </c>
    </row>
  </sheetData>
  <mergeCells count="8">
    <mergeCell ref="C295:D295"/>
    <mergeCell ref="C296:D296"/>
    <mergeCell ref="C297:D297"/>
    <mergeCell ref="AD196:AD198"/>
    <mergeCell ref="AC155:AC156"/>
    <mergeCell ref="C293:D293"/>
    <mergeCell ref="C294:D294"/>
    <mergeCell ref="AC158:AC159"/>
  </mergeCells>
  <phoneticPr fontId="40" type="noConversion"/>
  <pageMargins left="0.7" right="0.7" top="0.75" bottom="0.75" header="0.3" footer="0.3"/>
  <pageSetup orientation="portrait" r:id="rId1"/>
  <ignoredErrors>
    <ignoredError sqref="K104 K35 K39 N72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EB94-FB58-4FC9-A011-A7407224A7C0}">
  <dimension ref="A1:AH312"/>
  <sheetViews>
    <sheetView zoomScale="84" zoomScaleNormal="84" workbookViewId="0">
      <pane xSplit="9" ySplit="11" topLeftCell="P21" activePane="bottomRight" state="frozen"/>
      <selection pane="topRight" activeCell="J1" sqref="J1"/>
      <selection pane="bottomLeft" activeCell="A12" sqref="A12"/>
      <selection pane="bottomRight" activeCell="C31" sqref="C31"/>
    </sheetView>
  </sheetViews>
  <sheetFormatPr defaultColWidth="9" defaultRowHeight="26.25" customHeight="1"/>
  <cols>
    <col min="1" max="1" width="9.44140625" style="91" customWidth="1"/>
    <col min="2" max="2" width="19.6640625" style="96" customWidth="1"/>
    <col min="3" max="3" width="10.5546875" style="97" customWidth="1"/>
    <col min="4" max="4" width="22.109375" style="98" customWidth="1"/>
    <col min="5" max="5" width="7.5546875" style="97" customWidth="1"/>
    <col min="6" max="6" width="8" style="141" customWidth="1"/>
    <col min="7" max="7" width="9" style="138" customWidth="1"/>
    <col min="8" max="8" width="6.33203125" style="142" customWidth="1"/>
    <col min="9" max="9" width="13.88671875" style="129" customWidth="1"/>
    <col min="10" max="10" width="9" style="60" customWidth="1"/>
    <col min="11" max="11" width="7.44140625" style="60" customWidth="1"/>
    <col min="12" max="12" width="12.109375" style="143" customWidth="1"/>
    <col min="13" max="13" width="7.33203125" style="100" customWidth="1"/>
    <col min="14" max="14" width="7.44140625" style="100" customWidth="1"/>
    <col min="15" max="15" width="6.109375" style="100" customWidth="1"/>
    <col min="16" max="16" width="8" style="92" customWidth="1"/>
    <col min="17" max="18" width="12.44140625" style="92" customWidth="1"/>
    <col min="19" max="19" width="8" style="92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2.6640625" style="101" customWidth="1"/>
    <col min="24" max="24" width="8.44140625" style="102" customWidth="1"/>
    <col min="25" max="25" width="10.33203125" style="102" customWidth="1"/>
    <col min="26" max="26" width="12.6640625" style="102" customWidth="1"/>
    <col min="27" max="27" width="6.109375" style="102" customWidth="1"/>
    <col min="28" max="28" width="7.33203125" style="102" customWidth="1"/>
    <col min="29" max="29" width="52.33203125" style="92" customWidth="1"/>
    <col min="30" max="30" width="40.44140625" style="92" customWidth="1"/>
    <col min="31" max="31" width="22.44140625" style="97" customWidth="1"/>
    <col min="32" max="16384" width="9" style="97"/>
  </cols>
  <sheetData>
    <row r="1" spans="1:34" ht="26.25" hidden="1" customHeight="1"/>
    <row r="2" spans="1:34" ht="26.25" hidden="1" customHeight="1"/>
    <row r="3" spans="1:34" ht="26.25" hidden="1" customHeight="1"/>
    <row r="4" spans="1:34" ht="26.25" hidden="1" customHeight="1"/>
    <row r="5" spans="1:34" ht="26.25" hidden="1" customHeight="1"/>
    <row r="6" spans="1:34" ht="26.25" hidden="1" customHeight="1"/>
    <row r="7" spans="1:34" ht="26.25" hidden="1" customHeight="1"/>
    <row r="8" spans="1:34" ht="26.25" hidden="1" customHeight="1"/>
    <row r="9" spans="1:34" ht="26.25" hidden="1" customHeight="1"/>
    <row r="10" spans="1:34" ht="26.25" hidden="1" customHeight="1"/>
    <row r="11" spans="1:34" s="108" customFormat="1" ht="35.25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147" t="s">
        <v>1493</v>
      </c>
      <c r="G11" s="148" t="s">
        <v>1494</v>
      </c>
      <c r="H11" s="119" t="s">
        <v>5</v>
      </c>
      <c r="I11" s="130" t="s">
        <v>1491</v>
      </c>
      <c r="J11" s="130" t="s">
        <v>1490</v>
      </c>
      <c r="K11" s="71" t="s">
        <v>1487</v>
      </c>
      <c r="L11" s="149" t="s">
        <v>1492</v>
      </c>
      <c r="M11" s="103" t="s">
        <v>1489</v>
      </c>
      <c r="N11" s="103" t="s">
        <v>1488</v>
      </c>
      <c r="O11" s="104" t="s">
        <v>687</v>
      </c>
      <c r="P11" s="93" t="s">
        <v>1483</v>
      </c>
      <c r="Q11" s="93" t="s">
        <v>1484</v>
      </c>
      <c r="R11" s="93" t="s">
        <v>1485</v>
      </c>
      <c r="S11" s="93" t="s">
        <v>1486</v>
      </c>
      <c r="T11" s="103" t="s">
        <v>17</v>
      </c>
      <c r="U11" s="103" t="s">
        <v>18</v>
      </c>
      <c r="V11" s="103" t="s">
        <v>19</v>
      </c>
      <c r="W11" s="10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107"/>
      <c r="AF11" s="107">
        <v>115567</v>
      </c>
      <c r="AG11" s="107">
        <v>2476130</v>
      </c>
      <c r="AH11" s="107">
        <v>130072</v>
      </c>
    </row>
    <row r="12" spans="1:34" ht="19.5" customHeight="1">
      <c r="A12" s="125" t="s">
        <v>707</v>
      </c>
      <c r="B12" s="124">
        <v>2000001211</v>
      </c>
      <c r="C12" s="117" t="s">
        <v>699</v>
      </c>
      <c r="D12" s="117">
        <v>2000001211</v>
      </c>
      <c r="E12" s="74">
        <v>10</v>
      </c>
      <c r="F12" s="118">
        <v>700</v>
      </c>
      <c r="G12" s="45">
        <f t="shared" ref="G12:G72" si="0">F12*E12</f>
        <v>7000</v>
      </c>
      <c r="H12" s="119" t="s">
        <v>27</v>
      </c>
      <c r="I12" s="131">
        <v>45267</v>
      </c>
      <c r="J12" s="118">
        <v>700</v>
      </c>
      <c r="K12" s="74">
        <f>14+4</f>
        <v>18</v>
      </c>
      <c r="L12" s="156">
        <v>45289</v>
      </c>
      <c r="M12" s="90">
        <v>7000</v>
      </c>
      <c r="N12" s="90">
        <v>70</v>
      </c>
      <c r="O12" s="90" t="s">
        <v>1603</v>
      </c>
      <c r="P12" s="94" t="s">
        <v>160</v>
      </c>
      <c r="Q12" s="94">
        <v>8500063387</v>
      </c>
      <c r="R12" s="94">
        <v>5001305893</v>
      </c>
      <c r="S12" s="118">
        <v>700</v>
      </c>
      <c r="T12" s="90" t="s">
        <v>87</v>
      </c>
      <c r="U12" s="90">
        <v>8500063386</v>
      </c>
      <c r="V12" s="90">
        <v>5001393072</v>
      </c>
      <c r="W12" s="109">
        <v>45330</v>
      </c>
      <c r="X12" s="106">
        <v>700</v>
      </c>
      <c r="Y12" s="106">
        <v>7000</v>
      </c>
      <c r="Z12" s="106" t="s">
        <v>2197</v>
      </c>
      <c r="AA12" s="106">
        <f>J12-X12</f>
        <v>0</v>
      </c>
      <c r="AB12" s="106">
        <f>M12-Y12</f>
        <v>0</v>
      </c>
      <c r="AC12" s="500"/>
      <c r="AD12" s="503" t="s">
        <v>3100</v>
      </c>
      <c r="AE12" s="110"/>
      <c r="AF12" s="110"/>
      <c r="AG12" s="110"/>
      <c r="AH12" s="99"/>
    </row>
    <row r="13" spans="1:34" ht="19.5" customHeight="1">
      <c r="A13" s="120"/>
      <c r="B13" s="121"/>
      <c r="C13" s="122"/>
      <c r="D13" s="122"/>
      <c r="E13" s="74">
        <v>10</v>
      </c>
      <c r="F13" s="74">
        <v>900</v>
      </c>
      <c r="G13" s="45">
        <f t="shared" si="0"/>
        <v>9000</v>
      </c>
      <c r="H13" s="119" t="s">
        <v>46</v>
      </c>
      <c r="I13" s="131">
        <v>45230</v>
      </c>
      <c r="J13" s="74">
        <v>900</v>
      </c>
      <c r="K13" s="74">
        <f>18+4</f>
        <v>22</v>
      </c>
      <c r="L13" s="156">
        <v>45240</v>
      </c>
      <c r="M13" s="90">
        <v>9000</v>
      </c>
      <c r="N13" s="90">
        <v>90</v>
      </c>
      <c r="O13" s="90" t="s">
        <v>1959</v>
      </c>
      <c r="P13" s="94" t="s">
        <v>160</v>
      </c>
      <c r="Q13" s="94">
        <v>8500063387</v>
      </c>
      <c r="R13" s="94">
        <v>5001159052</v>
      </c>
      <c r="S13" s="74">
        <v>900</v>
      </c>
      <c r="T13" s="90" t="s">
        <v>87</v>
      </c>
      <c r="U13" s="90">
        <v>8500063386</v>
      </c>
      <c r="V13" s="90">
        <v>5001202575</v>
      </c>
      <c r="W13" s="109" t="s">
        <v>2749</v>
      </c>
      <c r="X13" s="106">
        <f>200+400+300</f>
        <v>900</v>
      </c>
      <c r="Y13" s="106">
        <f>2000+4000+3000</f>
        <v>9000</v>
      </c>
      <c r="Z13" s="106" t="s">
        <v>2750</v>
      </c>
      <c r="AA13" s="106">
        <f t="shared" ref="AA13:AA72" si="1">J13-X13</f>
        <v>0</v>
      </c>
      <c r="AB13" s="106">
        <f t="shared" ref="AB13:AB72" si="2">M13-Y13</f>
        <v>0</v>
      </c>
      <c r="AC13" s="501"/>
      <c r="AD13" s="504"/>
      <c r="AE13" s="110"/>
      <c r="AF13" s="110"/>
      <c r="AG13" s="110"/>
      <c r="AH13" s="99"/>
    </row>
    <row r="14" spans="1:34" ht="19.5" customHeight="1">
      <c r="A14" s="120"/>
      <c r="B14" s="121"/>
      <c r="C14" s="122"/>
      <c r="D14" s="122"/>
      <c r="E14" s="74">
        <v>10</v>
      </c>
      <c r="F14" s="74">
        <v>400</v>
      </c>
      <c r="G14" s="45">
        <f t="shared" si="0"/>
        <v>4000</v>
      </c>
      <c r="H14" s="119" t="s">
        <v>37</v>
      </c>
      <c r="I14" s="131">
        <v>45267</v>
      </c>
      <c r="J14" s="74">
        <v>400</v>
      </c>
      <c r="K14" s="74">
        <f>4+4</f>
        <v>8</v>
      </c>
      <c r="L14" s="156">
        <v>45288</v>
      </c>
      <c r="M14" s="90">
        <v>4000</v>
      </c>
      <c r="N14" s="90">
        <v>40</v>
      </c>
      <c r="O14" s="90" t="s">
        <v>1890</v>
      </c>
      <c r="P14" s="94" t="s">
        <v>160</v>
      </c>
      <c r="Q14" s="94">
        <v>8500063387</v>
      </c>
      <c r="R14" s="94">
        <v>5001305893</v>
      </c>
      <c r="S14" s="74">
        <v>400</v>
      </c>
      <c r="T14" s="90" t="s">
        <v>87</v>
      </c>
      <c r="U14" s="90">
        <v>8500063386</v>
      </c>
      <c r="V14" s="90">
        <v>5001389025</v>
      </c>
      <c r="W14" s="109" t="s">
        <v>2747</v>
      </c>
      <c r="X14" s="106">
        <f>200+200</f>
        <v>400</v>
      </c>
      <c r="Y14" s="106">
        <f>2000+2000</f>
        <v>4000</v>
      </c>
      <c r="Z14" s="106" t="s">
        <v>2748</v>
      </c>
      <c r="AA14" s="106">
        <f t="shared" si="1"/>
        <v>0</v>
      </c>
      <c r="AB14" s="106">
        <f t="shared" si="2"/>
        <v>0</v>
      </c>
      <c r="AC14" s="501"/>
      <c r="AD14" s="504"/>
      <c r="AE14" s="110"/>
      <c r="AF14" s="110"/>
      <c r="AG14" s="110"/>
      <c r="AH14" s="99"/>
    </row>
    <row r="15" spans="1:34" ht="19.5" customHeight="1">
      <c r="A15" s="125" t="s">
        <v>707</v>
      </c>
      <c r="B15" s="124">
        <v>2000001211</v>
      </c>
      <c r="C15" s="117" t="s">
        <v>699</v>
      </c>
      <c r="D15" s="122" t="s">
        <v>244</v>
      </c>
      <c r="E15" s="74">
        <v>10</v>
      </c>
      <c r="F15" s="74">
        <v>14</v>
      </c>
      <c r="G15" s="45">
        <f t="shared" si="0"/>
        <v>140</v>
      </c>
      <c r="H15" s="119" t="s">
        <v>27</v>
      </c>
      <c r="I15" s="128">
        <v>45247</v>
      </c>
      <c r="J15" s="158">
        <v>14</v>
      </c>
      <c r="K15" s="74">
        <v>1</v>
      </c>
      <c r="L15" s="156">
        <v>45289</v>
      </c>
      <c r="M15" s="90">
        <v>140</v>
      </c>
      <c r="N15" s="90">
        <v>2</v>
      </c>
      <c r="O15" s="90"/>
      <c r="P15" s="94" t="s">
        <v>160</v>
      </c>
      <c r="Q15" s="94">
        <v>8500063389</v>
      </c>
      <c r="R15" s="94">
        <v>5001227614</v>
      </c>
      <c r="S15" s="158">
        <v>14</v>
      </c>
      <c r="T15" s="90" t="s">
        <v>87</v>
      </c>
      <c r="U15" s="90">
        <v>8500063388</v>
      </c>
      <c r="V15" s="90">
        <v>5001393076</v>
      </c>
      <c r="W15" s="109">
        <v>45388</v>
      </c>
      <c r="X15" s="106">
        <v>14</v>
      </c>
      <c r="Y15" s="106">
        <v>140</v>
      </c>
      <c r="Z15" s="106" t="s">
        <v>3282</v>
      </c>
      <c r="AA15" s="106">
        <f t="shared" si="1"/>
        <v>0</v>
      </c>
      <c r="AB15" s="106">
        <f t="shared" si="2"/>
        <v>0</v>
      </c>
      <c r="AC15" s="502"/>
      <c r="AD15" s="504"/>
      <c r="AE15" s="110"/>
      <c r="AF15" s="110"/>
      <c r="AG15" s="110"/>
      <c r="AH15" s="99"/>
    </row>
    <row r="16" spans="1:34" ht="18.75" customHeight="1">
      <c r="A16" s="120"/>
      <c r="B16" s="121"/>
      <c r="C16" s="122"/>
      <c r="D16" s="122"/>
      <c r="E16" s="74">
        <v>10</v>
      </c>
      <c r="F16" s="74">
        <v>18</v>
      </c>
      <c r="G16" s="45">
        <f t="shared" si="0"/>
        <v>180</v>
      </c>
      <c r="H16" s="119" t="s">
        <v>46</v>
      </c>
      <c r="I16" s="131">
        <v>45230</v>
      </c>
      <c r="J16" s="158">
        <v>18</v>
      </c>
      <c r="K16" s="74">
        <v>2</v>
      </c>
      <c r="L16" s="156">
        <v>45240</v>
      </c>
      <c r="M16" s="90">
        <v>180</v>
      </c>
      <c r="N16" s="90">
        <v>2</v>
      </c>
      <c r="O16" s="90" t="s">
        <v>1960</v>
      </c>
      <c r="P16" s="94" t="s">
        <v>160</v>
      </c>
      <c r="Q16" s="94">
        <v>8500063389</v>
      </c>
      <c r="R16" s="94">
        <v>5001159054</v>
      </c>
      <c r="S16" s="158">
        <v>18</v>
      </c>
      <c r="T16" s="90" t="s">
        <v>87</v>
      </c>
      <c r="U16" s="90">
        <v>8500063388</v>
      </c>
      <c r="V16" s="90">
        <v>5001202607</v>
      </c>
      <c r="W16" s="109">
        <v>45388</v>
      </c>
      <c r="X16" s="106">
        <v>18</v>
      </c>
      <c r="Y16" s="106">
        <v>180</v>
      </c>
      <c r="Z16" s="106" t="s">
        <v>3282</v>
      </c>
      <c r="AA16" s="106">
        <f t="shared" si="1"/>
        <v>0</v>
      </c>
      <c r="AB16" s="106">
        <f t="shared" si="2"/>
        <v>0</v>
      </c>
      <c r="AC16" s="94"/>
      <c r="AD16" s="504"/>
      <c r="AE16" s="110"/>
      <c r="AF16" s="110"/>
      <c r="AG16" s="110"/>
      <c r="AH16" s="99"/>
    </row>
    <row r="17" spans="1:34" ht="19.5" customHeight="1">
      <c r="A17" s="120"/>
      <c r="B17" s="121"/>
      <c r="C17" s="122"/>
      <c r="D17" s="122"/>
      <c r="E17" s="74">
        <v>10</v>
      </c>
      <c r="F17" s="74">
        <v>8</v>
      </c>
      <c r="G17" s="45">
        <f t="shared" si="0"/>
        <v>80</v>
      </c>
      <c r="H17" s="119" t="s">
        <v>37</v>
      </c>
      <c r="I17" s="128">
        <v>45247</v>
      </c>
      <c r="J17" s="158">
        <v>8</v>
      </c>
      <c r="K17" s="74">
        <v>1</v>
      </c>
      <c r="L17" s="156">
        <v>45288</v>
      </c>
      <c r="M17" s="90">
        <v>80</v>
      </c>
      <c r="N17" s="90">
        <v>1</v>
      </c>
      <c r="O17" s="90"/>
      <c r="P17" s="94" t="s">
        <v>160</v>
      </c>
      <c r="Q17" s="94">
        <v>8500063389</v>
      </c>
      <c r="R17" s="94">
        <v>5001227614</v>
      </c>
      <c r="S17" s="158">
        <v>8</v>
      </c>
      <c r="T17" s="90" t="s">
        <v>87</v>
      </c>
      <c r="U17" s="90">
        <v>8500063388</v>
      </c>
      <c r="V17" s="90">
        <v>5001389026</v>
      </c>
      <c r="W17" s="109">
        <v>45388</v>
      </c>
      <c r="X17" s="106">
        <v>8</v>
      </c>
      <c r="Y17" s="106">
        <v>80</v>
      </c>
      <c r="Z17" s="106" t="s">
        <v>3282</v>
      </c>
      <c r="AA17" s="106">
        <f t="shared" si="1"/>
        <v>0</v>
      </c>
      <c r="AB17" s="106">
        <f t="shared" si="2"/>
        <v>0</v>
      </c>
      <c r="AC17" s="94"/>
      <c r="AD17" s="504"/>
      <c r="AE17" s="110"/>
      <c r="AF17" s="110"/>
      <c r="AG17" s="110"/>
      <c r="AH17" s="99"/>
    </row>
    <row r="18" spans="1:34" ht="19.5" customHeight="1">
      <c r="A18" s="125" t="s">
        <v>707</v>
      </c>
      <c r="B18" s="124">
        <v>2000001212</v>
      </c>
      <c r="C18" s="117" t="s">
        <v>699</v>
      </c>
      <c r="D18" s="123">
        <v>2000001212</v>
      </c>
      <c r="E18" s="74">
        <v>10</v>
      </c>
      <c r="F18" s="118">
        <v>700</v>
      </c>
      <c r="G18" s="45">
        <f t="shared" ref="G18:G23" si="3">F18*E18</f>
        <v>7000</v>
      </c>
      <c r="H18" s="119" t="s">
        <v>27</v>
      </c>
      <c r="I18" s="128">
        <v>45267</v>
      </c>
      <c r="J18" s="118">
        <v>700</v>
      </c>
      <c r="K18" s="74">
        <v>14</v>
      </c>
      <c r="L18" s="156">
        <v>45289</v>
      </c>
      <c r="M18" s="90">
        <v>7000</v>
      </c>
      <c r="N18" s="90">
        <v>70</v>
      </c>
      <c r="O18" s="90" t="s">
        <v>1662</v>
      </c>
      <c r="P18" s="94" t="s">
        <v>160</v>
      </c>
      <c r="Q18" s="94">
        <v>8500063391</v>
      </c>
      <c r="R18" s="94">
        <v>500130590</v>
      </c>
      <c r="S18" s="118">
        <v>700</v>
      </c>
      <c r="T18" s="90" t="s">
        <v>87</v>
      </c>
      <c r="U18" s="90">
        <v>8500063390</v>
      </c>
      <c r="V18" s="90">
        <v>5001393001</v>
      </c>
      <c r="W18" s="109">
        <v>45333</v>
      </c>
      <c r="X18" s="106">
        <v>700</v>
      </c>
      <c r="Y18" s="106">
        <v>7000</v>
      </c>
      <c r="Z18" s="106" t="s">
        <v>2197</v>
      </c>
      <c r="AA18" s="106">
        <f t="shared" si="1"/>
        <v>0</v>
      </c>
      <c r="AB18" s="106">
        <f t="shared" si="2"/>
        <v>0</v>
      </c>
      <c r="AC18" s="94"/>
      <c r="AD18" s="504"/>
      <c r="AE18" s="110"/>
      <c r="AF18" s="110"/>
      <c r="AG18" s="110"/>
      <c r="AH18" s="99"/>
    </row>
    <row r="19" spans="1:34" ht="19.5" customHeight="1">
      <c r="A19" s="120"/>
      <c r="B19" s="121"/>
      <c r="C19" s="122"/>
      <c r="D19" s="122"/>
      <c r="E19" s="74">
        <v>10</v>
      </c>
      <c r="F19" s="74">
        <v>900</v>
      </c>
      <c r="G19" s="45">
        <f t="shared" si="3"/>
        <v>9000</v>
      </c>
      <c r="H19" s="119" t="s">
        <v>46</v>
      </c>
      <c r="I19" s="131">
        <v>45230</v>
      </c>
      <c r="J19" s="74">
        <v>900</v>
      </c>
      <c r="K19" s="74">
        <f>18+4</f>
        <v>22</v>
      </c>
      <c r="L19" s="156">
        <v>45240</v>
      </c>
      <c r="M19" s="90">
        <v>9000</v>
      </c>
      <c r="N19" s="90">
        <v>90</v>
      </c>
      <c r="O19" s="90" t="s">
        <v>1961</v>
      </c>
      <c r="P19" s="94" t="s">
        <v>160</v>
      </c>
      <c r="Q19" s="94">
        <v>8500063391</v>
      </c>
      <c r="R19" s="94">
        <v>5001159058</v>
      </c>
      <c r="S19" s="74">
        <v>900</v>
      </c>
      <c r="T19" s="90" t="s">
        <v>87</v>
      </c>
      <c r="U19" s="90">
        <v>8500063390</v>
      </c>
      <c r="V19" s="90">
        <v>5001202609</v>
      </c>
      <c r="W19" s="109" t="s">
        <v>2769</v>
      </c>
      <c r="X19" s="106">
        <f>52+500+348</f>
        <v>900</v>
      </c>
      <c r="Y19" s="106">
        <f>520+5000+3480</f>
        <v>9000</v>
      </c>
      <c r="Z19" s="106" t="s">
        <v>2770</v>
      </c>
      <c r="AA19" s="106">
        <f t="shared" si="1"/>
        <v>0</v>
      </c>
      <c r="AB19" s="106">
        <f t="shared" si="2"/>
        <v>0</v>
      </c>
      <c r="AC19" s="94"/>
      <c r="AD19" s="505"/>
      <c r="AE19" s="110"/>
      <c r="AF19" s="110"/>
      <c r="AG19" s="110"/>
      <c r="AH19" s="99"/>
    </row>
    <row r="20" spans="1:34" ht="19.5" customHeight="1">
      <c r="A20" s="120"/>
      <c r="B20" s="121"/>
      <c r="C20" s="122"/>
      <c r="D20" s="122"/>
      <c r="E20" s="74">
        <v>10</v>
      </c>
      <c r="F20" s="74">
        <v>400</v>
      </c>
      <c r="G20" s="45">
        <f t="shared" si="3"/>
        <v>4000</v>
      </c>
      <c r="H20" s="119" t="s">
        <v>37</v>
      </c>
      <c r="I20" s="128">
        <v>45267</v>
      </c>
      <c r="J20" s="74">
        <v>400</v>
      </c>
      <c r="K20" s="74">
        <v>8</v>
      </c>
      <c r="L20" s="156">
        <v>45288</v>
      </c>
      <c r="M20" s="90">
        <v>4000</v>
      </c>
      <c r="N20" s="90">
        <v>40</v>
      </c>
      <c r="O20" s="90" t="s">
        <v>1554</v>
      </c>
      <c r="P20" s="94" t="s">
        <v>160</v>
      </c>
      <c r="Q20" s="94">
        <v>8500063391</v>
      </c>
      <c r="R20" s="94">
        <v>5001159058</v>
      </c>
      <c r="S20" s="74">
        <v>400</v>
      </c>
      <c r="T20" s="90" t="s">
        <v>87</v>
      </c>
      <c r="U20" s="90">
        <v>8500063390</v>
      </c>
      <c r="V20" s="90">
        <v>5001389023</v>
      </c>
      <c r="W20" s="109">
        <v>45322</v>
      </c>
      <c r="X20" s="106">
        <f>400</f>
        <v>400</v>
      </c>
      <c r="Y20" s="106">
        <f>4000</f>
        <v>4000</v>
      </c>
      <c r="Z20" s="106" t="s">
        <v>2197</v>
      </c>
      <c r="AA20" s="106">
        <f t="shared" si="1"/>
        <v>0</v>
      </c>
      <c r="AB20" s="106">
        <f t="shared" si="2"/>
        <v>0</v>
      </c>
      <c r="AC20" s="94"/>
      <c r="AD20" s="94"/>
      <c r="AE20" s="110"/>
      <c r="AF20" s="110"/>
      <c r="AG20" s="110"/>
      <c r="AH20" s="99"/>
    </row>
    <row r="21" spans="1:34" ht="19.5" customHeight="1">
      <c r="A21" s="125" t="s">
        <v>707</v>
      </c>
      <c r="B21" s="124">
        <v>2000001212</v>
      </c>
      <c r="C21" s="117" t="s">
        <v>699</v>
      </c>
      <c r="D21" s="122" t="s">
        <v>244</v>
      </c>
      <c r="E21" s="74">
        <v>10</v>
      </c>
      <c r="F21" s="74">
        <v>14</v>
      </c>
      <c r="G21" s="45">
        <f t="shared" si="3"/>
        <v>140</v>
      </c>
      <c r="H21" s="119" t="s">
        <v>27</v>
      </c>
      <c r="I21" s="128">
        <v>45309</v>
      </c>
      <c r="J21" s="158">
        <v>14</v>
      </c>
      <c r="K21" s="74">
        <v>0</v>
      </c>
      <c r="L21" s="156">
        <v>45289</v>
      </c>
      <c r="M21" s="90">
        <v>140</v>
      </c>
      <c r="N21" s="90">
        <v>2</v>
      </c>
      <c r="O21" s="90"/>
      <c r="P21" s="94" t="s">
        <v>160</v>
      </c>
      <c r="Q21" s="94">
        <v>8500063393</v>
      </c>
      <c r="R21" s="94">
        <v>5000074500</v>
      </c>
      <c r="S21" s="158"/>
      <c r="T21" s="90" t="s">
        <v>87</v>
      </c>
      <c r="U21" s="90">
        <v>8500063392</v>
      </c>
      <c r="V21" s="90">
        <v>5001393002</v>
      </c>
      <c r="W21" s="109">
        <v>45388</v>
      </c>
      <c r="X21" s="106">
        <v>14</v>
      </c>
      <c r="Y21" s="106">
        <v>140</v>
      </c>
      <c r="Z21" s="106" t="s">
        <v>754</v>
      </c>
      <c r="AA21" s="106">
        <f t="shared" si="1"/>
        <v>0</v>
      </c>
      <c r="AB21" s="106">
        <f t="shared" si="2"/>
        <v>0</v>
      </c>
      <c r="AC21" s="94"/>
      <c r="AD21" s="94"/>
      <c r="AE21" s="110"/>
      <c r="AF21" s="110"/>
      <c r="AG21" s="110"/>
      <c r="AH21" s="99"/>
    </row>
    <row r="22" spans="1:34" ht="19.5" customHeight="1">
      <c r="A22" s="120"/>
      <c r="B22" s="121"/>
      <c r="C22" s="122"/>
      <c r="D22" s="122"/>
      <c r="E22" s="74">
        <v>10</v>
      </c>
      <c r="F22" s="74">
        <v>18</v>
      </c>
      <c r="G22" s="45">
        <f t="shared" si="3"/>
        <v>180</v>
      </c>
      <c r="H22" s="119" t="s">
        <v>46</v>
      </c>
      <c r="I22" s="131">
        <v>45230</v>
      </c>
      <c r="J22" s="158">
        <v>18</v>
      </c>
      <c r="K22" s="74">
        <v>2</v>
      </c>
      <c r="L22" s="156">
        <v>45240</v>
      </c>
      <c r="M22" s="90">
        <v>180</v>
      </c>
      <c r="N22" s="90">
        <v>2</v>
      </c>
      <c r="O22" s="90" t="s">
        <v>1960</v>
      </c>
      <c r="P22" s="94" t="s">
        <v>160</v>
      </c>
      <c r="Q22" s="94">
        <v>8500063393</v>
      </c>
      <c r="R22" s="94">
        <v>5001159070</v>
      </c>
      <c r="S22" s="158">
        <v>18</v>
      </c>
      <c r="T22" s="90" t="s">
        <v>87</v>
      </c>
      <c r="U22" s="90">
        <v>8500063392</v>
      </c>
      <c r="V22" s="90">
        <v>5001202612</v>
      </c>
      <c r="W22" s="109">
        <v>45388</v>
      </c>
      <c r="X22" s="106">
        <v>18</v>
      </c>
      <c r="Y22" s="106">
        <v>180</v>
      </c>
      <c r="Z22" s="106" t="s">
        <v>754</v>
      </c>
      <c r="AA22" s="106">
        <f t="shared" si="1"/>
        <v>0</v>
      </c>
      <c r="AB22" s="106">
        <f t="shared" si="2"/>
        <v>0</v>
      </c>
      <c r="AC22" s="94"/>
      <c r="AD22" s="94"/>
      <c r="AE22" s="110"/>
      <c r="AF22" s="110"/>
      <c r="AG22" s="110"/>
      <c r="AH22" s="99"/>
    </row>
    <row r="23" spans="1:34" ht="19.5" customHeight="1">
      <c r="A23" s="120"/>
      <c r="B23" s="121"/>
      <c r="C23" s="122"/>
      <c r="D23" s="122"/>
      <c r="E23" s="74">
        <v>10</v>
      </c>
      <c r="F23" s="74">
        <v>8</v>
      </c>
      <c r="G23" s="45">
        <f t="shared" si="3"/>
        <v>80</v>
      </c>
      <c r="H23" s="119" t="s">
        <v>37</v>
      </c>
      <c r="I23" s="128">
        <v>45247</v>
      </c>
      <c r="J23" s="158">
        <v>8</v>
      </c>
      <c r="K23" s="74">
        <v>1</v>
      </c>
      <c r="L23" s="156">
        <v>45288</v>
      </c>
      <c r="M23" s="90">
        <v>80</v>
      </c>
      <c r="N23" s="90">
        <v>1</v>
      </c>
      <c r="O23" s="90"/>
      <c r="P23" s="94" t="s">
        <v>160</v>
      </c>
      <c r="Q23" s="94">
        <v>8500063393</v>
      </c>
      <c r="R23" s="94">
        <v>5001227658</v>
      </c>
      <c r="S23" s="158">
        <v>8</v>
      </c>
      <c r="T23" s="90" t="s">
        <v>87</v>
      </c>
      <c r="U23" s="90">
        <v>8500063392</v>
      </c>
      <c r="V23" s="90">
        <v>5001389024</v>
      </c>
      <c r="W23" s="109">
        <v>45388</v>
      </c>
      <c r="X23" s="106">
        <v>8</v>
      </c>
      <c r="Y23" s="106">
        <v>80</v>
      </c>
      <c r="Z23" s="106" t="s">
        <v>754</v>
      </c>
      <c r="AA23" s="106">
        <f t="shared" si="1"/>
        <v>0</v>
      </c>
      <c r="AB23" s="106">
        <f t="shared" si="2"/>
        <v>0</v>
      </c>
      <c r="AC23" s="94"/>
      <c r="AD23" s="94"/>
      <c r="AE23" s="110"/>
      <c r="AF23" s="110"/>
      <c r="AG23" s="110"/>
      <c r="AH23" s="99"/>
    </row>
    <row r="24" spans="1:34" ht="19.5" customHeight="1">
      <c r="A24" s="125" t="s">
        <v>707</v>
      </c>
      <c r="B24" s="124">
        <v>2000001213</v>
      </c>
      <c r="C24" s="117" t="s">
        <v>699</v>
      </c>
      <c r="D24" s="123">
        <v>2000001213</v>
      </c>
      <c r="E24" s="74">
        <v>10</v>
      </c>
      <c r="F24" s="118">
        <v>700</v>
      </c>
      <c r="G24" s="45">
        <f t="shared" ref="G24:G29" si="4">F24*E24</f>
        <v>7000</v>
      </c>
      <c r="H24" s="119" t="s">
        <v>27</v>
      </c>
      <c r="I24" s="128">
        <v>45274</v>
      </c>
      <c r="J24" s="158">
        <v>700</v>
      </c>
      <c r="K24" s="74">
        <f>14+2</f>
        <v>16</v>
      </c>
      <c r="L24" s="156">
        <v>45289</v>
      </c>
      <c r="M24" s="90">
        <v>7000</v>
      </c>
      <c r="N24" s="90">
        <v>70</v>
      </c>
      <c r="O24" s="90" t="s">
        <v>2319</v>
      </c>
      <c r="P24" s="94" t="s">
        <v>160</v>
      </c>
      <c r="Q24" s="94">
        <v>8500063395</v>
      </c>
      <c r="R24" s="94">
        <v>5001334762</v>
      </c>
      <c r="S24" s="158">
        <v>700</v>
      </c>
      <c r="T24" s="90" t="s">
        <v>87</v>
      </c>
      <c r="U24" s="90">
        <v>8500063394</v>
      </c>
      <c r="V24" s="90">
        <v>5001393003</v>
      </c>
      <c r="W24" s="109">
        <v>45333</v>
      </c>
      <c r="X24" s="106">
        <v>700</v>
      </c>
      <c r="Y24" s="106">
        <v>7000</v>
      </c>
      <c r="Z24" s="106" t="s">
        <v>2197</v>
      </c>
      <c r="AA24" s="106">
        <f t="shared" si="1"/>
        <v>0</v>
      </c>
      <c r="AB24" s="106">
        <f t="shared" si="2"/>
        <v>0</v>
      </c>
      <c r="AC24" s="94"/>
      <c r="AD24" s="94"/>
      <c r="AE24" s="110"/>
      <c r="AF24" s="110"/>
      <c r="AG24" s="110"/>
      <c r="AH24" s="99"/>
    </row>
    <row r="25" spans="1:34" ht="19.5" customHeight="1">
      <c r="A25" s="120"/>
      <c r="B25" s="121"/>
      <c r="C25" s="122"/>
      <c r="D25" s="122"/>
      <c r="E25" s="74">
        <v>10</v>
      </c>
      <c r="F25" s="74">
        <v>900</v>
      </c>
      <c r="G25" s="45">
        <f t="shared" si="4"/>
        <v>9000</v>
      </c>
      <c r="H25" s="119" t="s">
        <v>46</v>
      </c>
      <c r="I25" s="131" t="s">
        <v>2223</v>
      </c>
      <c r="J25" s="158">
        <f>382+518</f>
        <v>900</v>
      </c>
      <c r="K25" s="74">
        <f>18+2</f>
        <v>20</v>
      </c>
      <c r="L25" s="156">
        <v>45240</v>
      </c>
      <c r="M25" s="90">
        <v>9000</v>
      </c>
      <c r="N25" s="90">
        <v>90</v>
      </c>
      <c r="O25" s="90" t="s">
        <v>1732</v>
      </c>
      <c r="P25" s="94" t="s">
        <v>160</v>
      </c>
      <c r="Q25" s="94">
        <v>8500063395</v>
      </c>
      <c r="R25" s="94">
        <v>5001159074</v>
      </c>
      <c r="S25" s="158">
        <f>382+518</f>
        <v>900</v>
      </c>
      <c r="T25" s="90" t="s">
        <v>87</v>
      </c>
      <c r="U25" s="90">
        <v>8500063394</v>
      </c>
      <c r="V25" s="90">
        <v>5001202616</v>
      </c>
      <c r="W25" s="109">
        <v>45325</v>
      </c>
      <c r="X25" s="106">
        <v>900</v>
      </c>
      <c r="Y25" s="106">
        <v>9000</v>
      </c>
      <c r="Z25" s="106" t="s">
        <v>1783</v>
      </c>
      <c r="AA25" s="106">
        <f t="shared" si="1"/>
        <v>0</v>
      </c>
      <c r="AB25" s="106">
        <f t="shared" si="2"/>
        <v>0</v>
      </c>
      <c r="AC25" s="94"/>
      <c r="AD25" s="94"/>
      <c r="AE25" s="110"/>
      <c r="AF25" s="110"/>
      <c r="AG25" s="110"/>
      <c r="AH25" s="99"/>
    </row>
    <row r="26" spans="1:34" ht="19.5" customHeight="1">
      <c r="A26" s="120"/>
      <c r="B26" s="121"/>
      <c r="C26" s="122"/>
      <c r="D26" s="122"/>
      <c r="E26" s="74">
        <v>10</v>
      </c>
      <c r="F26" s="74">
        <v>400</v>
      </c>
      <c r="G26" s="45">
        <f t="shared" si="4"/>
        <v>4000</v>
      </c>
      <c r="H26" s="119" t="s">
        <v>37</v>
      </c>
      <c r="I26" s="128">
        <v>45274</v>
      </c>
      <c r="J26" s="158">
        <v>400</v>
      </c>
      <c r="K26" s="74">
        <v>8</v>
      </c>
      <c r="L26" s="156">
        <v>45288</v>
      </c>
      <c r="M26" s="90">
        <v>4000</v>
      </c>
      <c r="N26" s="90">
        <v>40</v>
      </c>
      <c r="O26" s="90" t="s">
        <v>1569</v>
      </c>
      <c r="P26" s="94" t="s">
        <v>160</v>
      </c>
      <c r="Q26" s="94">
        <v>8500063395</v>
      </c>
      <c r="R26" s="94">
        <v>5001334762</v>
      </c>
      <c r="S26" s="158">
        <v>400</v>
      </c>
      <c r="T26" s="90" t="s">
        <v>87</v>
      </c>
      <c r="U26" s="90">
        <v>8500063394</v>
      </c>
      <c r="V26" s="90">
        <v>5001388905</v>
      </c>
      <c r="W26" s="109">
        <v>45324</v>
      </c>
      <c r="X26" s="106">
        <v>400</v>
      </c>
      <c r="Y26" s="106">
        <v>4000</v>
      </c>
      <c r="Z26" s="106" t="s">
        <v>2197</v>
      </c>
      <c r="AA26" s="106">
        <f t="shared" si="1"/>
        <v>0</v>
      </c>
      <c r="AB26" s="106">
        <f t="shared" si="2"/>
        <v>0</v>
      </c>
      <c r="AC26" s="94"/>
      <c r="AD26" s="111"/>
      <c r="AE26" s="110"/>
      <c r="AF26" s="110"/>
      <c r="AG26" s="110"/>
      <c r="AH26" s="99"/>
    </row>
    <row r="27" spans="1:34" ht="19.5" customHeight="1">
      <c r="A27" s="125" t="s">
        <v>707</v>
      </c>
      <c r="B27" s="124">
        <v>2000001213</v>
      </c>
      <c r="C27" s="117" t="s">
        <v>699</v>
      </c>
      <c r="D27" s="122" t="s">
        <v>244</v>
      </c>
      <c r="E27" s="74">
        <v>10</v>
      </c>
      <c r="F27" s="74">
        <v>14</v>
      </c>
      <c r="G27" s="45">
        <f t="shared" si="4"/>
        <v>140</v>
      </c>
      <c r="H27" s="119" t="s">
        <v>27</v>
      </c>
      <c r="I27" s="128">
        <v>45247</v>
      </c>
      <c r="J27" s="158">
        <v>14</v>
      </c>
      <c r="K27" s="74">
        <v>2</v>
      </c>
      <c r="L27" s="156">
        <v>45289</v>
      </c>
      <c r="M27" s="90">
        <v>140</v>
      </c>
      <c r="N27" s="90">
        <v>2</v>
      </c>
      <c r="O27" s="90"/>
      <c r="P27" s="94" t="s">
        <v>160</v>
      </c>
      <c r="Q27" s="94">
        <v>8500063403</v>
      </c>
      <c r="R27" s="94">
        <v>5001227655</v>
      </c>
      <c r="S27" s="158">
        <v>14</v>
      </c>
      <c r="T27" s="90" t="s">
        <v>87</v>
      </c>
      <c r="U27" s="90">
        <v>8500063400</v>
      </c>
      <c r="V27" s="90">
        <v>5001393004</v>
      </c>
      <c r="W27" s="109">
        <v>45388</v>
      </c>
      <c r="X27" s="106">
        <v>14</v>
      </c>
      <c r="Y27" s="106">
        <v>140</v>
      </c>
      <c r="Z27" s="106" t="s">
        <v>754</v>
      </c>
      <c r="AA27" s="106">
        <f t="shared" si="1"/>
        <v>0</v>
      </c>
      <c r="AB27" s="106">
        <f t="shared" si="2"/>
        <v>0</v>
      </c>
      <c r="AC27" s="94"/>
      <c r="AD27" s="94"/>
      <c r="AE27" s="110"/>
      <c r="AF27" s="110"/>
      <c r="AG27" s="110"/>
      <c r="AH27" s="99"/>
    </row>
    <row r="28" spans="1:34" ht="19.5" customHeight="1">
      <c r="A28" s="120"/>
      <c r="B28" s="121"/>
      <c r="C28" s="122"/>
      <c r="D28" s="122"/>
      <c r="E28" s="74">
        <v>10</v>
      </c>
      <c r="F28" s="74">
        <v>18</v>
      </c>
      <c r="G28" s="45">
        <f t="shared" si="4"/>
        <v>180</v>
      </c>
      <c r="H28" s="119" t="s">
        <v>46</v>
      </c>
      <c r="I28" s="131">
        <v>45230</v>
      </c>
      <c r="J28" s="158">
        <v>18</v>
      </c>
      <c r="K28" s="74">
        <v>1</v>
      </c>
      <c r="L28" s="156">
        <v>45240</v>
      </c>
      <c r="M28" s="90">
        <v>180</v>
      </c>
      <c r="N28" s="90">
        <v>2</v>
      </c>
      <c r="O28" s="90" t="s">
        <v>1960</v>
      </c>
      <c r="P28" s="94" t="s">
        <v>160</v>
      </c>
      <c r="Q28" s="94">
        <v>8500063403</v>
      </c>
      <c r="R28" s="94">
        <v>5001159084</v>
      </c>
      <c r="S28" s="158">
        <v>18</v>
      </c>
      <c r="T28" s="90" t="s">
        <v>87</v>
      </c>
      <c r="U28" s="90">
        <v>8500063400</v>
      </c>
      <c r="V28" s="90">
        <v>5001202618</v>
      </c>
      <c r="W28" s="109">
        <v>45388</v>
      </c>
      <c r="X28" s="106">
        <v>18</v>
      </c>
      <c r="Y28" s="106">
        <v>180</v>
      </c>
      <c r="Z28" s="106" t="s">
        <v>754</v>
      </c>
      <c r="AA28" s="106">
        <f t="shared" si="1"/>
        <v>0</v>
      </c>
      <c r="AB28" s="106">
        <f t="shared" si="2"/>
        <v>0</v>
      </c>
      <c r="AC28" s="94"/>
      <c r="AD28" s="94"/>
      <c r="AE28" s="110"/>
      <c r="AF28" s="110"/>
      <c r="AG28" s="110"/>
      <c r="AH28" s="99"/>
    </row>
    <row r="29" spans="1:34" ht="19.5" customHeight="1">
      <c r="A29" s="120"/>
      <c r="B29" s="121"/>
      <c r="C29" s="122"/>
      <c r="D29" s="122"/>
      <c r="E29" s="74">
        <v>10</v>
      </c>
      <c r="F29" s="74">
        <v>8</v>
      </c>
      <c r="G29" s="45">
        <f t="shared" si="4"/>
        <v>80</v>
      </c>
      <c r="H29" s="119" t="s">
        <v>37</v>
      </c>
      <c r="I29" s="128">
        <v>45247</v>
      </c>
      <c r="J29" s="158">
        <v>8</v>
      </c>
      <c r="K29" s="74">
        <v>2</v>
      </c>
      <c r="L29" s="156">
        <v>45288</v>
      </c>
      <c r="M29" s="90">
        <v>80</v>
      </c>
      <c r="N29" s="90">
        <v>1</v>
      </c>
      <c r="O29" s="90"/>
      <c r="P29" s="94" t="s">
        <v>160</v>
      </c>
      <c r="Q29" s="94">
        <v>8500063403</v>
      </c>
      <c r="R29" s="94">
        <v>5001227655</v>
      </c>
      <c r="S29" s="158">
        <v>8</v>
      </c>
      <c r="T29" s="90" t="s">
        <v>87</v>
      </c>
      <c r="U29" s="90">
        <v>8500063400</v>
      </c>
      <c r="V29" s="90">
        <v>5001388958</v>
      </c>
      <c r="W29" s="109">
        <v>45388</v>
      </c>
      <c r="X29" s="106">
        <v>8</v>
      </c>
      <c r="Y29" s="106">
        <v>80</v>
      </c>
      <c r="Z29" s="106" t="s">
        <v>754</v>
      </c>
      <c r="AA29" s="106">
        <f t="shared" si="1"/>
        <v>0</v>
      </c>
      <c r="AB29" s="106">
        <f t="shared" si="2"/>
        <v>0</v>
      </c>
      <c r="AC29" s="94"/>
      <c r="AD29" s="94"/>
      <c r="AE29" s="110"/>
      <c r="AF29" s="110"/>
      <c r="AG29" s="110"/>
      <c r="AH29" s="99"/>
    </row>
    <row r="30" spans="1:34" ht="19.5" customHeight="1">
      <c r="A30" s="125" t="s">
        <v>707</v>
      </c>
      <c r="B30" s="124">
        <v>2000001214</v>
      </c>
      <c r="C30" s="117" t="s">
        <v>699</v>
      </c>
      <c r="D30" s="123">
        <v>2000001214</v>
      </c>
      <c r="E30" s="74">
        <v>10</v>
      </c>
      <c r="F30" s="118">
        <v>700</v>
      </c>
      <c r="G30" s="45">
        <f t="shared" ref="G30:G35" si="5">F30*E30</f>
        <v>7000</v>
      </c>
      <c r="H30" s="119" t="s">
        <v>27</v>
      </c>
      <c r="I30" s="128">
        <v>45274</v>
      </c>
      <c r="J30" s="158">
        <v>700</v>
      </c>
      <c r="K30" s="74">
        <f>14+2</f>
        <v>16</v>
      </c>
      <c r="L30" s="156">
        <v>45289</v>
      </c>
      <c r="M30" s="90">
        <v>7000</v>
      </c>
      <c r="N30" s="90">
        <v>70</v>
      </c>
      <c r="O30" s="90" t="s">
        <v>1602</v>
      </c>
      <c r="P30" s="94" t="s">
        <v>160</v>
      </c>
      <c r="Q30" s="94">
        <v>8500063408</v>
      </c>
      <c r="R30" s="94">
        <v>5001334742</v>
      </c>
      <c r="S30" s="158">
        <v>700</v>
      </c>
      <c r="T30" s="90" t="s">
        <v>87</v>
      </c>
      <c r="U30" s="90">
        <v>8500063406</v>
      </c>
      <c r="V30" s="90">
        <v>5001393005</v>
      </c>
      <c r="W30" s="109">
        <v>45335</v>
      </c>
      <c r="X30" s="106">
        <v>700</v>
      </c>
      <c r="Y30" s="106">
        <v>7000</v>
      </c>
      <c r="Z30" s="106" t="s">
        <v>2197</v>
      </c>
      <c r="AA30" s="106">
        <f t="shared" si="1"/>
        <v>0</v>
      </c>
      <c r="AB30" s="106">
        <f t="shared" si="2"/>
        <v>0</v>
      </c>
      <c r="AC30" s="94"/>
      <c r="AD30" s="94"/>
      <c r="AE30" s="110"/>
      <c r="AF30" s="110"/>
      <c r="AG30" s="110"/>
      <c r="AH30" s="99"/>
    </row>
    <row r="31" spans="1:34" ht="19.5" customHeight="1">
      <c r="A31" s="120"/>
      <c r="B31" s="121"/>
      <c r="C31" s="122"/>
      <c r="D31" s="122"/>
      <c r="E31" s="74">
        <v>10</v>
      </c>
      <c r="F31" s="74">
        <v>900</v>
      </c>
      <c r="G31" s="45">
        <f t="shared" si="5"/>
        <v>9000</v>
      </c>
      <c r="H31" s="119" t="s">
        <v>46</v>
      </c>
      <c r="I31" s="131">
        <v>45230</v>
      </c>
      <c r="J31" s="158">
        <v>900</v>
      </c>
      <c r="K31" s="74">
        <f>18+1</f>
        <v>19</v>
      </c>
      <c r="L31" s="156">
        <v>45289</v>
      </c>
      <c r="M31" s="90">
        <v>9000</v>
      </c>
      <c r="N31" s="90">
        <v>90</v>
      </c>
      <c r="O31" s="90"/>
      <c r="P31" s="94" t="s">
        <v>160</v>
      </c>
      <c r="Q31" s="94">
        <v>8500063408</v>
      </c>
      <c r="R31" s="94">
        <v>5001159114</v>
      </c>
      <c r="S31" s="158">
        <v>900</v>
      </c>
      <c r="T31" s="90" t="s">
        <v>87</v>
      </c>
      <c r="U31" s="90">
        <v>8500063406</v>
      </c>
      <c r="V31" s="90">
        <v>5001393007</v>
      </c>
      <c r="W31" s="109">
        <v>45328</v>
      </c>
      <c r="X31" s="106">
        <v>900</v>
      </c>
      <c r="Y31" s="106">
        <v>9000</v>
      </c>
      <c r="Z31" s="106" t="s">
        <v>1783</v>
      </c>
      <c r="AA31" s="106">
        <f t="shared" si="1"/>
        <v>0</v>
      </c>
      <c r="AB31" s="106">
        <f t="shared" si="2"/>
        <v>0</v>
      </c>
      <c r="AC31" s="94"/>
      <c r="AD31" s="94"/>
      <c r="AE31" s="110"/>
      <c r="AF31" s="110"/>
      <c r="AG31" s="110"/>
      <c r="AH31" s="99"/>
    </row>
    <row r="32" spans="1:34" ht="19.5" customHeight="1">
      <c r="A32" s="120"/>
      <c r="B32" s="121"/>
      <c r="C32" s="122"/>
      <c r="D32" s="122"/>
      <c r="E32" s="74">
        <v>10</v>
      </c>
      <c r="F32" s="74">
        <v>400</v>
      </c>
      <c r="G32" s="45">
        <f t="shared" si="5"/>
        <v>4000</v>
      </c>
      <c r="H32" s="119" t="s">
        <v>37</v>
      </c>
      <c r="I32" s="128">
        <v>45274</v>
      </c>
      <c r="J32" s="158">
        <v>400</v>
      </c>
      <c r="K32" s="74">
        <f>8+1</f>
        <v>9</v>
      </c>
      <c r="L32" s="156">
        <v>45288</v>
      </c>
      <c r="M32" s="90">
        <v>4000</v>
      </c>
      <c r="N32" s="90">
        <v>40</v>
      </c>
      <c r="O32" s="90" t="s">
        <v>1613</v>
      </c>
      <c r="P32" s="94" t="s">
        <v>160</v>
      </c>
      <c r="Q32" s="94">
        <v>8500063408</v>
      </c>
      <c r="R32" s="94">
        <v>5001334742</v>
      </c>
      <c r="S32" s="158">
        <v>400</v>
      </c>
      <c r="T32" s="90" t="s">
        <v>87</v>
      </c>
      <c r="U32" s="90">
        <v>8500063406</v>
      </c>
      <c r="V32" s="90">
        <v>5001389021</v>
      </c>
      <c r="W32" s="109">
        <v>45325</v>
      </c>
      <c r="X32" s="106">
        <v>400</v>
      </c>
      <c r="Y32" s="106">
        <v>4000</v>
      </c>
      <c r="Z32" s="106" t="s">
        <v>2197</v>
      </c>
      <c r="AA32" s="106">
        <f t="shared" si="1"/>
        <v>0</v>
      </c>
      <c r="AB32" s="106">
        <f t="shared" si="2"/>
        <v>0</v>
      </c>
      <c r="AC32" s="94"/>
      <c r="AD32" s="94"/>
      <c r="AE32" s="110"/>
      <c r="AF32" s="110"/>
      <c r="AG32" s="110"/>
      <c r="AH32" s="99"/>
    </row>
    <row r="33" spans="1:34" ht="19.5" customHeight="1">
      <c r="A33" s="125" t="s">
        <v>707</v>
      </c>
      <c r="B33" s="124">
        <v>2000001214</v>
      </c>
      <c r="C33" s="117" t="s">
        <v>699</v>
      </c>
      <c r="D33" s="122" t="s">
        <v>244</v>
      </c>
      <c r="E33" s="74">
        <v>10</v>
      </c>
      <c r="F33" s="74">
        <v>14</v>
      </c>
      <c r="G33" s="45">
        <f t="shared" si="5"/>
        <v>140</v>
      </c>
      <c r="H33" s="119" t="s">
        <v>27</v>
      </c>
      <c r="I33" s="128">
        <v>45247</v>
      </c>
      <c r="J33" s="158">
        <v>14</v>
      </c>
      <c r="K33" s="74"/>
      <c r="L33" s="156">
        <v>45289</v>
      </c>
      <c r="M33" s="90">
        <v>140</v>
      </c>
      <c r="N33" s="90">
        <v>2</v>
      </c>
      <c r="O33" s="90"/>
      <c r="P33" s="94" t="s">
        <v>160</v>
      </c>
      <c r="Q33" s="94">
        <v>8500063414</v>
      </c>
      <c r="R33" s="94">
        <v>5001227633</v>
      </c>
      <c r="S33" s="158">
        <v>14</v>
      </c>
      <c r="T33" s="90" t="s">
        <v>87</v>
      </c>
      <c r="U33" s="90">
        <v>8500063410</v>
      </c>
      <c r="V33" s="90">
        <v>5001393006</v>
      </c>
      <c r="W33" s="109">
        <v>45454</v>
      </c>
      <c r="X33" s="106">
        <v>14</v>
      </c>
      <c r="Y33" s="106">
        <v>140</v>
      </c>
      <c r="Z33" s="106" t="s">
        <v>800</v>
      </c>
      <c r="AA33" s="106">
        <f t="shared" si="1"/>
        <v>0</v>
      </c>
      <c r="AB33" s="106">
        <f t="shared" si="2"/>
        <v>0</v>
      </c>
      <c r="AC33" s="94"/>
      <c r="AD33" s="94"/>
      <c r="AE33" s="110"/>
      <c r="AF33" s="110"/>
      <c r="AG33" s="110"/>
      <c r="AH33" s="99"/>
    </row>
    <row r="34" spans="1:34" ht="19.5" customHeight="1">
      <c r="A34" s="120"/>
      <c r="B34" s="121"/>
      <c r="C34" s="122"/>
      <c r="D34" s="122"/>
      <c r="E34" s="74">
        <v>10</v>
      </c>
      <c r="F34" s="74">
        <v>18</v>
      </c>
      <c r="G34" s="45">
        <f t="shared" si="5"/>
        <v>180</v>
      </c>
      <c r="H34" s="119" t="s">
        <v>46</v>
      </c>
      <c r="I34" s="131">
        <v>45230</v>
      </c>
      <c r="J34" s="158">
        <v>18</v>
      </c>
      <c r="K34" s="74">
        <v>1</v>
      </c>
      <c r="L34" s="156">
        <v>45289</v>
      </c>
      <c r="M34" s="90">
        <v>180</v>
      </c>
      <c r="N34" s="90">
        <v>2</v>
      </c>
      <c r="O34" s="90"/>
      <c r="P34" s="94" t="s">
        <v>160</v>
      </c>
      <c r="Q34" s="94">
        <v>8500063414</v>
      </c>
      <c r="R34" s="94">
        <v>5001159109</v>
      </c>
      <c r="S34" s="158">
        <v>18</v>
      </c>
      <c r="T34" s="90" t="s">
        <v>87</v>
      </c>
      <c r="U34" s="90">
        <v>8500063410</v>
      </c>
      <c r="V34" s="90">
        <v>5001393008</v>
      </c>
      <c r="W34" s="109">
        <v>45454</v>
      </c>
      <c r="X34" s="106">
        <v>18</v>
      </c>
      <c r="Y34" s="106">
        <v>180</v>
      </c>
      <c r="Z34" s="106" t="s">
        <v>800</v>
      </c>
      <c r="AA34" s="106">
        <f t="shared" si="1"/>
        <v>0</v>
      </c>
      <c r="AB34" s="106">
        <f t="shared" si="2"/>
        <v>0</v>
      </c>
      <c r="AC34" s="94"/>
      <c r="AD34" s="94"/>
      <c r="AE34" s="110"/>
      <c r="AF34" s="110"/>
      <c r="AG34" s="110"/>
      <c r="AH34" s="99"/>
    </row>
    <row r="35" spans="1:34" ht="19.5" customHeight="1">
      <c r="A35" s="120"/>
      <c r="B35" s="121"/>
      <c r="C35" s="122"/>
      <c r="D35" s="122"/>
      <c r="E35" s="74">
        <v>10</v>
      </c>
      <c r="F35" s="74">
        <v>8</v>
      </c>
      <c r="G35" s="45">
        <f t="shared" si="5"/>
        <v>80</v>
      </c>
      <c r="H35" s="119" t="s">
        <v>37</v>
      </c>
      <c r="I35" s="128">
        <v>45261</v>
      </c>
      <c r="J35" s="158">
        <v>8</v>
      </c>
      <c r="K35" s="74">
        <v>1</v>
      </c>
      <c r="L35" s="156">
        <v>45288</v>
      </c>
      <c r="M35" s="90">
        <v>80</v>
      </c>
      <c r="N35" s="90">
        <v>1</v>
      </c>
      <c r="O35" s="90"/>
      <c r="P35" s="94" t="s">
        <v>160</v>
      </c>
      <c r="Q35" s="94">
        <v>8500063414</v>
      </c>
      <c r="R35" s="94">
        <v>5001284069</v>
      </c>
      <c r="S35" s="158">
        <v>8</v>
      </c>
      <c r="T35" s="90" t="s">
        <v>87</v>
      </c>
      <c r="U35" s="90">
        <v>8500063410</v>
      </c>
      <c r="V35" s="90">
        <v>5001389022</v>
      </c>
      <c r="W35" s="109">
        <v>45454</v>
      </c>
      <c r="X35" s="106">
        <v>8</v>
      </c>
      <c r="Y35" s="106">
        <v>80</v>
      </c>
      <c r="Z35" s="106" t="s">
        <v>800</v>
      </c>
      <c r="AA35" s="106">
        <f t="shared" si="1"/>
        <v>0</v>
      </c>
      <c r="AB35" s="106">
        <f t="shared" si="2"/>
        <v>0</v>
      </c>
      <c r="AC35" s="94"/>
      <c r="AD35" s="94"/>
      <c r="AE35" s="110"/>
      <c r="AF35" s="110"/>
      <c r="AG35" s="110"/>
      <c r="AH35" s="99"/>
    </row>
    <row r="36" spans="1:34" ht="19.5" customHeight="1">
      <c r="A36" s="125" t="s">
        <v>707</v>
      </c>
      <c r="B36" s="124">
        <v>2000001215</v>
      </c>
      <c r="C36" s="117" t="s">
        <v>699</v>
      </c>
      <c r="D36" s="123">
        <v>2000001215</v>
      </c>
      <c r="E36" s="74">
        <v>10</v>
      </c>
      <c r="F36" s="118">
        <v>700</v>
      </c>
      <c r="G36" s="45">
        <f t="shared" ref="G36:G41" si="6">F36*E36</f>
        <v>7000</v>
      </c>
      <c r="H36" s="119" t="s">
        <v>27</v>
      </c>
      <c r="I36" s="128">
        <v>45274</v>
      </c>
      <c r="J36" s="118">
        <v>700</v>
      </c>
      <c r="K36" s="74">
        <f>14+1</f>
        <v>15</v>
      </c>
      <c r="L36" s="156">
        <v>45289</v>
      </c>
      <c r="M36" s="90">
        <v>7000</v>
      </c>
      <c r="N36" s="90">
        <v>70</v>
      </c>
      <c r="O36" s="90" t="s">
        <v>740</v>
      </c>
      <c r="P36" s="94" t="s">
        <v>160</v>
      </c>
      <c r="Q36" s="94">
        <v>8500063420</v>
      </c>
      <c r="R36" s="94">
        <v>5001334737</v>
      </c>
      <c r="S36" s="118">
        <v>700</v>
      </c>
      <c r="T36" s="90" t="s">
        <v>87</v>
      </c>
      <c r="U36" s="90">
        <v>8500063418</v>
      </c>
      <c r="V36" s="90">
        <v>5001393009</v>
      </c>
      <c r="W36" s="109" t="s">
        <v>3699</v>
      </c>
      <c r="X36" s="106">
        <f>700-206+206</f>
        <v>700</v>
      </c>
      <c r="Y36" s="106">
        <f>7000-2060+2060</f>
        <v>7000</v>
      </c>
      <c r="Z36" s="106" t="s">
        <v>3700</v>
      </c>
      <c r="AA36" s="106">
        <f t="shared" si="1"/>
        <v>0</v>
      </c>
      <c r="AB36" s="106">
        <f t="shared" si="2"/>
        <v>0</v>
      </c>
      <c r="AC36" s="94" t="s">
        <v>3654</v>
      </c>
      <c r="AD36" s="94"/>
      <c r="AE36" s="110"/>
      <c r="AF36" s="110"/>
      <c r="AG36" s="110"/>
      <c r="AH36" s="99"/>
    </row>
    <row r="37" spans="1:34" ht="19.5" customHeight="1">
      <c r="A37" s="120"/>
      <c r="B37" s="121"/>
      <c r="C37" s="122"/>
      <c r="D37" s="122"/>
      <c r="E37" s="74">
        <v>10</v>
      </c>
      <c r="F37" s="74">
        <v>900</v>
      </c>
      <c r="G37" s="45">
        <f t="shared" si="6"/>
        <v>9000</v>
      </c>
      <c r="H37" s="119" t="s">
        <v>46</v>
      </c>
      <c r="I37" s="128">
        <v>45274</v>
      </c>
      <c r="J37" s="74">
        <v>900</v>
      </c>
      <c r="K37" s="74">
        <f>18+7</f>
        <v>25</v>
      </c>
      <c r="L37" s="156">
        <v>45289</v>
      </c>
      <c r="M37" s="90">
        <v>9000</v>
      </c>
      <c r="N37" s="90">
        <v>90</v>
      </c>
      <c r="O37" s="90"/>
      <c r="P37" s="94" t="s">
        <v>160</v>
      </c>
      <c r="Q37" s="94">
        <v>8500063420</v>
      </c>
      <c r="R37" s="94">
        <v>5001334737</v>
      </c>
      <c r="S37" s="74">
        <v>900</v>
      </c>
      <c r="T37" s="90" t="s">
        <v>87</v>
      </c>
      <c r="U37" s="90">
        <v>8500063418</v>
      </c>
      <c r="V37" s="90">
        <v>5001393009</v>
      </c>
      <c r="W37" s="109" t="s">
        <v>3747</v>
      </c>
      <c r="X37" s="106">
        <f>47+853-320+320</f>
        <v>900</v>
      </c>
      <c r="Y37" s="106">
        <f>470+8530-3200+3200</f>
        <v>9000</v>
      </c>
      <c r="Z37" s="106" t="s">
        <v>3748</v>
      </c>
      <c r="AA37" s="106">
        <f t="shared" si="1"/>
        <v>0</v>
      </c>
      <c r="AB37" s="106">
        <f t="shared" si="2"/>
        <v>0</v>
      </c>
      <c r="AC37" s="94" t="s">
        <v>3655</v>
      </c>
      <c r="AD37" s="94"/>
      <c r="AE37" s="110"/>
      <c r="AF37" s="110"/>
      <c r="AG37" s="110"/>
      <c r="AH37" s="99"/>
    </row>
    <row r="38" spans="1:34" ht="34.5" customHeight="1">
      <c r="A38" s="120"/>
      <c r="B38" s="121"/>
      <c r="C38" s="122"/>
      <c r="D38" s="122"/>
      <c r="E38" s="74">
        <v>10</v>
      </c>
      <c r="F38" s="74">
        <v>400</v>
      </c>
      <c r="G38" s="45">
        <f t="shared" si="6"/>
        <v>4000</v>
      </c>
      <c r="H38" s="119" t="s">
        <v>37</v>
      </c>
      <c r="I38" s="128">
        <v>45274</v>
      </c>
      <c r="J38" s="74">
        <v>400</v>
      </c>
      <c r="K38" s="74">
        <f>8+2</f>
        <v>10</v>
      </c>
      <c r="L38" s="156">
        <v>45288</v>
      </c>
      <c r="M38" s="90">
        <v>4000</v>
      </c>
      <c r="N38" s="90">
        <v>40</v>
      </c>
      <c r="O38" s="90" t="s">
        <v>1613</v>
      </c>
      <c r="P38" s="94" t="s">
        <v>160</v>
      </c>
      <c r="Q38" s="94">
        <v>8500063420</v>
      </c>
      <c r="R38" s="94">
        <v>5001334737</v>
      </c>
      <c r="S38" s="74">
        <v>400</v>
      </c>
      <c r="T38" s="90" t="s">
        <v>87</v>
      </c>
      <c r="U38" s="90">
        <v>8500063418</v>
      </c>
      <c r="V38" s="90">
        <v>5001389027</v>
      </c>
      <c r="W38" s="109" t="s">
        <v>3749</v>
      </c>
      <c r="X38" s="106">
        <f>66+334-300-46+300+46</f>
        <v>400</v>
      </c>
      <c r="Y38" s="106">
        <f>660+3340-3000-460+3000+460</f>
        <v>4000</v>
      </c>
      <c r="Z38" s="106" t="s">
        <v>3750</v>
      </c>
      <c r="AA38" s="106">
        <f t="shared" si="1"/>
        <v>0</v>
      </c>
      <c r="AB38" s="106">
        <f t="shared" si="2"/>
        <v>0</v>
      </c>
      <c r="AC38" s="111" t="s">
        <v>3686</v>
      </c>
      <c r="AD38" s="94"/>
      <c r="AE38" s="110"/>
      <c r="AF38" s="110"/>
      <c r="AG38" s="110"/>
      <c r="AH38" s="99"/>
    </row>
    <row r="39" spans="1:34" ht="19.5" customHeight="1">
      <c r="A39" s="125" t="s">
        <v>707</v>
      </c>
      <c r="B39" s="124">
        <v>2000001215</v>
      </c>
      <c r="C39" s="117" t="s">
        <v>699</v>
      </c>
      <c r="D39" s="122" t="s">
        <v>244</v>
      </c>
      <c r="E39" s="74">
        <v>10</v>
      </c>
      <c r="F39" s="74">
        <v>14</v>
      </c>
      <c r="G39" s="45">
        <f t="shared" si="6"/>
        <v>140</v>
      </c>
      <c r="H39" s="119" t="s">
        <v>27</v>
      </c>
      <c r="I39" s="128">
        <v>45247</v>
      </c>
      <c r="J39" s="158">
        <v>14</v>
      </c>
      <c r="K39" s="74"/>
      <c r="L39" s="156">
        <v>45289</v>
      </c>
      <c r="M39" s="90">
        <v>140</v>
      </c>
      <c r="N39" s="90">
        <v>2</v>
      </c>
      <c r="O39" s="90"/>
      <c r="P39" s="94" t="s">
        <v>160</v>
      </c>
      <c r="Q39" s="94">
        <v>8500063423</v>
      </c>
      <c r="R39" s="94">
        <v>5001227637</v>
      </c>
      <c r="S39" s="158">
        <v>14</v>
      </c>
      <c r="T39" s="90" t="s">
        <v>87</v>
      </c>
      <c r="U39" s="90">
        <v>8500063422</v>
      </c>
      <c r="V39" s="90">
        <v>5001393070</v>
      </c>
      <c r="W39" s="109">
        <v>45512</v>
      </c>
      <c r="X39" s="106">
        <v>14</v>
      </c>
      <c r="Y39" s="106">
        <v>140</v>
      </c>
      <c r="Z39" s="106" t="s">
        <v>800</v>
      </c>
      <c r="AA39" s="106">
        <f t="shared" si="1"/>
        <v>0</v>
      </c>
      <c r="AB39" s="106">
        <f t="shared" si="2"/>
        <v>0</v>
      </c>
      <c r="AC39" s="94"/>
      <c r="AD39" s="94"/>
      <c r="AE39" s="110"/>
      <c r="AF39" s="110"/>
      <c r="AG39" s="110"/>
      <c r="AH39" s="99"/>
    </row>
    <row r="40" spans="1:34" ht="19.5" customHeight="1">
      <c r="A40" s="120"/>
      <c r="B40" s="121"/>
      <c r="C40" s="122"/>
      <c r="D40" s="122"/>
      <c r="E40" s="74">
        <v>10</v>
      </c>
      <c r="F40" s="74">
        <v>18</v>
      </c>
      <c r="G40" s="45">
        <f t="shared" si="6"/>
        <v>180</v>
      </c>
      <c r="H40" s="119" t="s">
        <v>46</v>
      </c>
      <c r="I40" s="131">
        <v>45230</v>
      </c>
      <c r="J40" s="158">
        <v>18</v>
      </c>
      <c r="K40" s="74">
        <v>1</v>
      </c>
      <c r="L40" s="156">
        <v>45289</v>
      </c>
      <c r="M40" s="90">
        <v>180</v>
      </c>
      <c r="N40" s="90">
        <v>2</v>
      </c>
      <c r="O40" s="90"/>
      <c r="P40" s="94" t="s">
        <v>160</v>
      </c>
      <c r="Q40" s="94">
        <v>8500063423</v>
      </c>
      <c r="R40" s="94">
        <v>5001159119</v>
      </c>
      <c r="S40" s="158">
        <v>18</v>
      </c>
      <c r="T40" s="90" t="s">
        <v>87</v>
      </c>
      <c r="U40" s="90">
        <v>8500063422</v>
      </c>
      <c r="V40" s="90">
        <v>5001393070</v>
      </c>
      <c r="W40" s="109">
        <v>45512</v>
      </c>
      <c r="X40" s="106">
        <v>18</v>
      </c>
      <c r="Y40" s="106">
        <v>180</v>
      </c>
      <c r="Z40" s="106" t="s">
        <v>800</v>
      </c>
      <c r="AA40" s="106">
        <f t="shared" si="1"/>
        <v>0</v>
      </c>
      <c r="AB40" s="106">
        <f t="shared" si="2"/>
        <v>0</v>
      </c>
      <c r="AC40" s="508"/>
      <c r="AD40" s="94"/>
      <c r="AE40" s="110"/>
      <c r="AF40" s="110"/>
      <c r="AG40" s="110"/>
      <c r="AH40" s="99"/>
    </row>
    <row r="41" spans="1:34" ht="19.5" customHeight="1">
      <c r="A41" s="120"/>
      <c r="B41" s="121"/>
      <c r="C41" s="122"/>
      <c r="D41" s="122"/>
      <c r="E41" s="74">
        <v>10</v>
      </c>
      <c r="F41" s="74">
        <v>8</v>
      </c>
      <c r="G41" s="45">
        <f t="shared" si="6"/>
        <v>80</v>
      </c>
      <c r="H41" s="119" t="s">
        <v>37</v>
      </c>
      <c r="I41" s="128">
        <v>45247</v>
      </c>
      <c r="J41" s="158">
        <v>8</v>
      </c>
      <c r="K41" s="74">
        <v>1</v>
      </c>
      <c r="L41" s="156">
        <v>45288</v>
      </c>
      <c r="M41" s="90">
        <v>80</v>
      </c>
      <c r="N41" s="90">
        <v>1</v>
      </c>
      <c r="O41" s="90"/>
      <c r="P41" s="94" t="s">
        <v>160</v>
      </c>
      <c r="Q41" s="94">
        <v>8500063423</v>
      </c>
      <c r="R41" s="94">
        <v>5001227637</v>
      </c>
      <c r="S41" s="158">
        <v>8</v>
      </c>
      <c r="T41" s="90" t="s">
        <v>87</v>
      </c>
      <c r="U41" s="90">
        <v>8500063422</v>
      </c>
      <c r="V41" s="90">
        <v>5001389028</v>
      </c>
      <c r="W41" s="109">
        <v>45512</v>
      </c>
      <c r="X41" s="106">
        <v>8</v>
      </c>
      <c r="Y41" s="106">
        <v>80</v>
      </c>
      <c r="Z41" s="106" t="s">
        <v>800</v>
      </c>
      <c r="AA41" s="106">
        <f t="shared" si="1"/>
        <v>0</v>
      </c>
      <c r="AB41" s="106">
        <f t="shared" si="2"/>
        <v>0</v>
      </c>
      <c r="AC41" s="509"/>
      <c r="AD41" s="94"/>
      <c r="AE41" s="110"/>
      <c r="AF41" s="110"/>
      <c r="AG41" s="110"/>
      <c r="AH41" s="99"/>
    </row>
    <row r="42" spans="1:34" ht="27" customHeight="1">
      <c r="A42" s="120" t="s">
        <v>2115</v>
      </c>
      <c r="B42" s="225">
        <v>6000026926</v>
      </c>
      <c r="C42" s="117" t="s">
        <v>2113</v>
      </c>
      <c r="D42" s="122" t="s">
        <v>2146</v>
      </c>
      <c r="E42" s="74">
        <v>30</v>
      </c>
      <c r="F42" s="74">
        <v>19</v>
      </c>
      <c r="G42" s="45">
        <f t="shared" si="0"/>
        <v>570</v>
      </c>
      <c r="H42" s="119" t="s">
        <v>27</v>
      </c>
      <c r="I42" s="128">
        <v>45262</v>
      </c>
      <c r="J42" s="74">
        <v>19</v>
      </c>
      <c r="K42" s="74">
        <v>0</v>
      </c>
      <c r="L42" s="156">
        <v>45273</v>
      </c>
      <c r="M42" s="90">
        <v>570</v>
      </c>
      <c r="N42" s="90">
        <v>6</v>
      </c>
      <c r="O42" s="90" t="s">
        <v>824</v>
      </c>
      <c r="P42" s="94" t="s">
        <v>160</v>
      </c>
      <c r="Q42" s="94">
        <v>8500064689</v>
      </c>
      <c r="R42" s="94">
        <v>5001287774</v>
      </c>
      <c r="S42" s="74">
        <v>19</v>
      </c>
      <c r="T42" s="90" t="s">
        <v>794</v>
      </c>
      <c r="U42" s="90">
        <v>8500064687</v>
      </c>
      <c r="V42" s="90">
        <v>5001328068</v>
      </c>
      <c r="W42" s="109">
        <v>45299</v>
      </c>
      <c r="X42" s="106">
        <v>19</v>
      </c>
      <c r="Y42" s="106">
        <v>570</v>
      </c>
      <c r="Z42" s="106" t="s">
        <v>800</v>
      </c>
      <c r="AA42" s="106">
        <f t="shared" si="1"/>
        <v>0</v>
      </c>
      <c r="AB42" s="106">
        <f t="shared" si="2"/>
        <v>0</v>
      </c>
      <c r="AC42" s="510"/>
      <c r="AD42" s="94"/>
      <c r="AE42" s="110"/>
      <c r="AF42" s="110"/>
      <c r="AG42" s="110"/>
      <c r="AH42" s="99"/>
    </row>
    <row r="43" spans="1:34" ht="19.5" customHeight="1">
      <c r="A43" s="125"/>
      <c r="B43" s="225"/>
      <c r="C43" s="117"/>
      <c r="D43" s="122"/>
      <c r="E43" s="74">
        <v>30</v>
      </c>
      <c r="F43" s="74">
        <v>74</v>
      </c>
      <c r="G43" s="45">
        <f t="shared" si="0"/>
        <v>2220</v>
      </c>
      <c r="H43" s="119" t="s">
        <v>46</v>
      </c>
      <c r="I43" s="128">
        <v>45262</v>
      </c>
      <c r="J43" s="74">
        <v>74</v>
      </c>
      <c r="K43" s="74">
        <v>1</v>
      </c>
      <c r="L43" s="156">
        <v>45269</v>
      </c>
      <c r="M43" s="90">
        <v>2220</v>
      </c>
      <c r="N43" s="90">
        <v>22</v>
      </c>
      <c r="O43" s="90" t="s">
        <v>893</v>
      </c>
      <c r="P43" s="94" t="s">
        <v>160</v>
      </c>
      <c r="Q43" s="94">
        <v>8500064689</v>
      </c>
      <c r="R43" s="94">
        <v>5001287774</v>
      </c>
      <c r="S43" s="74">
        <v>74</v>
      </c>
      <c r="T43" s="90" t="s">
        <v>794</v>
      </c>
      <c r="U43" s="90">
        <v>8500064687</v>
      </c>
      <c r="V43" s="90">
        <v>5001319966</v>
      </c>
      <c r="W43" s="109">
        <v>45313</v>
      </c>
      <c r="X43" s="106">
        <v>74</v>
      </c>
      <c r="Y43" s="106">
        <v>2220</v>
      </c>
      <c r="Z43" s="106" t="s">
        <v>1460</v>
      </c>
      <c r="AA43" s="106">
        <f t="shared" si="1"/>
        <v>0</v>
      </c>
      <c r="AB43" s="106">
        <f t="shared" si="2"/>
        <v>0</v>
      </c>
      <c r="AC43" s="508"/>
      <c r="AD43" s="94"/>
      <c r="AE43" s="110"/>
      <c r="AF43" s="110"/>
      <c r="AG43" s="110"/>
      <c r="AH43" s="99"/>
    </row>
    <row r="44" spans="1:34" ht="19.5" customHeight="1">
      <c r="A44" s="125"/>
      <c r="B44" s="225"/>
      <c r="C44" s="117"/>
      <c r="D44" s="122"/>
      <c r="E44" s="74">
        <v>30</v>
      </c>
      <c r="F44" s="74">
        <v>190</v>
      </c>
      <c r="G44" s="45">
        <f t="shared" si="0"/>
        <v>5700</v>
      </c>
      <c r="H44" s="119" t="s">
        <v>37</v>
      </c>
      <c r="I44" s="128">
        <v>45262</v>
      </c>
      <c r="J44" s="74">
        <v>190</v>
      </c>
      <c r="K44" s="74">
        <v>1</v>
      </c>
      <c r="L44" s="156">
        <v>45269</v>
      </c>
      <c r="M44" s="90">
        <v>5700</v>
      </c>
      <c r="N44" s="90">
        <v>57</v>
      </c>
      <c r="O44" s="90" t="s">
        <v>2205</v>
      </c>
      <c r="P44" s="94" t="s">
        <v>28</v>
      </c>
      <c r="Q44" s="94">
        <v>8500064689</v>
      </c>
      <c r="R44" s="94">
        <v>5001287774</v>
      </c>
      <c r="S44" s="74">
        <v>190</v>
      </c>
      <c r="T44" s="90" t="s">
        <v>794</v>
      </c>
      <c r="U44" s="90">
        <v>8500064687</v>
      </c>
      <c r="V44" s="90">
        <v>5001319966</v>
      </c>
      <c r="W44" s="109">
        <v>45311</v>
      </c>
      <c r="X44" s="106">
        <v>190</v>
      </c>
      <c r="Y44" s="106">
        <v>5700</v>
      </c>
      <c r="Z44" s="106" t="s">
        <v>35</v>
      </c>
      <c r="AA44" s="106">
        <f t="shared" si="1"/>
        <v>0</v>
      </c>
      <c r="AB44" s="106">
        <f t="shared" si="2"/>
        <v>0</v>
      </c>
      <c r="AC44" s="509"/>
      <c r="AD44" s="94"/>
      <c r="AE44" s="110"/>
      <c r="AF44" s="110"/>
      <c r="AG44" s="110"/>
      <c r="AH44" s="99"/>
    </row>
    <row r="45" spans="1:34" ht="18.75" customHeight="1">
      <c r="A45" s="125"/>
      <c r="B45" s="225"/>
      <c r="C45" s="117"/>
      <c r="D45" s="122"/>
      <c r="E45" s="74">
        <v>30</v>
      </c>
      <c r="F45" s="74">
        <v>110</v>
      </c>
      <c r="G45" s="45">
        <f t="shared" si="0"/>
        <v>3300</v>
      </c>
      <c r="H45" s="119" t="s">
        <v>146</v>
      </c>
      <c r="I45" s="128">
        <v>45262</v>
      </c>
      <c r="J45" s="74">
        <v>110</v>
      </c>
      <c r="K45" s="74">
        <v>2</v>
      </c>
      <c r="L45" s="156">
        <v>45269</v>
      </c>
      <c r="M45" s="90">
        <v>3300</v>
      </c>
      <c r="N45" s="90">
        <v>33</v>
      </c>
      <c r="O45" s="90" t="s">
        <v>1640</v>
      </c>
      <c r="P45" s="94" t="s">
        <v>28</v>
      </c>
      <c r="Q45" s="94">
        <v>8500064689</v>
      </c>
      <c r="R45" s="94">
        <v>5001287774</v>
      </c>
      <c r="S45" s="74">
        <v>110</v>
      </c>
      <c r="T45" s="90" t="s">
        <v>794</v>
      </c>
      <c r="U45" s="90">
        <v>8500064687</v>
      </c>
      <c r="V45" s="90">
        <v>5001319966</v>
      </c>
      <c r="W45" s="109">
        <v>45295</v>
      </c>
      <c r="X45" s="106">
        <v>110</v>
      </c>
      <c r="Y45" s="106">
        <v>3300</v>
      </c>
      <c r="Z45" s="106" t="s">
        <v>800</v>
      </c>
      <c r="AA45" s="106">
        <f t="shared" si="1"/>
        <v>0</v>
      </c>
      <c r="AB45" s="106">
        <f t="shared" si="2"/>
        <v>0</v>
      </c>
      <c r="AC45" s="509"/>
      <c r="AD45" s="94"/>
      <c r="AE45" s="110"/>
      <c r="AF45" s="110"/>
      <c r="AG45" s="110"/>
      <c r="AH45" s="99"/>
    </row>
    <row r="46" spans="1:34" ht="19.5" customHeight="1">
      <c r="A46" s="125" t="s">
        <v>2115</v>
      </c>
      <c r="B46" s="225">
        <v>6000026926</v>
      </c>
      <c r="C46" s="117" t="s">
        <v>2116</v>
      </c>
      <c r="D46" s="122" t="s">
        <v>2146</v>
      </c>
      <c r="E46" s="74">
        <v>30</v>
      </c>
      <c r="F46" s="74">
        <v>61</v>
      </c>
      <c r="G46" s="45">
        <f t="shared" si="0"/>
        <v>1830</v>
      </c>
      <c r="H46" s="119" t="s">
        <v>46</v>
      </c>
      <c r="I46" s="128">
        <v>45265</v>
      </c>
      <c r="J46" s="74">
        <v>61</v>
      </c>
      <c r="K46" s="74">
        <v>1</v>
      </c>
      <c r="L46" s="156">
        <v>45273</v>
      </c>
      <c r="M46" s="90">
        <v>1830</v>
      </c>
      <c r="N46" s="90">
        <v>18</v>
      </c>
      <c r="O46" s="90" t="s">
        <v>824</v>
      </c>
      <c r="P46" s="94" t="s">
        <v>28</v>
      </c>
      <c r="Q46" s="94">
        <v>8500064691</v>
      </c>
      <c r="R46" s="94">
        <v>5001298469</v>
      </c>
      <c r="S46" s="74">
        <v>61</v>
      </c>
      <c r="T46" s="90" t="s">
        <v>794</v>
      </c>
      <c r="U46" s="90">
        <v>8500064690</v>
      </c>
      <c r="V46" s="90">
        <v>5001328085</v>
      </c>
      <c r="W46" s="109">
        <v>45309</v>
      </c>
      <c r="X46" s="106">
        <v>61</v>
      </c>
      <c r="Y46" s="106">
        <v>1830</v>
      </c>
      <c r="Z46" s="106" t="s">
        <v>1609</v>
      </c>
      <c r="AA46" s="106">
        <f t="shared" si="1"/>
        <v>0</v>
      </c>
      <c r="AB46" s="106">
        <f t="shared" si="2"/>
        <v>0</v>
      </c>
      <c r="AC46" s="510"/>
      <c r="AD46" s="94"/>
      <c r="AE46" s="110"/>
      <c r="AF46" s="110"/>
      <c r="AG46" s="110"/>
      <c r="AH46" s="99"/>
    </row>
    <row r="47" spans="1:34" ht="19.5" customHeight="1">
      <c r="A47" s="120"/>
      <c r="B47" s="121"/>
      <c r="C47" s="122"/>
      <c r="D47" s="122"/>
      <c r="E47" s="74">
        <v>30</v>
      </c>
      <c r="F47" s="74">
        <v>54</v>
      </c>
      <c r="G47" s="45">
        <f t="shared" si="0"/>
        <v>1620</v>
      </c>
      <c r="H47" s="119" t="s">
        <v>37</v>
      </c>
      <c r="I47" s="128">
        <v>45265</v>
      </c>
      <c r="J47" s="74">
        <v>54</v>
      </c>
      <c r="K47" s="74">
        <v>1</v>
      </c>
      <c r="L47" s="156">
        <v>45273</v>
      </c>
      <c r="M47" s="90">
        <v>1620</v>
      </c>
      <c r="N47" s="90">
        <v>16</v>
      </c>
      <c r="O47" s="90" t="s">
        <v>824</v>
      </c>
      <c r="P47" s="94" t="s">
        <v>28</v>
      </c>
      <c r="Q47" s="94">
        <v>8500064691</v>
      </c>
      <c r="R47" s="94">
        <v>5001298469</v>
      </c>
      <c r="S47" s="74">
        <v>54</v>
      </c>
      <c r="T47" s="90" t="s">
        <v>794</v>
      </c>
      <c r="U47" s="90">
        <v>8500064690</v>
      </c>
      <c r="V47" s="90">
        <v>5001328085</v>
      </c>
      <c r="W47" s="109">
        <v>45304</v>
      </c>
      <c r="X47" s="106">
        <v>54</v>
      </c>
      <c r="Y47" s="106">
        <v>1620</v>
      </c>
      <c r="Z47" s="106" t="s">
        <v>1434</v>
      </c>
      <c r="AA47" s="106">
        <f t="shared" si="1"/>
        <v>0</v>
      </c>
      <c r="AB47" s="106">
        <f t="shared" si="2"/>
        <v>0</v>
      </c>
      <c r="AC47" s="94" t="s">
        <v>2280</v>
      </c>
      <c r="AD47" s="94"/>
      <c r="AE47" s="110"/>
      <c r="AF47" s="110"/>
      <c r="AG47" s="110"/>
      <c r="AH47" s="99"/>
    </row>
    <row r="48" spans="1:34" ht="19.5" customHeight="1">
      <c r="A48" s="120"/>
      <c r="B48" s="121"/>
      <c r="C48" s="122"/>
      <c r="D48" s="122"/>
      <c r="E48" s="74">
        <v>30</v>
      </c>
      <c r="F48" s="74">
        <v>92</v>
      </c>
      <c r="G48" s="45">
        <f t="shared" si="0"/>
        <v>2760</v>
      </c>
      <c r="H48" s="119" t="s">
        <v>146</v>
      </c>
      <c r="I48" s="128">
        <v>45265</v>
      </c>
      <c r="J48" s="74">
        <v>92</v>
      </c>
      <c r="K48" s="74">
        <v>1</v>
      </c>
      <c r="L48" s="156">
        <v>45276</v>
      </c>
      <c r="M48" s="90">
        <v>2760</v>
      </c>
      <c r="N48" s="90">
        <v>28</v>
      </c>
      <c r="O48" s="90" t="s">
        <v>793</v>
      </c>
      <c r="P48" s="94" t="s">
        <v>28</v>
      </c>
      <c r="Q48" s="94">
        <v>8500064691</v>
      </c>
      <c r="R48" s="94">
        <v>5001298469</v>
      </c>
      <c r="S48" s="74">
        <v>92</v>
      </c>
      <c r="T48" s="90" t="s">
        <v>794</v>
      </c>
      <c r="U48" s="90">
        <v>8500064690</v>
      </c>
      <c r="V48" s="90">
        <v>5001345392</v>
      </c>
      <c r="W48" s="109">
        <v>45309</v>
      </c>
      <c r="X48" s="106">
        <v>92</v>
      </c>
      <c r="Y48" s="106">
        <v>2760</v>
      </c>
      <c r="Z48" s="106" t="s">
        <v>759</v>
      </c>
      <c r="AA48" s="106">
        <f t="shared" si="1"/>
        <v>0</v>
      </c>
      <c r="AB48" s="106">
        <f t="shared" si="2"/>
        <v>0</v>
      </c>
      <c r="AC48" s="94"/>
      <c r="AD48" s="94"/>
      <c r="AE48" s="110"/>
      <c r="AF48" s="110"/>
      <c r="AG48" s="110"/>
      <c r="AH48" s="99"/>
    </row>
    <row r="49" spans="1:34" ht="42" customHeight="1">
      <c r="A49" s="45" t="s">
        <v>24</v>
      </c>
      <c r="B49" s="121">
        <v>6000027225</v>
      </c>
      <c r="C49" s="2" t="s">
        <v>25</v>
      </c>
      <c r="D49" s="2" t="s">
        <v>343</v>
      </c>
      <c r="E49" s="74">
        <v>10</v>
      </c>
      <c r="F49" s="74">
        <v>500</v>
      </c>
      <c r="G49" s="45">
        <f t="shared" si="0"/>
        <v>5000</v>
      </c>
      <c r="H49" s="119" t="s">
        <v>27</v>
      </c>
      <c r="I49" s="128" t="s">
        <v>2259</v>
      </c>
      <c r="J49" s="158">
        <f>417+83</f>
        <v>500</v>
      </c>
      <c r="K49" s="74">
        <f>10+2</f>
        <v>12</v>
      </c>
      <c r="L49" s="156">
        <v>45274</v>
      </c>
      <c r="M49" s="90">
        <v>5000</v>
      </c>
      <c r="N49" s="90">
        <f>50+20</f>
        <v>70</v>
      </c>
      <c r="O49" s="90"/>
      <c r="P49" s="94" t="s">
        <v>28</v>
      </c>
      <c r="Q49" s="94">
        <v>8500064880</v>
      </c>
      <c r="R49" s="94">
        <v>5001320678</v>
      </c>
      <c r="S49" s="158">
        <f>417+83</f>
        <v>500</v>
      </c>
      <c r="T49" s="90" t="s">
        <v>1558</v>
      </c>
      <c r="U49" s="90">
        <v>8500064879</v>
      </c>
      <c r="V49" s="90">
        <v>5001331468</v>
      </c>
      <c r="W49" s="109">
        <v>45289</v>
      </c>
      <c r="X49" s="106">
        <v>500</v>
      </c>
      <c r="Y49" s="106">
        <v>5000</v>
      </c>
      <c r="Z49" s="106" t="s">
        <v>2326</v>
      </c>
      <c r="AA49" s="106">
        <f t="shared" si="1"/>
        <v>0</v>
      </c>
      <c r="AB49" s="106">
        <f t="shared" si="2"/>
        <v>0</v>
      </c>
      <c r="AC49" s="94"/>
      <c r="AD49" s="94"/>
      <c r="AE49" s="110"/>
      <c r="AF49" s="110"/>
      <c r="AG49" s="110"/>
      <c r="AH49" s="99"/>
    </row>
    <row r="50" spans="1:34" ht="19.5" customHeight="1">
      <c r="A50" s="45" t="s">
        <v>24</v>
      </c>
      <c r="B50" s="121">
        <v>6000027225</v>
      </c>
      <c r="C50" s="2" t="s">
        <v>771</v>
      </c>
      <c r="D50" s="2" t="s">
        <v>2156</v>
      </c>
      <c r="E50" s="74">
        <v>10</v>
      </c>
      <c r="F50" s="74">
        <v>2200</v>
      </c>
      <c r="G50" s="45">
        <f t="shared" si="0"/>
        <v>22000</v>
      </c>
      <c r="H50" s="119" t="s">
        <v>37</v>
      </c>
      <c r="I50" s="128">
        <v>45283</v>
      </c>
      <c r="J50" s="158">
        <v>2200</v>
      </c>
      <c r="K50" s="74">
        <v>20</v>
      </c>
      <c r="L50" s="156">
        <v>45273</v>
      </c>
      <c r="M50" s="90">
        <v>22000</v>
      </c>
      <c r="N50" s="90">
        <f>220+20</f>
        <v>240</v>
      </c>
      <c r="O50" s="90"/>
      <c r="P50" s="94" t="s">
        <v>924</v>
      </c>
      <c r="Q50" s="94">
        <v>8500065069</v>
      </c>
      <c r="R50" s="94">
        <v>5001372204</v>
      </c>
      <c r="S50" s="158">
        <v>2200</v>
      </c>
      <c r="T50" s="90" t="s">
        <v>1558</v>
      </c>
      <c r="U50" s="90">
        <v>8500064881</v>
      </c>
      <c r="V50" s="90">
        <v>5001331321</v>
      </c>
      <c r="W50" s="109" t="s">
        <v>2404</v>
      </c>
      <c r="X50" s="106">
        <f>0+2200</f>
        <v>2200</v>
      </c>
      <c r="Y50" s="106">
        <f>22000+0</f>
        <v>22000</v>
      </c>
      <c r="Z50" s="106" t="s">
        <v>2405</v>
      </c>
      <c r="AA50" s="106">
        <f t="shared" si="1"/>
        <v>0</v>
      </c>
      <c r="AB50" s="106">
        <f t="shared" si="2"/>
        <v>0</v>
      </c>
      <c r="AC50" s="94"/>
      <c r="AD50" s="94"/>
      <c r="AE50" s="110"/>
      <c r="AF50" s="110"/>
      <c r="AG50" s="110"/>
      <c r="AH50" s="99"/>
    </row>
    <row r="51" spans="1:34" ht="45" customHeight="1">
      <c r="A51" s="45" t="s">
        <v>24</v>
      </c>
      <c r="B51" s="121">
        <v>6000027226</v>
      </c>
      <c r="C51" s="2" t="s">
        <v>771</v>
      </c>
      <c r="D51" s="2" t="s">
        <v>2157</v>
      </c>
      <c r="E51" s="74">
        <v>10</v>
      </c>
      <c r="F51" s="74">
        <v>2850</v>
      </c>
      <c r="G51" s="45">
        <f t="shared" si="0"/>
        <v>28500</v>
      </c>
      <c r="H51" s="119" t="s">
        <v>37</v>
      </c>
      <c r="I51" s="128" t="s">
        <v>2491</v>
      </c>
      <c r="J51" s="158">
        <f>2700+150</f>
        <v>2850</v>
      </c>
      <c r="K51" s="74">
        <v>10</v>
      </c>
      <c r="L51" s="156">
        <v>45274</v>
      </c>
      <c r="M51" s="90">
        <v>28500</v>
      </c>
      <c r="N51" s="90">
        <f>285+20</f>
        <v>305</v>
      </c>
      <c r="O51" s="90"/>
      <c r="P51" s="94" t="s">
        <v>924</v>
      </c>
      <c r="Q51" s="94">
        <v>8500065070</v>
      </c>
      <c r="R51" s="94">
        <v>5001358283</v>
      </c>
      <c r="S51" s="158">
        <f>2700+150</f>
        <v>2850</v>
      </c>
      <c r="T51" s="90" t="s">
        <v>1558</v>
      </c>
      <c r="U51" s="90">
        <v>8500064883</v>
      </c>
      <c r="V51" s="90">
        <v>5001331464</v>
      </c>
      <c r="W51" s="109" t="s">
        <v>2458</v>
      </c>
      <c r="X51" s="106">
        <f>0+220+100+2380+150</f>
        <v>2850</v>
      </c>
      <c r="Y51" s="106">
        <f>25300+2200+1000</f>
        <v>28500</v>
      </c>
      <c r="Z51" s="106" t="s">
        <v>2406</v>
      </c>
      <c r="AA51" s="106">
        <f t="shared" si="1"/>
        <v>0</v>
      </c>
      <c r="AB51" s="106">
        <f t="shared" si="2"/>
        <v>0</v>
      </c>
      <c r="AC51" s="94"/>
      <c r="AD51" s="94"/>
      <c r="AE51" s="110"/>
      <c r="AF51" s="110"/>
      <c r="AG51" s="110"/>
      <c r="AH51" s="99"/>
    </row>
    <row r="52" spans="1:34" ht="19.5" customHeight="1">
      <c r="A52" s="45" t="s">
        <v>24</v>
      </c>
      <c r="B52" s="121">
        <v>6000027227</v>
      </c>
      <c r="C52" s="2" t="s">
        <v>25</v>
      </c>
      <c r="D52" s="2" t="s">
        <v>2158</v>
      </c>
      <c r="E52" s="74">
        <v>10</v>
      </c>
      <c r="F52" s="74">
        <v>2100</v>
      </c>
      <c r="G52" s="45">
        <f t="shared" si="0"/>
        <v>21000</v>
      </c>
      <c r="H52" s="119" t="s">
        <v>27</v>
      </c>
      <c r="I52" s="128">
        <v>45271</v>
      </c>
      <c r="J52" s="158">
        <f>1832+268</f>
        <v>2100</v>
      </c>
      <c r="K52" s="74">
        <v>32</v>
      </c>
      <c r="L52" s="156">
        <v>45274</v>
      </c>
      <c r="M52" s="90">
        <v>21000</v>
      </c>
      <c r="N52" s="90">
        <f>210+20</f>
        <v>230</v>
      </c>
      <c r="O52" s="90"/>
      <c r="P52" s="94" t="s">
        <v>28</v>
      </c>
      <c r="Q52" s="94">
        <v>8500064888</v>
      </c>
      <c r="R52" s="94">
        <v>5001319960</v>
      </c>
      <c r="S52" s="158">
        <f>1832+268</f>
        <v>2100</v>
      </c>
      <c r="T52" s="90" t="s">
        <v>1558</v>
      </c>
      <c r="U52" s="90">
        <v>8500064887</v>
      </c>
      <c r="V52" s="90">
        <v>5001331478</v>
      </c>
      <c r="W52" s="105" t="s">
        <v>2285</v>
      </c>
      <c r="X52" s="106">
        <f>500+1600</f>
        <v>2100</v>
      </c>
      <c r="Y52" s="106">
        <f>5000+16000</f>
        <v>21000</v>
      </c>
      <c r="Z52" s="106" t="s">
        <v>727</v>
      </c>
      <c r="AA52" s="106">
        <f t="shared" si="1"/>
        <v>0</v>
      </c>
      <c r="AB52" s="106">
        <f t="shared" si="2"/>
        <v>0</v>
      </c>
      <c r="AC52" s="94"/>
      <c r="AD52" s="94"/>
      <c r="AE52" s="110"/>
      <c r="AF52" s="110"/>
      <c r="AG52" s="110"/>
      <c r="AH52" s="99"/>
    </row>
    <row r="53" spans="1:34" ht="19.5" customHeight="1">
      <c r="A53" s="45" t="s">
        <v>24</v>
      </c>
      <c r="B53" s="121">
        <v>6000027228</v>
      </c>
      <c r="C53" s="2" t="s">
        <v>25</v>
      </c>
      <c r="D53" s="2" t="s">
        <v>2159</v>
      </c>
      <c r="E53" s="74">
        <v>10</v>
      </c>
      <c r="F53" s="74">
        <v>2100</v>
      </c>
      <c r="G53" s="45">
        <f t="shared" si="0"/>
        <v>21000</v>
      </c>
      <c r="H53" s="119" t="s">
        <v>46</v>
      </c>
      <c r="I53" s="128">
        <v>45267</v>
      </c>
      <c r="J53" s="158">
        <v>2100</v>
      </c>
      <c r="K53" s="74">
        <v>24</v>
      </c>
      <c r="L53" s="156">
        <v>45269</v>
      </c>
      <c r="M53" s="90">
        <v>21000</v>
      </c>
      <c r="N53" s="90">
        <f>210+20</f>
        <v>230</v>
      </c>
      <c r="O53" s="90" t="s">
        <v>2188</v>
      </c>
      <c r="P53" s="94" t="s">
        <v>28</v>
      </c>
      <c r="Q53" s="94">
        <v>8500064901</v>
      </c>
      <c r="R53" s="94">
        <v>5001305912</v>
      </c>
      <c r="S53" s="94">
        <v>2100</v>
      </c>
      <c r="T53" s="90" t="s">
        <v>1558</v>
      </c>
      <c r="U53" s="90">
        <v>8500064899</v>
      </c>
      <c r="V53" s="90">
        <v>5001313235</v>
      </c>
      <c r="W53" s="109">
        <v>45278</v>
      </c>
      <c r="X53" s="106">
        <v>2100</v>
      </c>
      <c r="Y53" s="106">
        <v>21000</v>
      </c>
      <c r="Z53" s="106" t="s">
        <v>817</v>
      </c>
      <c r="AA53" s="106">
        <f t="shared" si="1"/>
        <v>0</v>
      </c>
      <c r="AB53" s="106">
        <f t="shared" si="2"/>
        <v>0</v>
      </c>
      <c r="AC53" s="94"/>
      <c r="AD53" s="94"/>
      <c r="AE53" s="110"/>
      <c r="AF53" s="110"/>
      <c r="AG53" s="110"/>
      <c r="AH53" s="99"/>
    </row>
    <row r="54" spans="1:34" ht="19.5" customHeight="1">
      <c r="A54" s="45" t="s">
        <v>24</v>
      </c>
      <c r="B54" s="121">
        <v>6000027229</v>
      </c>
      <c r="C54" s="2" t="s">
        <v>771</v>
      </c>
      <c r="D54" s="2" t="s">
        <v>2160</v>
      </c>
      <c r="E54" s="74">
        <v>10</v>
      </c>
      <c r="F54" s="74">
        <v>3700</v>
      </c>
      <c r="G54" s="45">
        <f t="shared" si="0"/>
        <v>37000</v>
      </c>
      <c r="H54" s="119" t="s">
        <v>37</v>
      </c>
      <c r="I54" s="128" t="s">
        <v>2279</v>
      </c>
      <c r="J54" s="158">
        <f>2400+1300</f>
        <v>3700</v>
      </c>
      <c r="K54" s="74">
        <v>20</v>
      </c>
      <c r="L54" s="156">
        <v>45274</v>
      </c>
      <c r="M54" s="90">
        <v>37000</v>
      </c>
      <c r="N54" s="90">
        <f>370+20</f>
        <v>390</v>
      </c>
      <c r="O54" s="90"/>
      <c r="P54" s="94" t="s">
        <v>924</v>
      </c>
      <c r="Q54" s="94">
        <v>8500065071</v>
      </c>
      <c r="R54" s="94">
        <v>5001358284</v>
      </c>
      <c r="S54" s="158">
        <f>2400+1300</f>
        <v>3700</v>
      </c>
      <c r="T54" s="90" t="s">
        <v>1558</v>
      </c>
      <c r="U54" s="90">
        <v>8500064911</v>
      </c>
      <c r="V54" s="90">
        <v>5001334992</v>
      </c>
      <c r="W54" s="109">
        <v>45299</v>
      </c>
      <c r="X54" s="106">
        <v>3700</v>
      </c>
      <c r="Y54" s="106">
        <f>37000</f>
        <v>37000</v>
      </c>
      <c r="Z54" s="106" t="s">
        <v>927</v>
      </c>
      <c r="AA54" s="106">
        <f t="shared" si="1"/>
        <v>0</v>
      </c>
      <c r="AB54" s="106">
        <f t="shared" si="2"/>
        <v>0</v>
      </c>
      <c r="AC54" s="94"/>
      <c r="AD54" s="94"/>
      <c r="AE54" s="110"/>
      <c r="AF54" s="110"/>
      <c r="AG54" s="110"/>
      <c r="AH54" s="99"/>
    </row>
    <row r="55" spans="1:34" ht="19.5" customHeight="1">
      <c r="A55" s="45" t="s">
        <v>24</v>
      </c>
      <c r="B55" s="121">
        <v>6000027230</v>
      </c>
      <c r="C55" s="2" t="s">
        <v>25</v>
      </c>
      <c r="D55" s="2" t="s">
        <v>2161</v>
      </c>
      <c r="E55" s="74">
        <v>10</v>
      </c>
      <c r="F55" s="74">
        <v>2100</v>
      </c>
      <c r="G55" s="45">
        <f t="shared" si="0"/>
        <v>21000</v>
      </c>
      <c r="H55" s="119" t="s">
        <v>27</v>
      </c>
      <c r="I55" s="128">
        <v>45271</v>
      </c>
      <c r="J55" s="158">
        <v>2100</v>
      </c>
      <c r="K55" s="74">
        <v>26</v>
      </c>
      <c r="L55" s="156">
        <v>45274</v>
      </c>
      <c r="M55" s="90">
        <v>21000</v>
      </c>
      <c r="N55" s="90">
        <f>210+20</f>
        <v>230</v>
      </c>
      <c r="O55" s="90"/>
      <c r="P55" s="94" t="s">
        <v>28</v>
      </c>
      <c r="Q55" s="94">
        <v>8500064914</v>
      </c>
      <c r="R55" s="94">
        <v>5001320693</v>
      </c>
      <c r="S55" s="94">
        <v>2100</v>
      </c>
      <c r="T55" s="90" t="s">
        <v>1558</v>
      </c>
      <c r="U55" s="90">
        <v>8500064913</v>
      </c>
      <c r="V55" s="90">
        <v>5001331488</v>
      </c>
      <c r="W55" s="109">
        <v>45287</v>
      </c>
      <c r="X55" s="106">
        <v>2100</v>
      </c>
      <c r="Y55" s="106">
        <v>21000</v>
      </c>
      <c r="Z55" s="106" t="s">
        <v>727</v>
      </c>
      <c r="AA55" s="106">
        <f t="shared" si="1"/>
        <v>0</v>
      </c>
      <c r="AB55" s="106">
        <f t="shared" si="2"/>
        <v>0</v>
      </c>
      <c r="AC55" s="94"/>
      <c r="AD55" s="94"/>
      <c r="AE55" s="110"/>
      <c r="AF55" s="110"/>
      <c r="AG55" s="110"/>
      <c r="AH55" s="99"/>
    </row>
    <row r="56" spans="1:34" ht="19.5" customHeight="1">
      <c r="A56" s="45" t="s">
        <v>24</v>
      </c>
      <c r="B56" s="121">
        <v>6000027231</v>
      </c>
      <c r="C56" s="2" t="s">
        <v>25</v>
      </c>
      <c r="D56" s="2" t="s">
        <v>2162</v>
      </c>
      <c r="E56" s="74">
        <v>10</v>
      </c>
      <c r="F56" s="74">
        <v>2100</v>
      </c>
      <c r="G56" s="45">
        <f t="shared" si="0"/>
        <v>21000</v>
      </c>
      <c r="H56" s="119" t="s">
        <v>37</v>
      </c>
      <c r="I56" s="132">
        <v>45267</v>
      </c>
      <c r="J56" s="158">
        <v>2100</v>
      </c>
      <c r="K56" s="74">
        <v>25</v>
      </c>
      <c r="L56" s="156">
        <v>45274</v>
      </c>
      <c r="M56" s="90">
        <v>21000</v>
      </c>
      <c r="N56" s="90">
        <f>210+20</f>
        <v>230</v>
      </c>
      <c r="O56" s="90"/>
      <c r="P56" s="94" t="s">
        <v>28</v>
      </c>
      <c r="Q56" s="94">
        <v>8500064924</v>
      </c>
      <c r="R56" s="94">
        <v>5001305917</v>
      </c>
      <c r="S56" s="94">
        <v>2100</v>
      </c>
      <c r="T56" s="90" t="s">
        <v>1558</v>
      </c>
      <c r="U56" s="90">
        <v>8500064923</v>
      </c>
      <c r="V56" s="90">
        <v>5001331483</v>
      </c>
      <c r="W56" s="109">
        <v>45288</v>
      </c>
      <c r="X56" s="106">
        <v>2100</v>
      </c>
      <c r="Y56" s="106">
        <v>21000</v>
      </c>
      <c r="Z56" s="106" t="s">
        <v>35</v>
      </c>
      <c r="AA56" s="106">
        <f t="shared" si="1"/>
        <v>0</v>
      </c>
      <c r="AB56" s="106">
        <f t="shared" si="2"/>
        <v>0</v>
      </c>
      <c r="AC56" s="111"/>
      <c r="AD56" s="94"/>
      <c r="AE56" s="110"/>
      <c r="AF56" s="110"/>
      <c r="AG56" s="110"/>
      <c r="AH56" s="99"/>
    </row>
    <row r="57" spans="1:34" ht="19.5" customHeight="1">
      <c r="A57" s="45" t="s">
        <v>24</v>
      </c>
      <c r="B57" s="121">
        <v>6000027232</v>
      </c>
      <c r="C57" s="2" t="s">
        <v>25</v>
      </c>
      <c r="D57" s="2" t="s">
        <v>2163</v>
      </c>
      <c r="E57" s="74">
        <v>10</v>
      </c>
      <c r="F57" s="74">
        <v>2100</v>
      </c>
      <c r="G57" s="45">
        <f t="shared" si="0"/>
        <v>21000</v>
      </c>
      <c r="H57" s="119" t="s">
        <v>46</v>
      </c>
      <c r="I57" s="128">
        <v>45276</v>
      </c>
      <c r="J57" s="158">
        <v>2100</v>
      </c>
      <c r="K57" s="74">
        <v>22</v>
      </c>
      <c r="L57" s="156">
        <v>45287</v>
      </c>
      <c r="M57" s="90">
        <v>21000</v>
      </c>
      <c r="N57" s="90">
        <v>230</v>
      </c>
      <c r="O57" s="90"/>
      <c r="P57" s="94" t="s">
        <v>28</v>
      </c>
      <c r="Q57" s="94">
        <v>8500064926</v>
      </c>
      <c r="R57" s="94">
        <v>5001345387</v>
      </c>
      <c r="S57" s="158">
        <v>2100</v>
      </c>
      <c r="T57" s="90" t="s">
        <v>1558</v>
      </c>
      <c r="U57" s="90">
        <v>8500064925</v>
      </c>
      <c r="V57" s="90">
        <v>5001381868</v>
      </c>
      <c r="W57" s="109">
        <v>45290</v>
      </c>
      <c r="X57" s="106">
        <v>2100</v>
      </c>
      <c r="Y57" s="106">
        <v>21000</v>
      </c>
      <c r="Z57" s="106" t="s">
        <v>2344</v>
      </c>
      <c r="AA57" s="106">
        <f t="shared" si="1"/>
        <v>0</v>
      </c>
      <c r="AB57" s="106">
        <f t="shared" si="2"/>
        <v>0</v>
      </c>
      <c r="AC57" s="94"/>
      <c r="AD57" s="94"/>
      <c r="AE57" s="110"/>
      <c r="AF57" s="110"/>
      <c r="AG57" s="110"/>
      <c r="AH57" s="99"/>
    </row>
    <row r="58" spans="1:34" ht="19.5" customHeight="1">
      <c r="A58" s="45" t="s">
        <v>24</v>
      </c>
      <c r="B58" s="121">
        <v>6000027233</v>
      </c>
      <c r="C58" s="2" t="s">
        <v>25</v>
      </c>
      <c r="D58" s="2" t="s">
        <v>2164</v>
      </c>
      <c r="E58" s="74">
        <v>10</v>
      </c>
      <c r="F58" s="74">
        <v>2100</v>
      </c>
      <c r="G58" s="45">
        <f t="shared" si="0"/>
        <v>21000</v>
      </c>
      <c r="H58" s="119" t="s">
        <v>27</v>
      </c>
      <c r="I58" s="132">
        <v>45271</v>
      </c>
      <c r="J58" s="158">
        <v>2100</v>
      </c>
      <c r="K58" s="74">
        <v>21</v>
      </c>
      <c r="L58" s="156">
        <v>45274</v>
      </c>
      <c r="M58" s="90">
        <v>21000</v>
      </c>
      <c r="N58" s="90">
        <f>210+20</f>
        <v>230</v>
      </c>
      <c r="O58" s="90"/>
      <c r="P58" s="94" t="s">
        <v>28</v>
      </c>
      <c r="Q58" s="94">
        <v>8500064886</v>
      </c>
      <c r="R58" s="94">
        <v>5001319961</v>
      </c>
      <c r="S58" s="94">
        <v>2100</v>
      </c>
      <c r="T58" s="90" t="s">
        <v>1558</v>
      </c>
      <c r="U58" s="90">
        <v>8500064885</v>
      </c>
      <c r="V58" s="90">
        <v>5001334924</v>
      </c>
      <c r="W58" s="109" t="s">
        <v>2348</v>
      </c>
      <c r="X58" s="106">
        <f>1500+600</f>
        <v>2100</v>
      </c>
      <c r="Y58" s="106">
        <f>15000+6000</f>
        <v>21000</v>
      </c>
      <c r="Z58" s="106" t="s">
        <v>2343</v>
      </c>
      <c r="AA58" s="106">
        <f t="shared" si="1"/>
        <v>0</v>
      </c>
      <c r="AB58" s="106">
        <f t="shared" si="2"/>
        <v>0</v>
      </c>
      <c r="AC58" s="94"/>
      <c r="AD58" s="94"/>
      <c r="AE58" s="110"/>
      <c r="AF58" s="110"/>
      <c r="AG58" s="110"/>
      <c r="AH58" s="99"/>
    </row>
    <row r="59" spans="1:34" ht="19.5" customHeight="1">
      <c r="A59" s="45" t="s">
        <v>24</v>
      </c>
      <c r="B59" s="121">
        <v>6000027234</v>
      </c>
      <c r="C59" s="2" t="s">
        <v>25</v>
      </c>
      <c r="D59" s="2" t="s">
        <v>2165</v>
      </c>
      <c r="E59" s="74">
        <v>10</v>
      </c>
      <c r="F59" s="74">
        <v>1050</v>
      </c>
      <c r="G59" s="45">
        <f t="shared" si="0"/>
        <v>10500</v>
      </c>
      <c r="H59" s="119" t="s">
        <v>46</v>
      </c>
      <c r="I59" s="128">
        <v>45271</v>
      </c>
      <c r="J59" s="158">
        <v>1050</v>
      </c>
      <c r="K59" s="74">
        <v>14</v>
      </c>
      <c r="L59" s="156">
        <v>45274</v>
      </c>
      <c r="M59" s="90">
        <v>10500</v>
      </c>
      <c r="N59" s="90">
        <f>105+20</f>
        <v>125</v>
      </c>
      <c r="O59" s="90"/>
      <c r="P59" s="94" t="s">
        <v>28</v>
      </c>
      <c r="Q59" s="94">
        <v>8500064890</v>
      </c>
      <c r="R59" s="94">
        <v>5001320698</v>
      </c>
      <c r="S59" s="158">
        <v>1050</v>
      </c>
      <c r="T59" s="90" t="s">
        <v>1558</v>
      </c>
      <c r="U59" s="90">
        <v>8500064889</v>
      </c>
      <c r="V59" s="90">
        <v>5001334969</v>
      </c>
      <c r="W59" s="109">
        <v>45280</v>
      </c>
      <c r="X59" s="106">
        <v>1050</v>
      </c>
      <c r="Y59" s="106">
        <v>10500</v>
      </c>
      <c r="Z59" s="106" t="s">
        <v>817</v>
      </c>
      <c r="AA59" s="106">
        <f t="shared" si="1"/>
        <v>0</v>
      </c>
      <c r="AB59" s="106">
        <f t="shared" si="2"/>
        <v>0</v>
      </c>
      <c r="AC59" s="94"/>
      <c r="AD59" s="94"/>
      <c r="AE59" s="110"/>
      <c r="AF59" s="110"/>
      <c r="AG59" s="110"/>
      <c r="AH59" s="99"/>
    </row>
    <row r="60" spans="1:34" ht="21.75" customHeight="1">
      <c r="A60" s="45"/>
      <c r="B60" s="121"/>
      <c r="C60" s="2"/>
      <c r="D60" s="2"/>
      <c r="E60" s="74">
        <v>10</v>
      </c>
      <c r="F60" s="74">
        <v>1050</v>
      </c>
      <c r="G60" s="45">
        <f t="shared" si="0"/>
        <v>10500</v>
      </c>
      <c r="H60" s="119" t="s">
        <v>37</v>
      </c>
      <c r="I60" s="128">
        <v>45271</v>
      </c>
      <c r="J60" s="158">
        <v>1050</v>
      </c>
      <c r="K60" s="74">
        <v>12</v>
      </c>
      <c r="L60" s="156">
        <v>45274</v>
      </c>
      <c r="M60" s="90">
        <v>10500</v>
      </c>
      <c r="N60" s="90">
        <f>105+20</f>
        <v>125</v>
      </c>
      <c r="O60" s="90"/>
      <c r="P60" s="94" t="s">
        <v>28</v>
      </c>
      <c r="Q60" s="94">
        <v>8500064890</v>
      </c>
      <c r="R60" s="94">
        <v>5001319963</v>
      </c>
      <c r="S60" s="158">
        <v>1050</v>
      </c>
      <c r="T60" s="90" t="s">
        <v>1558</v>
      </c>
      <c r="U60" s="90">
        <v>8500064889</v>
      </c>
      <c r="V60" s="90">
        <v>5001334969</v>
      </c>
      <c r="W60" s="109" t="s">
        <v>2286</v>
      </c>
      <c r="X60" s="106">
        <f>200+850</f>
        <v>1050</v>
      </c>
      <c r="Y60" s="106">
        <f>2000+8500</f>
        <v>10500</v>
      </c>
      <c r="Z60" s="106" t="s">
        <v>1898</v>
      </c>
      <c r="AA60" s="106">
        <f t="shared" si="1"/>
        <v>0</v>
      </c>
      <c r="AB60" s="106">
        <f t="shared" si="2"/>
        <v>0</v>
      </c>
      <c r="AC60" s="94"/>
      <c r="AD60" s="94"/>
      <c r="AE60" s="110"/>
      <c r="AF60" s="110"/>
      <c r="AG60" s="110"/>
      <c r="AH60" s="99"/>
    </row>
    <row r="61" spans="1:34" ht="33" customHeight="1">
      <c r="A61" s="45" t="s">
        <v>24</v>
      </c>
      <c r="B61" s="121">
        <v>6000027235</v>
      </c>
      <c r="C61" s="2" t="s">
        <v>25</v>
      </c>
      <c r="D61" s="2" t="s">
        <v>2166</v>
      </c>
      <c r="E61" s="74">
        <v>10</v>
      </c>
      <c r="F61" s="74">
        <v>2100</v>
      </c>
      <c r="G61" s="45">
        <f t="shared" si="0"/>
        <v>21000</v>
      </c>
      <c r="H61" s="119" t="s">
        <v>46</v>
      </c>
      <c r="I61" s="128">
        <v>45271</v>
      </c>
      <c r="J61" s="158">
        <v>2100</v>
      </c>
      <c r="K61" s="74">
        <v>29</v>
      </c>
      <c r="L61" s="156">
        <v>45274</v>
      </c>
      <c r="M61" s="90">
        <f>6000+15000</f>
        <v>21000</v>
      </c>
      <c r="N61" s="90">
        <f>210+20</f>
        <v>230</v>
      </c>
      <c r="O61" s="90"/>
      <c r="P61" s="94" t="s">
        <v>28</v>
      </c>
      <c r="Q61" s="94">
        <v>8500064894</v>
      </c>
      <c r="R61" s="94">
        <v>5001319964</v>
      </c>
      <c r="S61" s="158">
        <v>2100</v>
      </c>
      <c r="T61" s="90" t="s">
        <v>1558</v>
      </c>
      <c r="U61" s="90">
        <v>8500064893</v>
      </c>
      <c r="V61" s="90">
        <v>5001334991</v>
      </c>
      <c r="W61" s="109" t="s">
        <v>2423</v>
      </c>
      <c r="X61" s="106">
        <f>81+500+1519</f>
        <v>2100</v>
      </c>
      <c r="Y61" s="106">
        <f>810+5000+15190</f>
        <v>21000</v>
      </c>
      <c r="Z61" s="106" t="s">
        <v>2424</v>
      </c>
      <c r="AA61" s="106">
        <f t="shared" si="1"/>
        <v>0</v>
      </c>
      <c r="AB61" s="106">
        <f t="shared" si="2"/>
        <v>0</v>
      </c>
      <c r="AC61" s="94"/>
      <c r="AD61" s="94"/>
      <c r="AE61" s="110"/>
      <c r="AF61" s="110"/>
      <c r="AG61" s="110"/>
      <c r="AH61" s="99"/>
    </row>
    <row r="62" spans="1:34" ht="19.5" customHeight="1">
      <c r="A62" s="45" t="s">
        <v>24</v>
      </c>
      <c r="B62" s="121">
        <v>6000027236</v>
      </c>
      <c r="C62" s="2" t="s">
        <v>25</v>
      </c>
      <c r="D62" s="2" t="s">
        <v>2167</v>
      </c>
      <c r="E62" s="74">
        <v>10</v>
      </c>
      <c r="F62" s="74">
        <v>2100</v>
      </c>
      <c r="G62" s="45">
        <f t="shared" si="0"/>
        <v>21000</v>
      </c>
      <c r="H62" s="119" t="s">
        <v>27</v>
      </c>
      <c r="I62" s="128">
        <v>45273</v>
      </c>
      <c r="J62" s="158">
        <v>2100</v>
      </c>
      <c r="K62" s="74">
        <v>26</v>
      </c>
      <c r="L62" s="156" t="s">
        <v>2468</v>
      </c>
      <c r="M62" s="90">
        <f>8400+5900+6700</f>
        <v>21000</v>
      </c>
      <c r="N62" s="90">
        <f>210+20</f>
        <v>230</v>
      </c>
      <c r="O62" s="90" t="s">
        <v>2318</v>
      </c>
      <c r="P62" s="94" t="s">
        <v>28</v>
      </c>
      <c r="Q62" s="94">
        <v>8500064898</v>
      </c>
      <c r="R62" s="94">
        <v>5001331325</v>
      </c>
      <c r="S62" s="158">
        <v>2100</v>
      </c>
      <c r="T62" s="90" t="s">
        <v>1558</v>
      </c>
      <c r="U62" s="90">
        <v>8500064896</v>
      </c>
      <c r="V62" s="90">
        <v>5001386029</v>
      </c>
      <c r="W62" s="109" t="s">
        <v>2420</v>
      </c>
      <c r="X62" s="106">
        <f>1430+670</f>
        <v>2100</v>
      </c>
      <c r="Y62" s="106">
        <f>14300+6700</f>
        <v>21000</v>
      </c>
      <c r="Z62" s="106" t="s">
        <v>2358</v>
      </c>
      <c r="AA62" s="106">
        <f t="shared" si="1"/>
        <v>0</v>
      </c>
      <c r="AB62" s="106">
        <f t="shared" si="2"/>
        <v>0</v>
      </c>
      <c r="AC62" s="94" t="s">
        <v>2573</v>
      </c>
      <c r="AD62" s="94"/>
      <c r="AE62" s="110"/>
      <c r="AF62" s="110"/>
      <c r="AG62" s="110"/>
      <c r="AH62" s="99"/>
    </row>
    <row r="63" spans="1:34" ht="19.5" customHeight="1">
      <c r="A63" s="45" t="s">
        <v>24</v>
      </c>
      <c r="B63" s="121">
        <v>6000027237</v>
      </c>
      <c r="C63" s="2" t="s">
        <v>25</v>
      </c>
      <c r="D63" s="2" t="s">
        <v>2168</v>
      </c>
      <c r="E63" s="74">
        <v>10</v>
      </c>
      <c r="F63" s="74">
        <v>1350</v>
      </c>
      <c r="G63" s="45">
        <f t="shared" si="0"/>
        <v>13500</v>
      </c>
      <c r="H63" s="119" t="s">
        <v>46</v>
      </c>
      <c r="I63" s="128">
        <v>45267</v>
      </c>
      <c r="J63" s="158">
        <v>1350</v>
      </c>
      <c r="K63" s="74">
        <v>21</v>
      </c>
      <c r="L63" s="156">
        <v>45279</v>
      </c>
      <c r="M63" s="90">
        <v>13500</v>
      </c>
      <c r="N63" s="90">
        <f>135+20</f>
        <v>155</v>
      </c>
      <c r="O63" s="90"/>
      <c r="P63" s="94" t="s">
        <v>28</v>
      </c>
      <c r="Q63" s="94">
        <v>8500064902</v>
      </c>
      <c r="R63" s="94">
        <v>5001305198</v>
      </c>
      <c r="S63" s="158">
        <v>1350</v>
      </c>
      <c r="T63" s="90" t="s">
        <v>1558</v>
      </c>
      <c r="U63" s="90">
        <v>8500064900</v>
      </c>
      <c r="V63" s="90">
        <v>5001350310</v>
      </c>
      <c r="W63" s="109">
        <v>45286</v>
      </c>
      <c r="X63" s="106">
        <v>1350</v>
      </c>
      <c r="Y63" s="106">
        <v>13500</v>
      </c>
      <c r="Z63" s="106" t="s">
        <v>817</v>
      </c>
      <c r="AA63" s="106">
        <f t="shared" si="1"/>
        <v>0</v>
      </c>
      <c r="AB63" s="106">
        <f t="shared" si="2"/>
        <v>0</v>
      </c>
      <c r="AC63" s="94"/>
      <c r="AD63" s="94"/>
      <c r="AE63" s="110"/>
      <c r="AF63" s="110"/>
      <c r="AG63" s="110"/>
      <c r="AH63" s="99"/>
    </row>
    <row r="64" spans="1:34" ht="19.5" customHeight="1">
      <c r="A64" s="45"/>
      <c r="B64" s="121"/>
      <c r="C64" s="2"/>
      <c r="D64" s="2"/>
      <c r="E64" s="74">
        <v>10</v>
      </c>
      <c r="F64" s="74">
        <v>750</v>
      </c>
      <c r="G64" s="45">
        <f t="shared" si="0"/>
        <v>7500</v>
      </c>
      <c r="H64" s="119" t="s">
        <v>37</v>
      </c>
      <c r="I64" s="128">
        <v>45271</v>
      </c>
      <c r="J64" s="158">
        <v>750</v>
      </c>
      <c r="K64" s="74">
        <v>10</v>
      </c>
      <c r="L64" s="156">
        <v>45275</v>
      </c>
      <c r="M64" s="90">
        <v>7500</v>
      </c>
      <c r="N64" s="90">
        <f>75+20</f>
        <v>95</v>
      </c>
      <c r="O64" s="90"/>
      <c r="P64" s="94" t="s">
        <v>28</v>
      </c>
      <c r="Q64" s="94">
        <v>8500064902</v>
      </c>
      <c r="R64" s="94">
        <v>5001320699</v>
      </c>
      <c r="S64" s="158">
        <v>750</v>
      </c>
      <c r="T64" s="90" t="s">
        <v>1558</v>
      </c>
      <c r="U64" s="90">
        <v>8500064900</v>
      </c>
      <c r="V64" s="90">
        <v>5001335643</v>
      </c>
      <c r="W64" s="109">
        <v>45286</v>
      </c>
      <c r="X64" s="106">
        <v>750</v>
      </c>
      <c r="Y64" s="106">
        <v>7500</v>
      </c>
      <c r="Z64" s="106" t="s">
        <v>35</v>
      </c>
      <c r="AA64" s="106">
        <f t="shared" si="1"/>
        <v>0</v>
      </c>
      <c r="AB64" s="106">
        <f t="shared" si="2"/>
        <v>0</v>
      </c>
      <c r="AC64" s="94"/>
      <c r="AD64" s="94"/>
      <c r="AE64" s="110"/>
      <c r="AF64" s="110"/>
      <c r="AG64" s="110"/>
      <c r="AH64" s="99"/>
    </row>
    <row r="65" spans="1:34" ht="19.5" customHeight="1">
      <c r="A65" s="45" t="s">
        <v>24</v>
      </c>
      <c r="B65" s="121">
        <v>6000027238</v>
      </c>
      <c r="C65" s="2" t="s">
        <v>25</v>
      </c>
      <c r="D65" s="2" t="s">
        <v>2169</v>
      </c>
      <c r="E65" s="74">
        <v>10</v>
      </c>
      <c r="F65" s="74">
        <v>2100</v>
      </c>
      <c r="G65" s="45">
        <f t="shared" si="0"/>
        <v>21000</v>
      </c>
      <c r="H65" s="119" t="s">
        <v>37</v>
      </c>
      <c r="I65" s="128">
        <v>45275</v>
      </c>
      <c r="J65" s="158">
        <v>2100</v>
      </c>
      <c r="K65" s="74">
        <v>23</v>
      </c>
      <c r="L65" s="156">
        <v>45280</v>
      </c>
      <c r="M65" s="90">
        <v>21000</v>
      </c>
      <c r="N65" s="90">
        <v>210</v>
      </c>
      <c r="O65" s="90" t="s">
        <v>1784</v>
      </c>
      <c r="P65" s="94" t="s">
        <v>28</v>
      </c>
      <c r="Q65" s="94">
        <v>8500064904</v>
      </c>
      <c r="R65" s="94">
        <v>5001336068</v>
      </c>
      <c r="S65" s="158">
        <v>2100</v>
      </c>
      <c r="T65" s="90" t="s">
        <v>1558</v>
      </c>
      <c r="U65" s="90">
        <v>8500064903</v>
      </c>
      <c r="V65" s="90">
        <v>5001357158</v>
      </c>
      <c r="W65" s="109" t="s">
        <v>2351</v>
      </c>
      <c r="X65" s="106">
        <f>1000+1040+60</f>
        <v>2100</v>
      </c>
      <c r="Y65" s="106">
        <f>10000+10400+600</f>
        <v>21000</v>
      </c>
      <c r="Z65" s="106" t="s">
        <v>2352</v>
      </c>
      <c r="AA65" s="106">
        <f t="shared" si="1"/>
        <v>0</v>
      </c>
      <c r="AB65" s="106">
        <f t="shared" si="2"/>
        <v>0</v>
      </c>
      <c r="AC65" s="94"/>
      <c r="AD65" s="94"/>
      <c r="AE65" s="110"/>
      <c r="AF65" s="110"/>
      <c r="AG65" s="110"/>
      <c r="AH65" s="99"/>
    </row>
    <row r="66" spans="1:34" ht="22.5" customHeight="1">
      <c r="A66" s="45" t="s">
        <v>24</v>
      </c>
      <c r="B66" s="121">
        <v>6000027239</v>
      </c>
      <c r="C66" s="2" t="s">
        <v>25</v>
      </c>
      <c r="D66" s="2" t="s">
        <v>2170</v>
      </c>
      <c r="E66" s="74">
        <v>10</v>
      </c>
      <c r="F66" s="74">
        <v>2100</v>
      </c>
      <c r="G66" s="45">
        <f t="shared" si="0"/>
        <v>21000</v>
      </c>
      <c r="H66" s="119" t="s">
        <v>27</v>
      </c>
      <c r="I66" s="128">
        <v>45273</v>
      </c>
      <c r="J66" s="158">
        <v>2100</v>
      </c>
      <c r="K66" s="74">
        <v>18</v>
      </c>
      <c r="L66" s="156" t="s">
        <v>2415</v>
      </c>
      <c r="M66" s="90">
        <f>15150+5850</f>
        <v>21000</v>
      </c>
      <c r="N66" s="90">
        <v>230</v>
      </c>
      <c r="O66" s="90" t="s">
        <v>2428</v>
      </c>
      <c r="P66" s="94" t="s">
        <v>28</v>
      </c>
      <c r="Q66" s="94">
        <v>8500064906</v>
      </c>
      <c r="R66" s="94">
        <v>5001331322</v>
      </c>
      <c r="S66" s="158">
        <v>2100</v>
      </c>
      <c r="T66" s="90" t="s">
        <v>1558</v>
      </c>
      <c r="U66" s="90">
        <v>8500064905</v>
      </c>
      <c r="V66" s="90">
        <v>5001390137</v>
      </c>
      <c r="W66" s="109" t="s">
        <v>2421</v>
      </c>
      <c r="X66" s="106">
        <f>200+43+1272+585</f>
        <v>2100</v>
      </c>
      <c r="Y66" s="106">
        <f>2000+430+12720+5850</f>
        <v>21000</v>
      </c>
      <c r="Z66" s="106" t="s">
        <v>2422</v>
      </c>
      <c r="AA66" s="106">
        <f t="shared" si="1"/>
        <v>0</v>
      </c>
      <c r="AB66" s="106">
        <f t="shared" si="2"/>
        <v>0</v>
      </c>
      <c r="AC66" s="94"/>
      <c r="AD66" s="94"/>
      <c r="AE66" s="110"/>
      <c r="AF66" s="110"/>
      <c r="AG66" s="110"/>
      <c r="AH66" s="99"/>
    </row>
    <row r="67" spans="1:34" ht="42" customHeight="1">
      <c r="A67" s="45" t="s">
        <v>24</v>
      </c>
      <c r="B67" s="121">
        <v>6000027240</v>
      </c>
      <c r="C67" s="2" t="s">
        <v>25</v>
      </c>
      <c r="D67" s="2" t="s">
        <v>2171</v>
      </c>
      <c r="E67" s="74">
        <v>10</v>
      </c>
      <c r="F67" s="74">
        <v>2100</v>
      </c>
      <c r="G67" s="45">
        <f t="shared" si="0"/>
        <v>21000</v>
      </c>
      <c r="H67" s="119" t="s">
        <v>27</v>
      </c>
      <c r="I67" s="128" t="s">
        <v>2260</v>
      </c>
      <c r="J67" s="158">
        <f>1060+1040</f>
        <v>2100</v>
      </c>
      <c r="K67" s="74">
        <v>27</v>
      </c>
      <c r="L67" s="156" t="s">
        <v>2427</v>
      </c>
      <c r="M67" s="90">
        <f>5700+15100+200</f>
        <v>21000</v>
      </c>
      <c r="N67" s="90">
        <f>210+20</f>
        <v>230</v>
      </c>
      <c r="O67" s="90" t="s">
        <v>1791</v>
      </c>
      <c r="P67" s="94" t="s">
        <v>28</v>
      </c>
      <c r="Q67" s="94">
        <v>8500064908</v>
      </c>
      <c r="R67" s="94">
        <v>5001345380</v>
      </c>
      <c r="S67" s="158">
        <f>1060+1040</f>
        <v>2100</v>
      </c>
      <c r="T67" s="90" t="s">
        <v>1558</v>
      </c>
      <c r="U67" s="90">
        <v>8500064907</v>
      </c>
      <c r="V67" s="90">
        <v>5001381896</v>
      </c>
      <c r="W67" s="109" t="s">
        <v>2439</v>
      </c>
      <c r="X67" s="106">
        <f>570+1530</f>
        <v>2100</v>
      </c>
      <c r="Y67" s="106">
        <f>5700+15300</f>
        <v>21000</v>
      </c>
      <c r="Z67" s="106" t="s">
        <v>2358</v>
      </c>
      <c r="AA67" s="106">
        <f t="shared" si="1"/>
        <v>0</v>
      </c>
      <c r="AB67" s="106">
        <f t="shared" si="2"/>
        <v>0</v>
      </c>
      <c r="AC67" s="94"/>
      <c r="AD67" s="94"/>
      <c r="AE67" s="110"/>
      <c r="AF67" s="110"/>
      <c r="AG67" s="110"/>
      <c r="AH67" s="99"/>
    </row>
    <row r="68" spans="1:34" ht="19.5" customHeight="1">
      <c r="A68" s="45" t="s">
        <v>24</v>
      </c>
      <c r="B68" s="121">
        <v>6000027241</v>
      </c>
      <c r="C68" s="2" t="s">
        <v>25</v>
      </c>
      <c r="D68" s="2" t="s">
        <v>2172</v>
      </c>
      <c r="E68" s="74">
        <v>10</v>
      </c>
      <c r="F68" s="74">
        <v>2100</v>
      </c>
      <c r="G68" s="45">
        <f t="shared" si="0"/>
        <v>21000</v>
      </c>
      <c r="H68" s="119" t="s">
        <v>27</v>
      </c>
      <c r="I68" s="128">
        <v>45273</v>
      </c>
      <c r="J68" s="158">
        <v>2100</v>
      </c>
      <c r="K68" s="74">
        <v>25</v>
      </c>
      <c r="L68" s="156" t="s">
        <v>2408</v>
      </c>
      <c r="M68" s="90">
        <f>10200+7150+3650</f>
        <v>21000</v>
      </c>
      <c r="N68" s="90">
        <f>210+20</f>
        <v>230</v>
      </c>
      <c r="O68" s="90" t="s">
        <v>2409</v>
      </c>
      <c r="P68" s="94" t="s">
        <v>28</v>
      </c>
      <c r="Q68" s="94">
        <v>8500064897</v>
      </c>
      <c r="R68" s="94">
        <v>5001331323</v>
      </c>
      <c r="S68" s="158">
        <v>2100</v>
      </c>
      <c r="T68" s="90" t="s">
        <v>1558</v>
      </c>
      <c r="U68" s="90">
        <v>8500064895</v>
      </c>
      <c r="V68" s="90">
        <v>5001381876</v>
      </c>
      <c r="W68" s="109" t="s">
        <v>2455</v>
      </c>
      <c r="X68" s="106">
        <f>103+130+1867</f>
        <v>2100</v>
      </c>
      <c r="Y68" s="106">
        <f>1030+1300+18670</f>
        <v>21000</v>
      </c>
      <c r="Z68" s="106" t="s">
        <v>2422</v>
      </c>
      <c r="AA68" s="106">
        <f t="shared" si="1"/>
        <v>0</v>
      </c>
      <c r="AB68" s="106">
        <f t="shared" si="2"/>
        <v>0</v>
      </c>
      <c r="AC68" s="94"/>
      <c r="AD68" s="94"/>
      <c r="AE68" s="110"/>
      <c r="AF68" s="110"/>
      <c r="AG68" s="110"/>
      <c r="AH68" s="99"/>
    </row>
    <row r="69" spans="1:34" ht="19.5" customHeight="1">
      <c r="A69" s="45" t="s">
        <v>24</v>
      </c>
      <c r="B69" s="121">
        <v>6000027242</v>
      </c>
      <c r="C69" s="2" t="s">
        <v>25</v>
      </c>
      <c r="D69" s="2" t="s">
        <v>2173</v>
      </c>
      <c r="E69" s="74">
        <v>10</v>
      </c>
      <c r="F69" s="74">
        <v>800</v>
      </c>
      <c r="G69" s="45">
        <f t="shared" si="0"/>
        <v>8000</v>
      </c>
      <c r="H69" s="119" t="s">
        <v>27</v>
      </c>
      <c r="I69" s="128">
        <v>45273</v>
      </c>
      <c r="J69" s="239">
        <v>800</v>
      </c>
      <c r="K69" s="74">
        <v>9</v>
      </c>
      <c r="L69" s="156" t="s">
        <v>2467</v>
      </c>
      <c r="M69" s="90">
        <f>5500+2500</f>
        <v>8000</v>
      </c>
      <c r="N69" s="90">
        <f>80+20</f>
        <v>100</v>
      </c>
      <c r="O69" s="90" t="s">
        <v>2409</v>
      </c>
      <c r="P69" s="94" t="s">
        <v>28</v>
      </c>
      <c r="Q69" s="94">
        <v>8500064892</v>
      </c>
      <c r="R69" s="94">
        <v>5001331324</v>
      </c>
      <c r="S69" s="239">
        <v>800</v>
      </c>
      <c r="T69" s="90" t="s">
        <v>1558</v>
      </c>
      <c r="U69" s="90">
        <v>8500064891</v>
      </c>
      <c r="V69" s="90">
        <v>5001381893</v>
      </c>
      <c r="W69" s="109" t="s">
        <v>2418</v>
      </c>
      <c r="X69" s="106">
        <f>550+51+199</f>
        <v>800</v>
      </c>
      <c r="Y69" s="106">
        <f>5500+510+1990</f>
        <v>8000</v>
      </c>
      <c r="Z69" s="106" t="s">
        <v>2419</v>
      </c>
      <c r="AA69" s="106">
        <f t="shared" si="1"/>
        <v>0</v>
      </c>
      <c r="AB69" s="106">
        <f t="shared" si="2"/>
        <v>0</v>
      </c>
      <c r="AC69" s="94"/>
      <c r="AD69" s="94"/>
      <c r="AE69" s="110"/>
      <c r="AF69" s="110"/>
      <c r="AG69" s="110"/>
      <c r="AH69" s="99"/>
    </row>
    <row r="70" spans="1:34" ht="19.5" customHeight="1">
      <c r="A70" s="45"/>
      <c r="B70" s="121"/>
      <c r="C70" s="2"/>
      <c r="D70" s="2"/>
      <c r="E70" s="74">
        <v>10</v>
      </c>
      <c r="F70" s="74">
        <v>1300</v>
      </c>
      <c r="G70" s="45">
        <f t="shared" si="0"/>
        <v>13000</v>
      </c>
      <c r="H70" s="119" t="s">
        <v>46</v>
      </c>
      <c r="I70" s="128">
        <v>45276</v>
      </c>
      <c r="J70" s="158">
        <v>1300</v>
      </c>
      <c r="K70" s="74">
        <v>15</v>
      </c>
      <c r="L70" s="156">
        <v>45279</v>
      </c>
      <c r="M70" s="90">
        <v>13000</v>
      </c>
      <c r="N70" s="90">
        <f>130+20</f>
        <v>150</v>
      </c>
      <c r="O70" s="90"/>
      <c r="P70" s="94" t="s">
        <v>28</v>
      </c>
      <c r="Q70" s="94">
        <v>8500064892</v>
      </c>
      <c r="R70" s="94">
        <v>5001345385</v>
      </c>
      <c r="S70" s="158">
        <v>1300</v>
      </c>
      <c r="T70" s="90" t="s">
        <v>1558</v>
      </c>
      <c r="U70" s="90">
        <v>8500064891</v>
      </c>
      <c r="V70" s="90">
        <v>5001350312</v>
      </c>
      <c r="W70" s="109">
        <v>45288</v>
      </c>
      <c r="X70" s="106">
        <v>1300</v>
      </c>
      <c r="Y70" s="106">
        <v>13000</v>
      </c>
      <c r="Z70" s="106" t="s">
        <v>817</v>
      </c>
      <c r="AA70" s="106">
        <f t="shared" si="1"/>
        <v>0</v>
      </c>
      <c r="AB70" s="106">
        <f t="shared" si="2"/>
        <v>0</v>
      </c>
      <c r="AC70" s="94"/>
      <c r="AD70" s="94"/>
      <c r="AE70" s="110"/>
      <c r="AF70" s="110"/>
      <c r="AG70" s="110"/>
      <c r="AH70" s="99"/>
    </row>
    <row r="71" spans="1:34" ht="19.5" customHeight="1">
      <c r="A71" s="45" t="s">
        <v>279</v>
      </c>
      <c r="B71" s="121">
        <v>6000027378</v>
      </c>
      <c r="C71" s="2" t="s">
        <v>907</v>
      </c>
      <c r="D71" s="2" t="s">
        <v>2243</v>
      </c>
      <c r="E71" s="74">
        <v>10</v>
      </c>
      <c r="F71" s="74">
        <v>784</v>
      </c>
      <c r="G71" s="45">
        <f t="shared" si="0"/>
        <v>7840</v>
      </c>
      <c r="H71" s="119" t="s">
        <v>27</v>
      </c>
      <c r="I71" s="128">
        <v>45276</v>
      </c>
      <c r="J71" s="158">
        <v>784</v>
      </c>
      <c r="K71" s="74">
        <f>10+9</f>
        <v>19</v>
      </c>
      <c r="L71" s="156">
        <v>45276</v>
      </c>
      <c r="M71" s="90">
        <v>7840</v>
      </c>
      <c r="N71" s="90">
        <v>93</v>
      </c>
      <c r="O71" s="100" t="s">
        <v>741</v>
      </c>
      <c r="P71" s="94" t="s">
        <v>28</v>
      </c>
      <c r="Q71" s="94">
        <v>8500065498</v>
      </c>
      <c r="R71" s="94">
        <v>5001345311</v>
      </c>
      <c r="S71" s="158">
        <v>784</v>
      </c>
      <c r="T71" s="90" t="s">
        <v>87</v>
      </c>
      <c r="U71" s="90">
        <v>8500065497</v>
      </c>
      <c r="V71" s="90">
        <v>5001345476</v>
      </c>
      <c r="W71" s="109" t="s">
        <v>2508</v>
      </c>
      <c r="X71" s="106">
        <f>150+100+534</f>
        <v>784</v>
      </c>
      <c r="Y71" s="106">
        <f>1500+1000+5340</f>
        <v>7840</v>
      </c>
      <c r="Z71" s="106" t="s">
        <v>2509</v>
      </c>
      <c r="AA71" s="106">
        <f t="shared" si="1"/>
        <v>0</v>
      </c>
      <c r="AB71" s="106">
        <f t="shared" si="2"/>
        <v>0</v>
      </c>
      <c r="AC71" s="94"/>
      <c r="AD71" s="94"/>
      <c r="AE71" s="110"/>
      <c r="AF71" s="110"/>
      <c r="AG71" s="110"/>
      <c r="AH71" s="99"/>
    </row>
    <row r="72" spans="1:34" ht="38.25" customHeight="1">
      <c r="A72" s="45"/>
      <c r="B72" s="121"/>
      <c r="C72" s="2"/>
      <c r="D72" s="2"/>
      <c r="E72" s="74">
        <v>10</v>
      </c>
      <c r="F72" s="74">
        <v>1380</v>
      </c>
      <c r="G72" s="45">
        <f t="shared" si="0"/>
        <v>13800</v>
      </c>
      <c r="H72" s="119" t="s">
        <v>46</v>
      </c>
      <c r="I72" s="128">
        <v>45276</v>
      </c>
      <c r="J72" s="158">
        <v>1380</v>
      </c>
      <c r="K72" s="74">
        <f>10+18</f>
        <v>28</v>
      </c>
      <c r="L72" s="156">
        <v>45276</v>
      </c>
      <c r="M72" s="90">
        <v>13800</v>
      </c>
      <c r="N72" s="90">
        <v>153</v>
      </c>
      <c r="O72" s="90" t="s">
        <v>2235</v>
      </c>
      <c r="P72" s="94" t="s">
        <v>28</v>
      </c>
      <c r="Q72" s="94">
        <v>8500065498</v>
      </c>
      <c r="R72" s="94">
        <v>5001345311</v>
      </c>
      <c r="S72" s="158">
        <v>1380</v>
      </c>
      <c r="T72" s="90" t="s">
        <v>87</v>
      </c>
      <c r="U72" s="90">
        <v>8500065497</v>
      </c>
      <c r="V72" s="90">
        <v>5001345476</v>
      </c>
      <c r="W72" s="127" t="s">
        <v>2353</v>
      </c>
      <c r="X72" s="106">
        <f>700+202+200+278</f>
        <v>1380</v>
      </c>
      <c r="Y72" s="106">
        <f>7000+2020+2000+2780</f>
        <v>13800</v>
      </c>
      <c r="Z72" s="106" t="s">
        <v>2354</v>
      </c>
      <c r="AA72" s="106">
        <f t="shared" si="1"/>
        <v>0</v>
      </c>
      <c r="AB72" s="106">
        <f t="shared" si="2"/>
        <v>0</v>
      </c>
      <c r="AC72" s="94"/>
      <c r="AD72" s="94"/>
      <c r="AE72" s="110"/>
      <c r="AF72" s="110"/>
      <c r="AG72" s="110"/>
      <c r="AH72" s="99"/>
    </row>
    <row r="73" spans="1:34" ht="19.5" customHeight="1">
      <c r="A73" s="45"/>
      <c r="B73" s="121"/>
      <c r="C73" s="2"/>
      <c r="D73" s="2"/>
      <c r="E73" s="74">
        <v>10</v>
      </c>
      <c r="F73" s="74">
        <v>980</v>
      </c>
      <c r="G73" s="45">
        <f t="shared" ref="G73:G139" si="7">F73*E73</f>
        <v>9800</v>
      </c>
      <c r="H73" s="119" t="s">
        <v>37</v>
      </c>
      <c r="I73" s="128" t="s">
        <v>2274</v>
      </c>
      <c r="J73" s="239">
        <v>980</v>
      </c>
      <c r="K73" s="74">
        <f>10+4+5</f>
        <v>19</v>
      </c>
      <c r="L73" s="156" t="s">
        <v>2511</v>
      </c>
      <c r="M73" s="90">
        <f>9730+70</f>
        <v>9800</v>
      </c>
      <c r="N73" s="90">
        <v>113</v>
      </c>
      <c r="O73" s="90" t="s">
        <v>1784</v>
      </c>
      <c r="P73" s="94" t="s">
        <v>28</v>
      </c>
      <c r="Q73" s="94">
        <v>8500065498</v>
      </c>
      <c r="R73" s="94">
        <v>5001345311</v>
      </c>
      <c r="S73" s="239">
        <v>980</v>
      </c>
      <c r="T73" s="90" t="s">
        <v>87</v>
      </c>
      <c r="U73" s="90">
        <v>8500065497</v>
      </c>
      <c r="V73" s="90">
        <v>5001345476</v>
      </c>
      <c r="W73" s="109" t="s">
        <v>2517</v>
      </c>
      <c r="X73" s="106">
        <f>170+120+690</f>
        <v>980</v>
      </c>
      <c r="Y73" s="106">
        <f>1700+1200+6900</f>
        <v>9800</v>
      </c>
      <c r="Z73" s="106" t="s">
        <v>2518</v>
      </c>
      <c r="AA73" s="106">
        <f t="shared" ref="AA73:AA106" si="8">J73-X73</f>
        <v>0</v>
      </c>
      <c r="AB73" s="106">
        <f t="shared" ref="AB73:AB106" si="9">M73-Y73</f>
        <v>0</v>
      </c>
      <c r="AC73" s="94"/>
      <c r="AD73" s="94"/>
      <c r="AE73" s="110"/>
      <c r="AF73" s="110"/>
      <c r="AG73" s="110"/>
      <c r="AH73" s="99"/>
    </row>
    <row r="74" spans="1:34" ht="19.5" customHeight="1">
      <c r="A74" s="45"/>
      <c r="B74" s="121"/>
      <c r="C74" s="2"/>
      <c r="D74" s="2"/>
      <c r="E74" s="74">
        <v>10</v>
      </c>
      <c r="F74" s="74">
        <v>196</v>
      </c>
      <c r="G74" s="45">
        <f t="shared" si="7"/>
        <v>1960</v>
      </c>
      <c r="H74" s="119" t="s">
        <v>146</v>
      </c>
      <c r="I74" s="128">
        <v>45275</v>
      </c>
      <c r="J74" s="158">
        <v>196</v>
      </c>
      <c r="K74" s="74">
        <f>10+1</f>
        <v>11</v>
      </c>
      <c r="L74" s="156">
        <v>45276</v>
      </c>
      <c r="M74" s="90">
        <v>1960</v>
      </c>
      <c r="N74" s="90">
        <v>35</v>
      </c>
      <c r="O74" s="90" t="s">
        <v>1390</v>
      </c>
      <c r="P74" s="94" t="s">
        <v>28</v>
      </c>
      <c r="Q74" s="94">
        <v>8500065498</v>
      </c>
      <c r="R74" s="94">
        <v>5001336056</v>
      </c>
      <c r="S74" s="158">
        <v>196</v>
      </c>
      <c r="T74" s="90" t="s">
        <v>87</v>
      </c>
      <c r="U74" s="90">
        <v>8500065497</v>
      </c>
      <c r="V74" s="90">
        <v>5001345476</v>
      </c>
      <c r="W74" s="109" t="s">
        <v>2503</v>
      </c>
      <c r="X74" s="106">
        <f>100+96</f>
        <v>196</v>
      </c>
      <c r="Y74" s="106">
        <f>1000+960</f>
        <v>1960</v>
      </c>
      <c r="Z74" s="106" t="s">
        <v>2504</v>
      </c>
      <c r="AA74" s="106">
        <f t="shared" si="8"/>
        <v>0</v>
      </c>
      <c r="AB74" s="106">
        <f t="shared" si="9"/>
        <v>0</v>
      </c>
      <c r="AC74" s="94"/>
      <c r="AD74" s="94"/>
      <c r="AE74" s="110"/>
      <c r="AF74" s="110"/>
      <c r="AG74" s="110"/>
      <c r="AH74" s="99"/>
    </row>
    <row r="75" spans="1:34" ht="25.5" customHeight="1">
      <c r="A75" s="45" t="s">
        <v>279</v>
      </c>
      <c r="B75" s="121">
        <v>6000027379</v>
      </c>
      <c r="C75" s="2" t="s">
        <v>907</v>
      </c>
      <c r="D75" s="2" t="s">
        <v>2242</v>
      </c>
      <c r="E75" s="74">
        <v>10</v>
      </c>
      <c r="F75" s="74">
        <v>784</v>
      </c>
      <c r="G75" s="45">
        <f t="shared" si="7"/>
        <v>7840</v>
      </c>
      <c r="H75" s="119" t="s">
        <v>27</v>
      </c>
      <c r="I75" s="128">
        <v>45275</v>
      </c>
      <c r="J75" s="158">
        <v>784</v>
      </c>
      <c r="K75" s="74">
        <f>10+9</f>
        <v>19</v>
      </c>
      <c r="L75" s="156">
        <v>45276</v>
      </c>
      <c r="M75" s="90">
        <v>7840</v>
      </c>
      <c r="N75" s="90">
        <v>93</v>
      </c>
      <c r="O75" s="90" t="s">
        <v>1784</v>
      </c>
      <c r="P75" s="94" t="s">
        <v>28</v>
      </c>
      <c r="Q75" s="94">
        <v>8500065500</v>
      </c>
      <c r="R75" s="94">
        <v>5001336060</v>
      </c>
      <c r="S75" s="94"/>
      <c r="T75" s="90" t="s">
        <v>87</v>
      </c>
      <c r="U75" s="90">
        <v>8500065499</v>
      </c>
      <c r="V75" s="90">
        <v>5001345475</v>
      </c>
      <c r="W75" s="109">
        <v>45306</v>
      </c>
      <c r="X75" s="106">
        <v>784</v>
      </c>
      <c r="Y75" s="106">
        <v>7840</v>
      </c>
      <c r="Z75" s="106" t="s">
        <v>848</v>
      </c>
      <c r="AA75" s="106">
        <f t="shared" si="8"/>
        <v>0</v>
      </c>
      <c r="AB75" s="106">
        <f t="shared" si="9"/>
        <v>0</v>
      </c>
      <c r="AC75" s="94"/>
      <c r="AD75" s="94"/>
      <c r="AE75" s="110"/>
      <c r="AF75" s="110"/>
      <c r="AG75" s="110"/>
      <c r="AH75" s="99"/>
    </row>
    <row r="76" spans="1:34" ht="26.25" customHeight="1">
      <c r="A76" s="45"/>
      <c r="B76" s="121"/>
      <c r="C76" s="2"/>
      <c r="D76" s="2"/>
      <c r="E76" s="74">
        <v>10</v>
      </c>
      <c r="F76" s="74">
        <v>1380</v>
      </c>
      <c r="G76" s="45">
        <f t="shared" si="7"/>
        <v>13800</v>
      </c>
      <c r="H76" s="119" t="s">
        <v>46</v>
      </c>
      <c r="I76" s="128" t="s">
        <v>2274</v>
      </c>
      <c r="J76" s="158">
        <v>1380</v>
      </c>
      <c r="K76" s="74">
        <f>10+3+14</f>
        <v>27</v>
      </c>
      <c r="L76" s="156">
        <v>45276</v>
      </c>
      <c r="M76" s="90">
        <v>13800</v>
      </c>
      <c r="N76" s="90">
        <v>153</v>
      </c>
      <c r="O76" s="90" t="s">
        <v>1784</v>
      </c>
      <c r="P76" s="94" t="s">
        <v>28</v>
      </c>
      <c r="Q76" s="94">
        <v>8500065500</v>
      </c>
      <c r="R76" s="94">
        <v>5001345314</v>
      </c>
      <c r="S76" s="158">
        <v>1380</v>
      </c>
      <c r="T76" s="90" t="s">
        <v>87</v>
      </c>
      <c r="U76" s="90">
        <v>8500065499</v>
      </c>
      <c r="V76" s="90">
        <v>5001345475</v>
      </c>
      <c r="W76" s="109" t="s">
        <v>2505</v>
      </c>
      <c r="X76" s="106">
        <f>170+1210</f>
        <v>1380</v>
      </c>
      <c r="Y76" s="106">
        <f>1700+12100</f>
        <v>13800</v>
      </c>
      <c r="Z76" s="106" t="s">
        <v>2504</v>
      </c>
      <c r="AA76" s="106">
        <f t="shared" si="8"/>
        <v>0</v>
      </c>
      <c r="AB76" s="106">
        <f t="shared" si="9"/>
        <v>0</v>
      </c>
      <c r="AC76" s="94"/>
      <c r="AD76" s="94"/>
      <c r="AE76" s="110"/>
      <c r="AF76" s="110"/>
      <c r="AG76" s="110"/>
      <c r="AH76" s="99"/>
    </row>
    <row r="77" spans="1:34" ht="26.25" customHeight="1">
      <c r="A77" s="45"/>
      <c r="B77" s="121"/>
      <c r="C77" s="2"/>
      <c r="D77" s="2"/>
      <c r="E77" s="74">
        <v>10</v>
      </c>
      <c r="F77" s="74">
        <v>980</v>
      </c>
      <c r="G77" s="45">
        <f t="shared" ref="G77:G86" si="10">F77*E77</f>
        <v>9800</v>
      </c>
      <c r="H77" s="119" t="s">
        <v>37</v>
      </c>
      <c r="I77" s="128" t="s">
        <v>2274</v>
      </c>
      <c r="J77" s="158">
        <v>980</v>
      </c>
      <c r="K77" s="74">
        <f>7+3+10</f>
        <v>20</v>
      </c>
      <c r="L77" s="156">
        <v>45276</v>
      </c>
      <c r="M77" s="90">
        <v>9800</v>
      </c>
      <c r="N77" s="90">
        <v>113</v>
      </c>
      <c r="O77" s="90" t="s">
        <v>741</v>
      </c>
      <c r="P77" s="94" t="s">
        <v>28</v>
      </c>
      <c r="Q77" s="94">
        <v>8500065500</v>
      </c>
      <c r="R77" s="94">
        <v>5001345314</v>
      </c>
      <c r="S77" s="158">
        <v>980</v>
      </c>
      <c r="T77" s="90" t="s">
        <v>87</v>
      </c>
      <c r="U77" s="90">
        <v>8500065499</v>
      </c>
      <c r="V77" s="90">
        <v>5001345475</v>
      </c>
      <c r="W77" s="109">
        <v>45307</v>
      </c>
      <c r="X77" s="106">
        <v>980</v>
      </c>
      <c r="Y77" s="106">
        <v>9800</v>
      </c>
      <c r="Z77" s="106" t="s">
        <v>35</v>
      </c>
      <c r="AA77" s="106">
        <f t="shared" si="8"/>
        <v>0</v>
      </c>
      <c r="AB77" s="106">
        <f t="shared" si="9"/>
        <v>0</v>
      </c>
      <c r="AC77" s="94"/>
      <c r="AD77" s="94"/>
      <c r="AE77" s="110"/>
      <c r="AF77" s="110"/>
      <c r="AG77" s="110"/>
      <c r="AH77" s="99"/>
    </row>
    <row r="78" spans="1:34" ht="26.25" customHeight="1">
      <c r="A78" s="45"/>
      <c r="B78" s="121"/>
      <c r="C78" s="2"/>
      <c r="D78" s="2"/>
      <c r="E78" s="74">
        <v>10</v>
      </c>
      <c r="F78" s="74">
        <v>196</v>
      </c>
      <c r="G78" s="45">
        <f t="shared" si="10"/>
        <v>1960</v>
      </c>
      <c r="H78" s="119" t="s">
        <v>146</v>
      </c>
      <c r="I78" s="128">
        <v>45275</v>
      </c>
      <c r="J78" s="158">
        <v>196</v>
      </c>
      <c r="K78" s="74">
        <f>10+4</f>
        <v>14</v>
      </c>
      <c r="L78" s="156">
        <v>45276</v>
      </c>
      <c r="M78" s="90">
        <v>1960</v>
      </c>
      <c r="N78" s="90">
        <v>35</v>
      </c>
      <c r="O78" s="90" t="s">
        <v>1567</v>
      </c>
      <c r="P78" s="94" t="s">
        <v>28</v>
      </c>
      <c r="Q78" s="94">
        <v>8500065500</v>
      </c>
      <c r="R78" s="94">
        <v>5001336060</v>
      </c>
      <c r="S78" s="158">
        <v>196</v>
      </c>
      <c r="T78" s="90" t="s">
        <v>87</v>
      </c>
      <c r="U78" s="90">
        <v>8500065499</v>
      </c>
      <c r="V78" s="90">
        <v>5001345475</v>
      </c>
      <c r="W78" s="109">
        <v>45304</v>
      </c>
      <c r="X78" s="106">
        <v>196</v>
      </c>
      <c r="Y78" s="106">
        <v>1960</v>
      </c>
      <c r="Z78" s="106" t="s">
        <v>758</v>
      </c>
      <c r="AA78" s="106">
        <f t="shared" si="8"/>
        <v>0</v>
      </c>
      <c r="AB78" s="106">
        <f t="shared" si="9"/>
        <v>0</v>
      </c>
      <c r="AC78" s="94"/>
      <c r="AD78" s="94"/>
      <c r="AE78" s="110"/>
      <c r="AF78" s="110"/>
      <c r="AG78" s="110"/>
      <c r="AH78" s="99"/>
    </row>
    <row r="79" spans="1:34" ht="26.25" customHeight="1">
      <c r="A79" s="45" t="s">
        <v>279</v>
      </c>
      <c r="B79" s="121">
        <v>6000027380</v>
      </c>
      <c r="C79" s="2" t="s">
        <v>907</v>
      </c>
      <c r="D79" s="2" t="s">
        <v>2244</v>
      </c>
      <c r="E79" s="74">
        <v>10</v>
      </c>
      <c r="F79" s="74">
        <v>784</v>
      </c>
      <c r="G79" s="45">
        <f t="shared" si="10"/>
        <v>7840</v>
      </c>
      <c r="H79" s="119" t="s">
        <v>27</v>
      </c>
      <c r="I79" s="128">
        <v>45275</v>
      </c>
      <c r="J79" s="74">
        <v>784</v>
      </c>
      <c r="K79" s="74">
        <f>10+10</f>
        <v>20</v>
      </c>
      <c r="L79" s="156">
        <v>45276</v>
      </c>
      <c r="M79" s="90">
        <v>7840</v>
      </c>
      <c r="N79" s="90">
        <v>93</v>
      </c>
      <c r="O79" s="90" t="s">
        <v>1784</v>
      </c>
      <c r="P79" s="94" t="s">
        <v>28</v>
      </c>
      <c r="Q79" s="94">
        <v>8500065502</v>
      </c>
      <c r="R79" s="94">
        <v>5001336081</v>
      </c>
      <c r="S79" s="94"/>
      <c r="T79" s="90" t="s">
        <v>87</v>
      </c>
      <c r="U79" s="90">
        <v>8500065501</v>
      </c>
      <c r="V79" s="90">
        <v>5001345477</v>
      </c>
      <c r="W79" s="109">
        <v>45307</v>
      </c>
      <c r="X79" s="106">
        <v>784</v>
      </c>
      <c r="Y79" s="106">
        <v>7840</v>
      </c>
      <c r="Z79" s="106" t="s">
        <v>848</v>
      </c>
      <c r="AA79" s="106">
        <f t="shared" si="8"/>
        <v>0</v>
      </c>
      <c r="AB79" s="106">
        <f t="shared" si="9"/>
        <v>0</v>
      </c>
      <c r="AC79" s="94"/>
      <c r="AD79" s="94"/>
      <c r="AE79" s="110"/>
      <c r="AF79" s="110"/>
      <c r="AG79" s="110"/>
      <c r="AH79" s="99"/>
    </row>
    <row r="80" spans="1:34" ht="26.25" customHeight="1">
      <c r="A80" s="45"/>
      <c r="B80" s="121"/>
      <c r="C80" s="2"/>
      <c r="D80" s="2"/>
      <c r="E80" s="74">
        <v>10</v>
      </c>
      <c r="F80" s="74">
        <v>1380</v>
      </c>
      <c r="G80" s="45">
        <f t="shared" si="10"/>
        <v>13800</v>
      </c>
      <c r="H80" s="119" t="s">
        <v>46</v>
      </c>
      <c r="I80" s="128">
        <v>45275</v>
      </c>
      <c r="J80" s="74">
        <v>1380</v>
      </c>
      <c r="K80" s="74">
        <f>10+18</f>
        <v>28</v>
      </c>
      <c r="L80" s="156">
        <v>45276</v>
      </c>
      <c r="M80" s="90">
        <v>13800</v>
      </c>
      <c r="N80" s="90">
        <v>153</v>
      </c>
      <c r="O80" s="90"/>
      <c r="P80" s="94" t="s">
        <v>28</v>
      </c>
      <c r="Q80" s="94">
        <v>8500065502</v>
      </c>
      <c r="R80" s="94">
        <v>5001336081</v>
      </c>
      <c r="S80" s="74">
        <v>1380</v>
      </c>
      <c r="T80" s="90" t="s">
        <v>87</v>
      </c>
      <c r="U80" s="90">
        <v>8500065501</v>
      </c>
      <c r="V80" s="90">
        <v>5001345477</v>
      </c>
      <c r="W80" s="109">
        <v>45306</v>
      </c>
      <c r="X80" s="106">
        <v>1380</v>
      </c>
      <c r="Y80" s="106">
        <v>13800</v>
      </c>
      <c r="Z80" s="106" t="s">
        <v>849</v>
      </c>
      <c r="AA80" s="106">
        <f t="shared" si="8"/>
        <v>0</v>
      </c>
      <c r="AB80" s="106">
        <f t="shared" si="9"/>
        <v>0</v>
      </c>
      <c r="AC80" s="94"/>
      <c r="AD80" s="94"/>
      <c r="AE80" s="110"/>
      <c r="AF80" s="110"/>
      <c r="AG80" s="110"/>
      <c r="AH80" s="99"/>
    </row>
    <row r="81" spans="1:34" ht="26.25" customHeight="1">
      <c r="A81" s="45"/>
      <c r="B81" s="121"/>
      <c r="C81" s="2"/>
      <c r="D81" s="2"/>
      <c r="E81" s="74">
        <v>10</v>
      </c>
      <c r="F81" s="74">
        <v>980</v>
      </c>
      <c r="G81" s="45">
        <f t="shared" si="10"/>
        <v>9800</v>
      </c>
      <c r="H81" s="119" t="s">
        <v>37</v>
      </c>
      <c r="I81" s="128">
        <v>45275</v>
      </c>
      <c r="J81" s="74">
        <v>980</v>
      </c>
      <c r="K81" s="74">
        <f>10+7</f>
        <v>17</v>
      </c>
      <c r="L81" s="156">
        <v>45276</v>
      </c>
      <c r="M81" s="90">
        <v>9800</v>
      </c>
      <c r="N81" s="90">
        <v>113</v>
      </c>
      <c r="O81" s="90"/>
      <c r="P81" s="94" t="s">
        <v>28</v>
      </c>
      <c r="Q81" s="94">
        <v>8500065502</v>
      </c>
      <c r="R81" s="94">
        <v>5001336081</v>
      </c>
      <c r="S81" s="94"/>
      <c r="T81" s="90" t="s">
        <v>87</v>
      </c>
      <c r="U81" s="90">
        <v>8500065501</v>
      </c>
      <c r="V81" s="90">
        <v>5001345477</v>
      </c>
      <c r="W81" s="109">
        <v>45308</v>
      </c>
      <c r="X81" s="106">
        <v>980</v>
      </c>
      <c r="Y81" s="106">
        <v>9800</v>
      </c>
      <c r="Z81" s="106" t="s">
        <v>35</v>
      </c>
      <c r="AA81" s="106">
        <f t="shared" si="8"/>
        <v>0</v>
      </c>
      <c r="AB81" s="106">
        <f t="shared" si="9"/>
        <v>0</v>
      </c>
      <c r="AC81" s="94"/>
      <c r="AD81" s="94"/>
      <c r="AE81" s="110"/>
      <c r="AF81" s="110"/>
      <c r="AG81" s="110"/>
      <c r="AH81" s="99"/>
    </row>
    <row r="82" spans="1:34" ht="26.25" customHeight="1">
      <c r="A82" s="45"/>
      <c r="B82" s="121"/>
      <c r="C82" s="2"/>
      <c r="D82" s="2"/>
      <c r="E82" s="74">
        <v>10</v>
      </c>
      <c r="F82" s="74">
        <v>196</v>
      </c>
      <c r="G82" s="45">
        <f t="shared" si="10"/>
        <v>1960</v>
      </c>
      <c r="H82" s="119" t="s">
        <v>146</v>
      </c>
      <c r="I82" s="128">
        <v>45275</v>
      </c>
      <c r="J82" s="60">
        <v>196</v>
      </c>
      <c r="K82" s="74">
        <f>10+2</f>
        <v>12</v>
      </c>
      <c r="L82" s="156">
        <v>45276</v>
      </c>
      <c r="M82" s="90">
        <v>1960</v>
      </c>
      <c r="N82" s="90">
        <v>35</v>
      </c>
      <c r="O82" s="90" t="s">
        <v>1746</v>
      </c>
      <c r="P82" s="94" t="s">
        <v>28</v>
      </c>
      <c r="Q82" s="94">
        <v>8500065502</v>
      </c>
      <c r="R82" s="94">
        <v>5001336081</v>
      </c>
      <c r="S82" s="74">
        <v>196</v>
      </c>
      <c r="T82" s="90" t="s">
        <v>87</v>
      </c>
      <c r="U82" s="90">
        <v>8500065501</v>
      </c>
      <c r="V82" s="90">
        <v>5001345477</v>
      </c>
      <c r="W82" s="109">
        <v>45313</v>
      </c>
      <c r="X82" s="106">
        <v>196</v>
      </c>
      <c r="Y82" s="106">
        <v>1960</v>
      </c>
      <c r="Z82" s="106" t="s">
        <v>848</v>
      </c>
      <c r="AA82" s="106">
        <f>S82-X82</f>
        <v>0</v>
      </c>
      <c r="AB82" s="106">
        <f t="shared" si="9"/>
        <v>0</v>
      </c>
      <c r="AC82" s="94"/>
      <c r="AD82" s="94"/>
      <c r="AE82" s="110"/>
      <c r="AF82" s="110"/>
      <c r="AG82" s="110"/>
      <c r="AH82" s="99"/>
    </row>
    <row r="83" spans="1:34" ht="26.25" customHeight="1">
      <c r="A83" s="45" t="s">
        <v>279</v>
      </c>
      <c r="B83" s="121">
        <v>6000027381</v>
      </c>
      <c r="C83" s="2" t="s">
        <v>907</v>
      </c>
      <c r="D83" s="2" t="s">
        <v>2245</v>
      </c>
      <c r="E83" s="74">
        <v>10</v>
      </c>
      <c r="F83" s="74">
        <v>784</v>
      </c>
      <c r="G83" s="45">
        <f t="shared" si="10"/>
        <v>7840</v>
      </c>
      <c r="H83" s="119" t="s">
        <v>27</v>
      </c>
      <c r="I83" s="128">
        <v>45275</v>
      </c>
      <c r="J83" s="74">
        <v>784</v>
      </c>
      <c r="K83" s="74">
        <f>10+10</f>
        <v>20</v>
      </c>
      <c r="L83" s="156">
        <v>45278</v>
      </c>
      <c r="M83" s="90">
        <v>7840</v>
      </c>
      <c r="N83" s="90">
        <v>93</v>
      </c>
      <c r="O83" s="90" t="s">
        <v>862</v>
      </c>
      <c r="P83" s="94" t="s">
        <v>28</v>
      </c>
      <c r="Q83" s="94">
        <v>8500065504</v>
      </c>
      <c r="R83" s="94">
        <v>5001336079</v>
      </c>
      <c r="S83" s="94"/>
      <c r="T83" s="90" t="s">
        <v>87</v>
      </c>
      <c r="U83" s="90">
        <v>8500065503</v>
      </c>
      <c r="V83" s="90">
        <v>5001349386</v>
      </c>
      <c r="W83" s="109">
        <v>45308</v>
      </c>
      <c r="X83" s="106">
        <v>784</v>
      </c>
      <c r="Y83" s="106">
        <v>7840</v>
      </c>
      <c r="Z83" s="106" t="s">
        <v>848</v>
      </c>
      <c r="AA83" s="106">
        <f t="shared" si="8"/>
        <v>0</v>
      </c>
      <c r="AB83" s="106">
        <f t="shared" si="9"/>
        <v>0</v>
      </c>
      <c r="AC83" s="94"/>
      <c r="AD83" s="94"/>
      <c r="AE83" s="110"/>
      <c r="AF83" s="110"/>
      <c r="AG83" s="110"/>
      <c r="AH83" s="99"/>
    </row>
    <row r="84" spans="1:34" ht="26.25" customHeight="1">
      <c r="A84" s="45"/>
      <c r="B84" s="121"/>
      <c r="C84" s="2"/>
      <c r="D84" s="2"/>
      <c r="E84" s="74">
        <v>10</v>
      </c>
      <c r="F84" s="74">
        <v>1380</v>
      </c>
      <c r="G84" s="45">
        <f t="shared" si="10"/>
        <v>13800</v>
      </c>
      <c r="H84" s="119" t="s">
        <v>46</v>
      </c>
      <c r="I84" s="128">
        <v>45275</v>
      </c>
      <c r="J84" s="74">
        <v>1380</v>
      </c>
      <c r="K84" s="74">
        <f>10+15</f>
        <v>25</v>
      </c>
      <c r="L84" s="156">
        <v>45276</v>
      </c>
      <c r="M84" s="90">
        <v>13800</v>
      </c>
      <c r="N84" s="90">
        <v>153</v>
      </c>
      <c r="O84" s="90"/>
      <c r="P84" s="94" t="s">
        <v>28</v>
      </c>
      <c r="Q84" s="94">
        <v>8500065504</v>
      </c>
      <c r="R84" s="94">
        <v>5001336079</v>
      </c>
      <c r="S84" s="74">
        <v>1380</v>
      </c>
      <c r="T84" s="90" t="s">
        <v>87</v>
      </c>
      <c r="U84" s="90">
        <v>8500065503</v>
      </c>
      <c r="V84" s="90">
        <v>5001345478</v>
      </c>
      <c r="W84" s="109">
        <v>45308</v>
      </c>
      <c r="X84" s="106">
        <v>1380</v>
      </c>
      <c r="Y84" s="106">
        <v>13800</v>
      </c>
      <c r="Z84" s="106" t="s">
        <v>849</v>
      </c>
      <c r="AA84" s="106">
        <f t="shared" si="8"/>
        <v>0</v>
      </c>
      <c r="AB84" s="106">
        <f t="shared" si="9"/>
        <v>0</v>
      </c>
      <c r="AC84" s="94"/>
      <c r="AD84" s="94"/>
      <c r="AE84" s="110"/>
      <c r="AF84" s="110"/>
      <c r="AG84" s="110"/>
      <c r="AH84" s="99"/>
    </row>
    <row r="85" spans="1:34" ht="26.25" customHeight="1">
      <c r="A85" s="45"/>
      <c r="B85" s="121"/>
      <c r="C85" s="2"/>
      <c r="D85" s="2"/>
      <c r="E85" s="74">
        <v>10</v>
      </c>
      <c r="F85" s="74">
        <v>980</v>
      </c>
      <c r="G85" s="45">
        <f t="shared" si="10"/>
        <v>9800</v>
      </c>
      <c r="H85" s="119" t="s">
        <v>37</v>
      </c>
      <c r="I85" s="128">
        <v>45275</v>
      </c>
      <c r="J85" s="74">
        <v>980</v>
      </c>
      <c r="K85" s="74">
        <f>10+10</f>
        <v>20</v>
      </c>
      <c r="L85" s="156">
        <v>45276</v>
      </c>
      <c r="M85" s="90">
        <v>9800</v>
      </c>
      <c r="N85" s="90">
        <v>113</v>
      </c>
      <c r="O85" s="90"/>
      <c r="P85" s="94" t="s">
        <v>28</v>
      </c>
      <c r="Q85" s="94">
        <v>8500065504</v>
      </c>
      <c r="R85" s="94">
        <v>5001336079</v>
      </c>
      <c r="S85" s="94"/>
      <c r="T85" s="90" t="s">
        <v>87</v>
      </c>
      <c r="U85" s="90">
        <v>8500065503</v>
      </c>
      <c r="V85" s="90">
        <v>5001345478</v>
      </c>
      <c r="W85" s="109">
        <v>45309</v>
      </c>
      <c r="X85" s="106">
        <v>980</v>
      </c>
      <c r="Y85" s="106">
        <v>9800</v>
      </c>
      <c r="Z85" s="106" t="s">
        <v>35</v>
      </c>
      <c r="AA85" s="106">
        <f t="shared" si="8"/>
        <v>0</v>
      </c>
      <c r="AB85" s="106">
        <f t="shared" si="9"/>
        <v>0</v>
      </c>
      <c r="AC85" s="94"/>
      <c r="AD85" s="94"/>
      <c r="AE85" s="110"/>
      <c r="AF85" s="110"/>
      <c r="AG85" s="110"/>
      <c r="AH85" s="99"/>
    </row>
    <row r="86" spans="1:34" ht="26.25" customHeight="1">
      <c r="A86" s="45"/>
      <c r="B86" s="121"/>
      <c r="C86" s="2"/>
      <c r="D86" s="2"/>
      <c r="E86" s="74">
        <v>10</v>
      </c>
      <c r="F86" s="74">
        <v>196</v>
      </c>
      <c r="G86" s="45">
        <f t="shared" si="10"/>
        <v>1960</v>
      </c>
      <c r="H86" s="119" t="s">
        <v>146</v>
      </c>
      <c r="I86" s="128">
        <v>45275</v>
      </c>
      <c r="J86" s="74">
        <v>196</v>
      </c>
      <c r="K86" s="74">
        <f>10+3</f>
        <v>13</v>
      </c>
      <c r="L86" s="156">
        <v>45276</v>
      </c>
      <c r="M86" s="90">
        <v>1960</v>
      </c>
      <c r="N86" s="90">
        <v>35</v>
      </c>
      <c r="O86" s="90" t="s">
        <v>1580</v>
      </c>
      <c r="P86" s="94" t="s">
        <v>28</v>
      </c>
      <c r="Q86" s="94">
        <v>8500065504</v>
      </c>
      <c r="R86" s="94">
        <v>5001336079</v>
      </c>
      <c r="S86" s="74">
        <v>196</v>
      </c>
      <c r="T86" s="90" t="s">
        <v>87</v>
      </c>
      <c r="U86" s="90">
        <v>8500065503</v>
      </c>
      <c r="V86" s="90">
        <v>5001345478</v>
      </c>
      <c r="W86" s="109">
        <v>45313</v>
      </c>
      <c r="X86" s="106">
        <v>196</v>
      </c>
      <c r="Y86" s="106">
        <v>1960</v>
      </c>
      <c r="Z86" s="106" t="s">
        <v>848</v>
      </c>
      <c r="AA86" s="106">
        <f t="shared" si="8"/>
        <v>0</v>
      </c>
      <c r="AB86" s="106">
        <f t="shared" si="9"/>
        <v>0</v>
      </c>
      <c r="AC86" s="94"/>
      <c r="AD86" s="94"/>
      <c r="AE86" s="110"/>
      <c r="AF86" s="110"/>
      <c r="AG86" s="110"/>
      <c r="AH86" s="99"/>
    </row>
    <row r="87" spans="1:34" ht="26.25" customHeight="1">
      <c r="A87" s="45" t="s">
        <v>2009</v>
      </c>
      <c r="B87" s="121">
        <v>6000026894</v>
      </c>
      <c r="C87" s="2" t="s">
        <v>2011</v>
      </c>
      <c r="D87" s="2" t="s">
        <v>2174</v>
      </c>
      <c r="E87" s="74">
        <v>10</v>
      </c>
      <c r="F87" s="74">
        <v>550</v>
      </c>
      <c r="G87" s="45">
        <f t="shared" si="7"/>
        <v>5500</v>
      </c>
      <c r="H87" s="119" t="s">
        <v>27</v>
      </c>
      <c r="I87" s="128">
        <v>45295</v>
      </c>
      <c r="J87" s="158">
        <v>550</v>
      </c>
      <c r="K87" s="74">
        <v>10</v>
      </c>
      <c r="L87" s="156" t="s">
        <v>2264</v>
      </c>
      <c r="M87" s="90">
        <f>3900+1600</f>
        <v>5500</v>
      </c>
      <c r="N87" s="90">
        <v>50</v>
      </c>
      <c r="O87" s="90" t="s">
        <v>2261</v>
      </c>
      <c r="P87" s="94" t="s">
        <v>924</v>
      </c>
      <c r="Q87" s="92">
        <v>8500065073</v>
      </c>
      <c r="R87" s="94">
        <v>5000016739</v>
      </c>
      <c r="S87" s="158">
        <v>550</v>
      </c>
      <c r="T87" s="90" t="s">
        <v>655</v>
      </c>
      <c r="U87" s="90">
        <v>8500065072</v>
      </c>
      <c r="V87" s="90">
        <v>5001350259</v>
      </c>
      <c r="W87" s="109">
        <v>45296</v>
      </c>
      <c r="X87" s="106">
        <v>550</v>
      </c>
      <c r="Y87" s="106">
        <v>5500</v>
      </c>
      <c r="Z87" s="106" t="s">
        <v>800</v>
      </c>
      <c r="AA87" s="106">
        <f t="shared" si="8"/>
        <v>0</v>
      </c>
      <c r="AB87" s="106">
        <f t="shared" si="9"/>
        <v>0</v>
      </c>
      <c r="AC87" s="94"/>
      <c r="AD87" s="94"/>
      <c r="AE87" s="110"/>
      <c r="AF87" s="110"/>
      <c r="AG87" s="110"/>
      <c r="AH87" s="99"/>
    </row>
    <row r="88" spans="1:34" ht="26.25" customHeight="1">
      <c r="A88" s="45"/>
      <c r="B88" s="121"/>
      <c r="C88" s="2"/>
      <c r="D88" s="2"/>
      <c r="E88" s="74">
        <v>10</v>
      </c>
      <c r="F88" s="74">
        <v>1240</v>
      </c>
      <c r="G88" s="45">
        <f t="shared" si="7"/>
        <v>12400</v>
      </c>
      <c r="H88" s="119" t="s">
        <v>46</v>
      </c>
      <c r="I88" s="128">
        <v>45295</v>
      </c>
      <c r="J88" s="158">
        <v>1240</v>
      </c>
      <c r="K88" s="74">
        <v>20</v>
      </c>
      <c r="L88" s="156" t="s">
        <v>2251</v>
      </c>
      <c r="M88" s="90">
        <f>3100+9300</f>
        <v>12400</v>
      </c>
      <c r="N88" s="90">
        <v>100</v>
      </c>
      <c r="O88" s="90" t="s">
        <v>2254</v>
      </c>
      <c r="P88" s="94" t="s">
        <v>924</v>
      </c>
      <c r="Q88" s="92">
        <v>8500065073</v>
      </c>
      <c r="R88" s="94">
        <v>5000016739</v>
      </c>
      <c r="S88" s="158">
        <v>1240</v>
      </c>
      <c r="T88" s="90" t="s">
        <v>655</v>
      </c>
      <c r="U88" s="90">
        <v>8500065072</v>
      </c>
      <c r="V88" s="90">
        <v>5001345394</v>
      </c>
      <c r="W88" s="109">
        <v>45296</v>
      </c>
      <c r="X88" s="106">
        <v>1240</v>
      </c>
      <c r="Y88" s="106">
        <v>12400</v>
      </c>
      <c r="Z88" s="106" t="s">
        <v>800</v>
      </c>
      <c r="AA88" s="106">
        <f t="shared" si="8"/>
        <v>0</v>
      </c>
      <c r="AB88" s="106">
        <f t="shared" si="9"/>
        <v>0</v>
      </c>
      <c r="AC88" s="94"/>
      <c r="AD88" s="94"/>
      <c r="AE88" s="110"/>
      <c r="AF88" s="110"/>
      <c r="AG88" s="110"/>
      <c r="AH88" s="99"/>
    </row>
    <row r="89" spans="1:34" ht="26.25" customHeight="1">
      <c r="A89" s="45"/>
      <c r="B89" s="121"/>
      <c r="C89" s="228" t="s">
        <v>2179</v>
      </c>
      <c r="D89" s="228"/>
      <c r="E89" s="74">
        <v>10</v>
      </c>
      <c r="F89" s="74">
        <v>1385</v>
      </c>
      <c r="G89" s="45">
        <f t="shared" si="7"/>
        <v>13850</v>
      </c>
      <c r="H89" s="119" t="s">
        <v>37</v>
      </c>
      <c r="I89" s="128" t="s">
        <v>2407</v>
      </c>
      <c r="J89" s="158">
        <f>800+585</f>
        <v>1385</v>
      </c>
      <c r="K89" s="74">
        <v>15</v>
      </c>
      <c r="L89" s="156" t="s">
        <v>2264</v>
      </c>
      <c r="M89" s="90">
        <f>11250+2600</f>
        <v>13850</v>
      </c>
      <c r="N89" s="90">
        <v>150</v>
      </c>
      <c r="O89" s="90" t="s">
        <v>2263</v>
      </c>
      <c r="P89" s="94" t="s">
        <v>924</v>
      </c>
      <c r="Q89" s="92">
        <v>8500065073</v>
      </c>
      <c r="R89" s="94">
        <v>5000016739</v>
      </c>
      <c r="S89" s="158">
        <f>800+585</f>
        <v>1385</v>
      </c>
      <c r="T89" s="90" t="s">
        <v>655</v>
      </c>
      <c r="U89" s="90">
        <v>8500065072</v>
      </c>
      <c r="V89" s="90">
        <v>5001350259</v>
      </c>
      <c r="W89" s="109" t="s">
        <v>2444</v>
      </c>
      <c r="X89" s="106">
        <f>500+500+385</f>
        <v>1385</v>
      </c>
      <c r="Y89" s="106">
        <f>5000+5000+3850</f>
        <v>13850</v>
      </c>
      <c r="Z89" s="106" t="s">
        <v>1810</v>
      </c>
      <c r="AA89" s="106">
        <f t="shared" si="8"/>
        <v>0</v>
      </c>
      <c r="AB89" s="106">
        <f t="shared" si="9"/>
        <v>0</v>
      </c>
      <c r="AC89" s="94"/>
      <c r="AD89" s="94"/>
      <c r="AE89" s="110"/>
      <c r="AF89" s="110"/>
      <c r="AG89" s="110"/>
      <c r="AH89" s="99"/>
    </row>
    <row r="90" spans="1:34" ht="26.25" customHeight="1">
      <c r="A90" s="45"/>
      <c r="B90" s="121"/>
      <c r="C90" s="2"/>
      <c r="D90" s="245" t="s">
        <v>1788</v>
      </c>
      <c r="E90" s="218">
        <v>10</v>
      </c>
      <c r="F90" s="218">
        <v>925</v>
      </c>
      <c r="G90" s="219">
        <f t="shared" si="7"/>
        <v>9250</v>
      </c>
      <c r="H90" s="119" t="s">
        <v>146</v>
      </c>
      <c r="I90" s="128">
        <v>45295</v>
      </c>
      <c r="J90" s="158">
        <v>925</v>
      </c>
      <c r="K90" s="74">
        <v>15</v>
      </c>
      <c r="L90" s="156">
        <v>45279</v>
      </c>
      <c r="M90" s="90">
        <v>9250</v>
      </c>
      <c r="N90" s="90">
        <v>100</v>
      </c>
      <c r="O90" s="90" t="s">
        <v>1791</v>
      </c>
      <c r="P90" s="94" t="s">
        <v>924</v>
      </c>
      <c r="Q90" s="92">
        <v>8500065073</v>
      </c>
      <c r="R90" s="94">
        <v>5000016739</v>
      </c>
      <c r="S90" s="158">
        <v>925</v>
      </c>
      <c r="T90" s="90" t="s">
        <v>655</v>
      </c>
      <c r="U90" s="90">
        <v>8500065072</v>
      </c>
      <c r="V90" s="90">
        <v>5001350259</v>
      </c>
      <c r="W90" s="109">
        <v>45293</v>
      </c>
      <c r="X90" s="106">
        <v>925</v>
      </c>
      <c r="Y90" s="106">
        <v>9250</v>
      </c>
      <c r="Z90" s="106" t="s">
        <v>1980</v>
      </c>
      <c r="AA90" s="106">
        <f t="shared" si="8"/>
        <v>0</v>
      </c>
      <c r="AB90" s="106">
        <f t="shared" si="9"/>
        <v>0</v>
      </c>
      <c r="AC90" s="94"/>
      <c r="AD90" s="94"/>
      <c r="AE90" s="110"/>
      <c r="AF90" s="110"/>
      <c r="AG90" s="110"/>
      <c r="AH90" s="99"/>
    </row>
    <row r="91" spans="1:34" ht="25.5" customHeight="1">
      <c r="A91" s="45" t="s">
        <v>2009</v>
      </c>
      <c r="B91" s="121">
        <v>6000026895</v>
      </c>
      <c r="C91" s="2" t="s">
        <v>2011</v>
      </c>
      <c r="D91" s="2" t="s">
        <v>2178</v>
      </c>
      <c r="E91" s="74">
        <v>10</v>
      </c>
      <c r="F91" s="74">
        <v>120</v>
      </c>
      <c r="G91" s="45">
        <f t="shared" si="7"/>
        <v>1200</v>
      </c>
      <c r="H91" s="119" t="s">
        <v>243</v>
      </c>
      <c r="I91" s="128">
        <v>45295</v>
      </c>
      <c r="J91" s="74">
        <v>120</v>
      </c>
      <c r="K91" s="74">
        <v>20</v>
      </c>
      <c r="L91" s="156">
        <v>45280</v>
      </c>
      <c r="M91" s="90">
        <v>1200</v>
      </c>
      <c r="N91" s="90">
        <v>50</v>
      </c>
      <c r="O91" s="90" t="s">
        <v>1344</v>
      </c>
      <c r="P91" s="94" t="s">
        <v>924</v>
      </c>
      <c r="Q91" s="94">
        <v>8500065075</v>
      </c>
      <c r="R91" s="94">
        <v>5000016674</v>
      </c>
      <c r="S91" s="74">
        <v>120</v>
      </c>
      <c r="T91" s="90" t="s">
        <v>655</v>
      </c>
      <c r="U91" s="90">
        <v>8500065074</v>
      </c>
      <c r="V91" s="90"/>
      <c r="W91" s="109">
        <v>45297</v>
      </c>
      <c r="X91" s="106">
        <v>120</v>
      </c>
      <c r="Y91" s="106">
        <v>1200</v>
      </c>
      <c r="Z91" s="106" t="s">
        <v>800</v>
      </c>
      <c r="AA91" s="106">
        <f t="shared" si="8"/>
        <v>0</v>
      </c>
      <c r="AB91" s="106">
        <f t="shared" si="9"/>
        <v>0</v>
      </c>
      <c r="AC91" s="94"/>
      <c r="AD91" s="94"/>
      <c r="AE91" s="110"/>
      <c r="AF91" s="110"/>
      <c r="AG91" s="110"/>
      <c r="AH91" s="99"/>
    </row>
    <row r="92" spans="1:34" ht="26.25" customHeight="1">
      <c r="A92" s="45"/>
      <c r="B92" s="121"/>
      <c r="C92" s="2"/>
      <c r="D92" s="2"/>
      <c r="E92" s="74">
        <v>10</v>
      </c>
      <c r="F92" s="74">
        <v>530</v>
      </c>
      <c r="G92" s="45">
        <f t="shared" si="7"/>
        <v>5300</v>
      </c>
      <c r="H92" s="119" t="s">
        <v>27</v>
      </c>
      <c r="I92" s="128">
        <v>45295</v>
      </c>
      <c r="J92" s="74">
        <v>530</v>
      </c>
      <c r="K92" s="74">
        <v>10</v>
      </c>
      <c r="L92" s="156">
        <v>45280</v>
      </c>
      <c r="M92" s="90">
        <v>5300</v>
      </c>
      <c r="N92" s="90">
        <v>50</v>
      </c>
      <c r="O92" s="90" t="s">
        <v>1403</v>
      </c>
      <c r="P92" s="94" t="s">
        <v>924</v>
      </c>
      <c r="Q92" s="94">
        <v>8500065075</v>
      </c>
      <c r="R92" s="94">
        <v>5000016674</v>
      </c>
      <c r="S92" s="74">
        <v>530</v>
      </c>
      <c r="T92" s="90" t="s">
        <v>655</v>
      </c>
      <c r="U92" s="90">
        <v>8500065074</v>
      </c>
      <c r="V92" s="90"/>
      <c r="W92" s="109">
        <v>45300</v>
      </c>
      <c r="X92" s="106">
        <v>530</v>
      </c>
      <c r="Y92" s="106">
        <v>5300</v>
      </c>
      <c r="Z92" s="106" t="s">
        <v>754</v>
      </c>
      <c r="AA92" s="106">
        <f t="shared" si="8"/>
        <v>0</v>
      </c>
      <c r="AB92" s="106">
        <f t="shared" si="9"/>
        <v>0</v>
      </c>
      <c r="AC92" s="94"/>
      <c r="AD92" s="94"/>
      <c r="AE92" s="110"/>
      <c r="AF92" s="110"/>
      <c r="AG92" s="110"/>
      <c r="AH92" s="99"/>
    </row>
    <row r="93" spans="1:34" ht="26.25" customHeight="1">
      <c r="A93" s="45"/>
      <c r="B93" s="121"/>
      <c r="C93" s="2"/>
      <c r="D93" s="2" t="s">
        <v>343</v>
      </c>
      <c r="E93" s="74">
        <v>10</v>
      </c>
      <c r="F93" s="74">
        <v>1200</v>
      </c>
      <c r="G93" s="45">
        <f t="shared" si="7"/>
        <v>12000</v>
      </c>
      <c r="H93" s="119" t="s">
        <v>46</v>
      </c>
      <c r="I93" s="128">
        <v>45295</v>
      </c>
      <c r="J93" s="74">
        <v>1200</v>
      </c>
      <c r="K93" s="74">
        <v>20</v>
      </c>
      <c r="L93" s="156" t="s">
        <v>2252</v>
      </c>
      <c r="M93" s="90">
        <f>4000+8000</f>
        <v>12000</v>
      </c>
      <c r="N93" s="240">
        <v>13</v>
      </c>
      <c r="O93" s="90" t="s">
        <v>2253</v>
      </c>
      <c r="P93" s="94" t="s">
        <v>924</v>
      </c>
      <c r="Q93" s="94">
        <v>8500065075</v>
      </c>
      <c r="R93" s="94">
        <v>5000016674</v>
      </c>
      <c r="S93" s="74">
        <v>1200</v>
      </c>
      <c r="T93" s="90" t="s">
        <v>655</v>
      </c>
      <c r="U93" s="90">
        <v>8500065074</v>
      </c>
      <c r="V93" s="90">
        <v>5001345399</v>
      </c>
      <c r="W93" s="109">
        <v>45304</v>
      </c>
      <c r="X93" s="106">
        <v>1200</v>
      </c>
      <c r="Y93" s="106">
        <v>12000</v>
      </c>
      <c r="Z93" s="106" t="s">
        <v>755</v>
      </c>
      <c r="AA93" s="106">
        <f t="shared" si="8"/>
        <v>0</v>
      </c>
      <c r="AB93" s="106">
        <f t="shared" si="9"/>
        <v>0</v>
      </c>
      <c r="AC93" s="94"/>
      <c r="AD93" s="94"/>
      <c r="AE93" s="110"/>
      <c r="AF93" s="110"/>
      <c r="AG93" s="110"/>
      <c r="AH93" s="99"/>
    </row>
    <row r="94" spans="1:34" ht="26.25" customHeight="1">
      <c r="A94" s="45"/>
      <c r="B94" s="121"/>
      <c r="C94" s="2"/>
      <c r="D94" s="245" t="s">
        <v>2290</v>
      </c>
      <c r="E94" s="218">
        <v>10</v>
      </c>
      <c r="F94" s="74">
        <v>1340</v>
      </c>
      <c r="G94" s="45">
        <f t="shared" si="7"/>
        <v>13400</v>
      </c>
      <c r="H94" s="119" t="s">
        <v>37</v>
      </c>
      <c r="I94" s="128">
        <v>45295</v>
      </c>
      <c r="J94" s="74">
        <v>1340</v>
      </c>
      <c r="K94" s="74">
        <v>20</v>
      </c>
      <c r="L94" s="156" t="s">
        <v>2264</v>
      </c>
      <c r="M94" s="90">
        <f>10000+3400</f>
        <v>13400</v>
      </c>
      <c r="N94" s="90">
        <v>100</v>
      </c>
      <c r="O94" s="90" t="s">
        <v>2262</v>
      </c>
      <c r="P94" s="94" t="s">
        <v>924</v>
      </c>
      <c r="Q94" s="94">
        <v>8500065075</v>
      </c>
      <c r="R94" s="94">
        <v>5000016674</v>
      </c>
      <c r="S94" s="74">
        <v>1340</v>
      </c>
      <c r="T94" s="90" t="s">
        <v>655</v>
      </c>
      <c r="U94" s="90">
        <v>8500065074</v>
      </c>
      <c r="V94" s="90">
        <v>5001350258</v>
      </c>
      <c r="W94" s="109" t="s">
        <v>2530</v>
      </c>
      <c r="X94" s="106">
        <f>858+250+232</f>
        <v>1340</v>
      </c>
      <c r="Y94" s="106">
        <f>8580+2500+2320</f>
        <v>13400</v>
      </c>
      <c r="Z94" s="106" t="s">
        <v>1891</v>
      </c>
      <c r="AA94" s="106">
        <f t="shared" si="8"/>
        <v>0</v>
      </c>
      <c r="AB94" s="106">
        <f t="shared" si="9"/>
        <v>0</v>
      </c>
      <c r="AC94" s="94" t="s">
        <v>2410</v>
      </c>
      <c r="AD94" s="94"/>
      <c r="AE94" s="110"/>
      <c r="AF94" s="110"/>
      <c r="AG94" s="110"/>
      <c r="AH94" s="99"/>
    </row>
    <row r="95" spans="1:34" ht="26.25" customHeight="1">
      <c r="A95" s="45"/>
      <c r="B95" s="121"/>
      <c r="C95" s="228" t="s">
        <v>2179</v>
      </c>
      <c r="D95" s="245" t="s">
        <v>2291</v>
      </c>
      <c r="E95" s="218">
        <v>10</v>
      </c>
      <c r="F95" s="74">
        <v>910</v>
      </c>
      <c r="G95" s="45">
        <f t="shared" si="7"/>
        <v>9100</v>
      </c>
      <c r="H95" s="119" t="s">
        <v>146</v>
      </c>
      <c r="I95" s="128">
        <v>45295</v>
      </c>
      <c r="J95" s="74">
        <v>910</v>
      </c>
      <c r="K95" s="74">
        <v>20</v>
      </c>
      <c r="L95" s="156">
        <v>45280</v>
      </c>
      <c r="M95" s="90">
        <v>9100</v>
      </c>
      <c r="N95" s="90">
        <v>100</v>
      </c>
      <c r="O95" s="90" t="s">
        <v>1784</v>
      </c>
      <c r="P95" s="94" t="s">
        <v>924</v>
      </c>
      <c r="Q95" s="94">
        <v>8500065075</v>
      </c>
      <c r="R95" s="94">
        <v>5000016674</v>
      </c>
      <c r="S95" s="74">
        <v>910</v>
      </c>
      <c r="T95" s="90" t="s">
        <v>655</v>
      </c>
      <c r="U95" s="90">
        <v>8500065074</v>
      </c>
      <c r="V95" s="90"/>
      <c r="W95" s="109" t="s">
        <v>2620</v>
      </c>
      <c r="X95" s="106">
        <f>397+140+373</f>
        <v>910</v>
      </c>
      <c r="Y95" s="106">
        <f>3970+1400+3730</f>
        <v>9100</v>
      </c>
      <c r="Z95" s="106" t="s">
        <v>2621</v>
      </c>
      <c r="AA95" s="106">
        <f t="shared" si="8"/>
        <v>0</v>
      </c>
      <c r="AB95" s="106">
        <f t="shared" si="9"/>
        <v>0</v>
      </c>
      <c r="AC95" s="94"/>
      <c r="AD95" s="94"/>
      <c r="AE95" s="110"/>
      <c r="AF95" s="110"/>
      <c r="AG95" s="110"/>
      <c r="AH95" s="99"/>
    </row>
    <row r="96" spans="1:34" ht="26.25" customHeight="1">
      <c r="A96" s="45" t="s">
        <v>645</v>
      </c>
      <c r="B96" s="121">
        <v>6000027184</v>
      </c>
      <c r="C96" s="2" t="s">
        <v>1335</v>
      </c>
      <c r="D96" s="2" t="s">
        <v>2185</v>
      </c>
      <c r="E96" s="74">
        <v>10</v>
      </c>
      <c r="F96" s="74">
        <v>150</v>
      </c>
      <c r="G96" s="45">
        <f t="shared" si="7"/>
        <v>1500</v>
      </c>
      <c r="H96" s="119" t="s">
        <v>27</v>
      </c>
      <c r="I96" s="128">
        <v>45273</v>
      </c>
      <c r="J96" s="158">
        <v>150</v>
      </c>
      <c r="K96" s="74">
        <f>2+2</f>
        <v>4</v>
      </c>
      <c r="L96" s="156">
        <v>45268</v>
      </c>
      <c r="M96" s="90">
        <v>1500</v>
      </c>
      <c r="N96" s="90">
        <v>15</v>
      </c>
      <c r="O96" s="90" t="s">
        <v>1637</v>
      </c>
      <c r="P96" s="94" t="s">
        <v>160</v>
      </c>
      <c r="Q96" s="94">
        <v>8500064866</v>
      </c>
      <c r="R96" s="94">
        <v>5001331326</v>
      </c>
      <c r="S96" s="158">
        <v>150</v>
      </c>
      <c r="T96" s="90" t="s">
        <v>1558</v>
      </c>
      <c r="U96" s="90">
        <v>8500064865</v>
      </c>
      <c r="V96" s="90">
        <v>5001309658</v>
      </c>
      <c r="W96" s="109">
        <v>45297</v>
      </c>
      <c r="X96" s="106">
        <v>150</v>
      </c>
      <c r="Y96" s="106">
        <v>1500</v>
      </c>
      <c r="Z96" s="106" t="s">
        <v>1988</v>
      </c>
      <c r="AA96" s="106">
        <f t="shared" si="8"/>
        <v>0</v>
      </c>
      <c r="AB96" s="106">
        <f t="shared" si="9"/>
        <v>0</v>
      </c>
      <c r="AC96" s="94"/>
      <c r="AD96" s="94"/>
      <c r="AE96" s="110"/>
      <c r="AF96" s="110"/>
      <c r="AG96" s="110"/>
      <c r="AH96" s="99"/>
    </row>
    <row r="97" spans="1:34" ht="26.25" customHeight="1">
      <c r="A97" s="45"/>
      <c r="B97" s="121"/>
      <c r="C97" s="2"/>
      <c r="D97" s="2"/>
      <c r="E97" s="94">
        <v>10</v>
      </c>
      <c r="F97" s="74">
        <v>825</v>
      </c>
      <c r="G97" s="45">
        <f t="shared" si="7"/>
        <v>8250</v>
      </c>
      <c r="H97" s="119" t="s">
        <v>46</v>
      </c>
      <c r="I97" s="128">
        <v>45273</v>
      </c>
      <c r="J97" s="158">
        <v>825</v>
      </c>
      <c r="K97" s="74">
        <f>10+13</f>
        <v>23</v>
      </c>
      <c r="L97" s="156">
        <v>45268</v>
      </c>
      <c r="M97" s="90">
        <v>8250</v>
      </c>
      <c r="N97" s="90">
        <v>83</v>
      </c>
      <c r="O97" s="90" t="s">
        <v>1439</v>
      </c>
      <c r="P97" s="94" t="s">
        <v>160</v>
      </c>
      <c r="Q97" s="94">
        <v>8500064866</v>
      </c>
      <c r="R97" s="94">
        <v>5001331326</v>
      </c>
      <c r="S97" s="158">
        <v>825</v>
      </c>
      <c r="T97" s="90" t="s">
        <v>1558</v>
      </c>
      <c r="U97" s="90">
        <v>8500064865</v>
      </c>
      <c r="V97" s="90">
        <v>5001309658</v>
      </c>
      <c r="W97" s="109">
        <v>45302</v>
      </c>
      <c r="X97" s="106">
        <v>825</v>
      </c>
      <c r="Y97" s="106">
        <v>8250</v>
      </c>
      <c r="Z97" s="106" t="s">
        <v>1609</v>
      </c>
      <c r="AA97" s="106">
        <f t="shared" si="8"/>
        <v>0</v>
      </c>
      <c r="AB97" s="106">
        <f t="shared" si="9"/>
        <v>0</v>
      </c>
      <c r="AC97" s="94"/>
      <c r="AD97" s="94"/>
      <c r="AE97" s="110"/>
      <c r="AF97" s="110"/>
      <c r="AG97" s="110"/>
      <c r="AH97" s="99"/>
    </row>
    <row r="98" spans="1:34" ht="26.25" customHeight="1">
      <c r="A98" s="45"/>
      <c r="B98" s="121"/>
      <c r="C98" s="2"/>
      <c r="D98" s="2"/>
      <c r="E98" s="94">
        <v>10</v>
      </c>
      <c r="F98" s="74">
        <v>525</v>
      </c>
      <c r="G98" s="45">
        <f t="shared" si="7"/>
        <v>5250</v>
      </c>
      <c r="H98" s="119" t="s">
        <v>37</v>
      </c>
      <c r="I98" s="128">
        <v>45273</v>
      </c>
      <c r="J98" s="158">
        <v>525</v>
      </c>
      <c r="K98" s="74">
        <f>7+2</f>
        <v>9</v>
      </c>
      <c r="L98" s="156">
        <v>45268</v>
      </c>
      <c r="M98" s="90">
        <v>5250</v>
      </c>
      <c r="N98" s="90">
        <v>53</v>
      </c>
      <c r="O98" s="90" t="s">
        <v>795</v>
      </c>
      <c r="P98" s="94" t="s">
        <v>160</v>
      </c>
      <c r="Q98" s="94">
        <v>8500064866</v>
      </c>
      <c r="R98" s="94">
        <v>5001331326</v>
      </c>
      <c r="S98" s="158">
        <v>525</v>
      </c>
      <c r="T98" s="90" t="s">
        <v>1558</v>
      </c>
      <c r="U98" s="90">
        <v>8500064865</v>
      </c>
      <c r="V98" s="90">
        <v>5001309658</v>
      </c>
      <c r="W98" s="109">
        <v>45297</v>
      </c>
      <c r="X98" s="106">
        <v>525</v>
      </c>
      <c r="Y98" s="106">
        <v>5250</v>
      </c>
      <c r="Z98" s="106" t="s">
        <v>1607</v>
      </c>
      <c r="AA98" s="106">
        <f t="shared" si="8"/>
        <v>0</v>
      </c>
      <c r="AB98" s="106">
        <f t="shared" si="9"/>
        <v>0</v>
      </c>
      <c r="AC98" s="94"/>
      <c r="AD98" s="94"/>
      <c r="AE98" s="110"/>
      <c r="AF98" s="110"/>
      <c r="AG98" s="110"/>
      <c r="AH98" s="99"/>
    </row>
    <row r="99" spans="1:34" ht="26.25" customHeight="1">
      <c r="A99" s="45"/>
      <c r="B99" s="121"/>
      <c r="C99" s="2"/>
      <c r="D99" s="2"/>
      <c r="E99" s="94">
        <v>10</v>
      </c>
      <c r="F99" s="74">
        <v>300</v>
      </c>
      <c r="G99" s="45">
        <f t="shared" si="7"/>
        <v>3000</v>
      </c>
      <c r="H99" s="119" t="s">
        <v>146</v>
      </c>
      <c r="I99" s="128">
        <v>45273</v>
      </c>
      <c r="J99" s="158">
        <v>300</v>
      </c>
      <c r="K99" s="74">
        <f>5+2</f>
        <v>7</v>
      </c>
      <c r="L99" s="156">
        <v>45268</v>
      </c>
      <c r="M99" s="90">
        <v>3000</v>
      </c>
      <c r="N99" s="90">
        <v>30</v>
      </c>
      <c r="O99" s="90" t="s">
        <v>736</v>
      </c>
      <c r="P99" s="94" t="s">
        <v>160</v>
      </c>
      <c r="Q99" s="94">
        <v>8500064866</v>
      </c>
      <c r="R99" s="94">
        <v>5001331326</v>
      </c>
      <c r="S99" s="158">
        <v>300</v>
      </c>
      <c r="T99" s="90" t="s">
        <v>1558</v>
      </c>
      <c r="U99" s="90">
        <v>8500064865</v>
      </c>
      <c r="V99" s="90">
        <v>5001327662</v>
      </c>
      <c r="W99" s="109">
        <v>45304</v>
      </c>
      <c r="X99" s="106">
        <v>300</v>
      </c>
      <c r="Y99" s="106">
        <v>3000</v>
      </c>
      <c r="Z99" s="106" t="s">
        <v>759</v>
      </c>
      <c r="AA99" s="106">
        <f t="shared" si="8"/>
        <v>0</v>
      </c>
      <c r="AB99" s="106">
        <f t="shared" si="9"/>
        <v>0</v>
      </c>
      <c r="AC99" s="94"/>
      <c r="AD99" s="94"/>
      <c r="AE99" s="110"/>
      <c r="AF99" s="110"/>
      <c r="AG99" s="110"/>
      <c r="AH99" s="99"/>
    </row>
    <row r="100" spans="1:34" ht="26.25" customHeight="1">
      <c r="A100" s="45" t="s">
        <v>645</v>
      </c>
      <c r="B100" s="121">
        <v>6000027184</v>
      </c>
      <c r="C100" s="192" t="s">
        <v>1874</v>
      </c>
      <c r="D100" s="192" t="s">
        <v>2185</v>
      </c>
      <c r="E100" s="94">
        <v>10</v>
      </c>
      <c r="F100" s="74">
        <v>381</v>
      </c>
      <c r="G100" s="45">
        <f t="shared" si="7"/>
        <v>3810</v>
      </c>
      <c r="H100" s="119" t="s">
        <v>27</v>
      </c>
      <c r="I100" s="128">
        <v>45273</v>
      </c>
      <c r="J100" s="158">
        <v>381</v>
      </c>
      <c r="K100" s="74">
        <v>5</v>
      </c>
      <c r="L100" s="156">
        <v>45276</v>
      </c>
      <c r="M100" s="90">
        <v>3810</v>
      </c>
      <c r="N100" s="90">
        <v>40</v>
      </c>
      <c r="O100" s="90" t="s">
        <v>2233</v>
      </c>
      <c r="P100" s="94" t="s">
        <v>160</v>
      </c>
      <c r="Q100" s="94">
        <v>8500064868</v>
      </c>
      <c r="R100" s="94">
        <v>5001331430</v>
      </c>
      <c r="S100" s="158">
        <v>381</v>
      </c>
      <c r="T100" s="90" t="s">
        <v>655</v>
      </c>
      <c r="U100" s="90">
        <v>8500064867</v>
      </c>
      <c r="V100" s="90">
        <v>5001345393</v>
      </c>
      <c r="W100" s="109">
        <v>45280</v>
      </c>
      <c r="X100" s="112">
        <v>381</v>
      </c>
      <c r="Y100" s="106">
        <v>3810</v>
      </c>
      <c r="Z100" s="106" t="s">
        <v>1980</v>
      </c>
      <c r="AA100" s="106">
        <f t="shared" si="8"/>
        <v>0</v>
      </c>
      <c r="AB100" s="106">
        <f t="shared" si="9"/>
        <v>0</v>
      </c>
      <c r="AC100" s="94"/>
      <c r="AD100" s="499" t="s">
        <v>2268</v>
      </c>
      <c r="AE100" s="110"/>
      <c r="AF100" s="110"/>
      <c r="AG100" s="110"/>
      <c r="AH100" s="99"/>
    </row>
    <row r="101" spans="1:34" ht="26.25" customHeight="1">
      <c r="A101" s="45"/>
      <c r="B101" s="121"/>
      <c r="C101" s="192"/>
      <c r="D101" s="192"/>
      <c r="E101" s="94">
        <v>10</v>
      </c>
      <c r="F101" s="74">
        <v>656</v>
      </c>
      <c r="G101" s="45">
        <f t="shared" si="7"/>
        <v>6560</v>
      </c>
      <c r="H101" s="119" t="s">
        <v>46</v>
      </c>
      <c r="I101" s="128">
        <v>45273</v>
      </c>
      <c r="J101" s="158">
        <v>656</v>
      </c>
      <c r="K101" s="74">
        <f>8+3</f>
        <v>11</v>
      </c>
      <c r="L101" s="156" t="s">
        <v>2251</v>
      </c>
      <c r="M101" s="90">
        <f>3350+3210</f>
        <v>6560</v>
      </c>
      <c r="N101" s="90">
        <v>90</v>
      </c>
      <c r="O101" s="90" t="s">
        <v>1339</v>
      </c>
      <c r="P101" s="94" t="s">
        <v>160</v>
      </c>
      <c r="Q101" s="94">
        <v>8500064868</v>
      </c>
      <c r="R101" s="94">
        <v>5001331430</v>
      </c>
      <c r="S101" s="158">
        <v>656</v>
      </c>
      <c r="T101" s="90" t="s">
        <v>655</v>
      </c>
      <c r="U101" s="90">
        <v>8500064867</v>
      </c>
      <c r="V101" s="90">
        <v>5001345393</v>
      </c>
      <c r="W101" s="109">
        <v>45280</v>
      </c>
      <c r="X101" s="106">
        <v>656</v>
      </c>
      <c r="Y101" s="106">
        <v>6560</v>
      </c>
      <c r="Z101" s="106" t="s">
        <v>1980</v>
      </c>
      <c r="AA101" s="106">
        <f t="shared" si="8"/>
        <v>0</v>
      </c>
      <c r="AB101" s="106">
        <f t="shared" si="9"/>
        <v>0</v>
      </c>
      <c r="AC101" s="94"/>
      <c r="AD101" s="497"/>
      <c r="AE101" s="110"/>
      <c r="AF101" s="110"/>
      <c r="AG101" s="110"/>
      <c r="AH101" s="99"/>
    </row>
    <row r="102" spans="1:34" ht="39.75" customHeight="1">
      <c r="A102" s="83"/>
      <c r="B102" s="88"/>
      <c r="C102" s="86"/>
      <c r="D102" s="87"/>
      <c r="E102" s="94">
        <v>10</v>
      </c>
      <c r="F102" s="74">
        <v>540</v>
      </c>
      <c r="G102" s="45">
        <f t="shared" si="7"/>
        <v>5400</v>
      </c>
      <c r="H102" s="119" t="s">
        <v>37</v>
      </c>
      <c r="I102" s="128">
        <v>45273</v>
      </c>
      <c r="J102" s="158">
        <v>540</v>
      </c>
      <c r="K102" s="74">
        <f>7+1</f>
        <v>8</v>
      </c>
      <c r="L102" s="156">
        <v>45276</v>
      </c>
      <c r="M102" s="90">
        <v>5400</v>
      </c>
      <c r="N102" s="90">
        <v>50</v>
      </c>
      <c r="O102" s="90" t="s">
        <v>1339</v>
      </c>
      <c r="P102" s="94" t="s">
        <v>160</v>
      </c>
      <c r="Q102" s="94">
        <v>8500064868</v>
      </c>
      <c r="R102" s="94">
        <v>5001331430</v>
      </c>
      <c r="S102" s="158">
        <v>540</v>
      </c>
      <c r="T102" s="90" t="s">
        <v>655</v>
      </c>
      <c r="U102" s="90">
        <v>8500064867</v>
      </c>
      <c r="V102" s="90">
        <v>5001345393</v>
      </c>
      <c r="W102" s="109">
        <v>45304</v>
      </c>
      <c r="X102" s="106">
        <v>540</v>
      </c>
      <c r="Y102" s="106">
        <v>5400</v>
      </c>
      <c r="Z102" s="106" t="s">
        <v>800</v>
      </c>
      <c r="AA102" s="106">
        <f t="shared" si="8"/>
        <v>0</v>
      </c>
      <c r="AB102" s="106">
        <f t="shared" si="9"/>
        <v>0</v>
      </c>
      <c r="AC102" s="111" t="s">
        <v>2470</v>
      </c>
      <c r="AD102" s="497"/>
      <c r="AE102" s="110"/>
      <c r="AF102" s="110"/>
      <c r="AG102" s="110"/>
      <c r="AH102" s="99"/>
    </row>
    <row r="103" spans="1:34" ht="26.25" customHeight="1">
      <c r="A103" s="83"/>
      <c r="B103" s="88"/>
      <c r="C103" s="94"/>
      <c r="D103" s="95"/>
      <c r="E103" s="94">
        <v>10</v>
      </c>
      <c r="F103" s="74">
        <v>423</v>
      </c>
      <c r="G103" s="45">
        <f t="shared" si="7"/>
        <v>4230</v>
      </c>
      <c r="H103" s="119" t="s">
        <v>146</v>
      </c>
      <c r="I103" s="128">
        <v>45273</v>
      </c>
      <c r="J103" s="158">
        <v>423</v>
      </c>
      <c r="K103" s="74">
        <f>6+1</f>
        <v>7</v>
      </c>
      <c r="L103" s="156">
        <v>45276</v>
      </c>
      <c r="M103" s="90">
        <v>4230</v>
      </c>
      <c r="N103" s="90">
        <v>70</v>
      </c>
      <c r="O103" s="90" t="s">
        <v>2233</v>
      </c>
      <c r="P103" s="94" t="s">
        <v>160</v>
      </c>
      <c r="Q103" s="94">
        <v>8500064868</v>
      </c>
      <c r="R103" s="94">
        <v>5001331430</v>
      </c>
      <c r="S103" s="158">
        <v>423</v>
      </c>
      <c r="T103" s="90" t="s">
        <v>655</v>
      </c>
      <c r="U103" s="90">
        <v>8500064867</v>
      </c>
      <c r="V103" s="90">
        <v>5001345393</v>
      </c>
      <c r="W103" s="109">
        <v>45280</v>
      </c>
      <c r="X103" s="106">
        <v>423</v>
      </c>
      <c r="Y103" s="106">
        <v>4230</v>
      </c>
      <c r="Z103" s="106" t="s">
        <v>1980</v>
      </c>
      <c r="AA103" s="106">
        <f t="shared" si="8"/>
        <v>0</v>
      </c>
      <c r="AB103" s="106">
        <f t="shared" si="9"/>
        <v>0</v>
      </c>
      <c r="AC103" s="94"/>
      <c r="AD103" s="498"/>
      <c r="AE103" s="110"/>
      <c r="AF103" s="110"/>
      <c r="AG103" s="110"/>
      <c r="AH103" s="99"/>
    </row>
    <row r="104" spans="1:34" ht="26.25" customHeight="1">
      <c r="A104" s="45" t="s">
        <v>645</v>
      </c>
      <c r="B104" s="121">
        <v>6000027364</v>
      </c>
      <c r="C104" s="2" t="s">
        <v>1851</v>
      </c>
      <c r="D104" s="2" t="s">
        <v>2186</v>
      </c>
      <c r="E104" s="94">
        <v>10</v>
      </c>
      <c r="F104" s="74">
        <v>910</v>
      </c>
      <c r="G104" s="45">
        <f t="shared" si="7"/>
        <v>9100</v>
      </c>
      <c r="H104" s="119" t="s">
        <v>27</v>
      </c>
      <c r="I104" s="128">
        <v>45275</v>
      </c>
      <c r="J104" s="158">
        <v>910</v>
      </c>
      <c r="K104" s="74">
        <f>11+3</f>
        <v>14</v>
      </c>
      <c r="L104" s="156">
        <v>45283</v>
      </c>
      <c r="M104" s="90">
        <v>9100</v>
      </c>
      <c r="N104" s="90">
        <v>46</v>
      </c>
      <c r="O104" s="90" t="s">
        <v>1784</v>
      </c>
      <c r="P104" s="94" t="s">
        <v>160</v>
      </c>
      <c r="Q104" s="94">
        <v>8500065389</v>
      </c>
      <c r="R104" s="94">
        <v>5001362189</v>
      </c>
      <c r="S104" s="158">
        <v>910</v>
      </c>
      <c r="T104" s="90" t="s">
        <v>152</v>
      </c>
      <c r="U104" s="90">
        <v>8500065388</v>
      </c>
      <c r="V104" s="90">
        <v>5001401272</v>
      </c>
      <c r="W104" s="109">
        <v>45299</v>
      </c>
      <c r="X104" s="106">
        <v>910</v>
      </c>
      <c r="Y104" s="106">
        <v>9100</v>
      </c>
      <c r="Z104" s="106" t="s">
        <v>1608</v>
      </c>
      <c r="AA104" s="106">
        <f t="shared" si="8"/>
        <v>0</v>
      </c>
      <c r="AB104" s="106">
        <f t="shared" si="9"/>
        <v>0</v>
      </c>
      <c r="AC104" s="94"/>
      <c r="AD104" s="94"/>
      <c r="AE104" s="110"/>
      <c r="AF104" s="110"/>
      <c r="AG104" s="110"/>
      <c r="AH104" s="99"/>
    </row>
    <row r="105" spans="1:34" ht="26.25" customHeight="1">
      <c r="A105" s="83"/>
      <c r="B105" s="88"/>
      <c r="C105" s="86"/>
      <c r="D105" s="87"/>
      <c r="E105" s="94">
        <v>10</v>
      </c>
      <c r="F105" s="74">
        <v>718</v>
      </c>
      <c r="G105" s="45">
        <f t="shared" si="7"/>
        <v>7180</v>
      </c>
      <c r="H105" s="119" t="s">
        <v>46</v>
      </c>
      <c r="I105" s="128">
        <v>45282</v>
      </c>
      <c r="J105" s="74">
        <v>718</v>
      </c>
      <c r="K105" s="74">
        <f>10+3</f>
        <v>13</v>
      </c>
      <c r="L105" s="156">
        <v>45283</v>
      </c>
      <c r="M105" s="90">
        <v>7180</v>
      </c>
      <c r="N105" s="90">
        <v>36</v>
      </c>
      <c r="O105" s="90"/>
      <c r="P105" s="94" t="s">
        <v>160</v>
      </c>
      <c r="Q105" s="94">
        <v>8500065389</v>
      </c>
      <c r="R105" s="94">
        <v>5001362189</v>
      </c>
      <c r="S105" s="74">
        <v>718</v>
      </c>
      <c r="T105" s="90" t="s">
        <v>152</v>
      </c>
      <c r="U105" s="90">
        <v>8500065388</v>
      </c>
      <c r="V105" s="90">
        <v>5001401272</v>
      </c>
      <c r="W105" s="109">
        <v>45304</v>
      </c>
      <c r="X105" s="106">
        <v>718</v>
      </c>
      <c r="Y105" s="106">
        <v>7180</v>
      </c>
      <c r="Z105" s="106" t="s">
        <v>1609</v>
      </c>
      <c r="AA105" s="106">
        <f t="shared" si="8"/>
        <v>0</v>
      </c>
      <c r="AB105" s="106">
        <f t="shared" si="9"/>
        <v>0</v>
      </c>
      <c r="AC105" s="94"/>
      <c r="AD105" s="94"/>
      <c r="AE105" s="110"/>
      <c r="AF105" s="110"/>
      <c r="AG105" s="110"/>
      <c r="AH105" s="99"/>
    </row>
    <row r="106" spans="1:34" ht="26.25" customHeight="1">
      <c r="A106" s="83"/>
      <c r="B106" s="88"/>
      <c r="C106" s="86"/>
      <c r="D106" s="95"/>
      <c r="E106" s="94">
        <v>10</v>
      </c>
      <c r="F106" s="74">
        <v>272</v>
      </c>
      <c r="G106" s="45">
        <f t="shared" si="7"/>
        <v>2720</v>
      </c>
      <c r="H106" s="119" t="s">
        <v>146</v>
      </c>
      <c r="I106" s="128">
        <v>45282</v>
      </c>
      <c r="J106" s="74">
        <v>272</v>
      </c>
      <c r="K106" s="74">
        <f>4+4</f>
        <v>8</v>
      </c>
      <c r="L106" s="156">
        <v>45283</v>
      </c>
      <c r="M106" s="90">
        <v>2720</v>
      </c>
      <c r="N106" s="90">
        <v>14</v>
      </c>
      <c r="O106" s="90" t="s">
        <v>1791</v>
      </c>
      <c r="P106" s="94" t="s">
        <v>160</v>
      </c>
      <c r="Q106" s="94">
        <v>8500065389</v>
      </c>
      <c r="R106" s="94">
        <v>5001362189</v>
      </c>
      <c r="S106" s="74">
        <v>272</v>
      </c>
      <c r="T106" s="90" t="s">
        <v>152</v>
      </c>
      <c r="U106" s="90">
        <v>8500065388</v>
      </c>
      <c r="V106" s="90">
        <v>5001401272</v>
      </c>
      <c r="W106" s="109">
        <v>45304</v>
      </c>
      <c r="X106" s="106">
        <v>272</v>
      </c>
      <c r="Y106" s="106">
        <v>2720</v>
      </c>
      <c r="Z106" s="106" t="s">
        <v>759</v>
      </c>
      <c r="AA106" s="106">
        <f t="shared" si="8"/>
        <v>0</v>
      </c>
      <c r="AB106" s="106">
        <f t="shared" si="9"/>
        <v>0</v>
      </c>
      <c r="AC106" s="94"/>
      <c r="AD106" s="94"/>
      <c r="AE106" s="110"/>
      <c r="AF106" s="110"/>
      <c r="AG106" s="110"/>
      <c r="AH106" s="99"/>
    </row>
    <row r="107" spans="1:34" ht="26.25" customHeight="1">
      <c r="A107" s="45" t="s">
        <v>645</v>
      </c>
      <c r="B107" s="121">
        <v>6000027408</v>
      </c>
      <c r="C107" s="192" t="s">
        <v>1335</v>
      </c>
      <c r="D107" s="192" t="s">
        <v>2221</v>
      </c>
      <c r="E107" s="94">
        <v>10</v>
      </c>
      <c r="F107" s="74">
        <v>300</v>
      </c>
      <c r="G107" s="45">
        <f t="shared" si="7"/>
        <v>3000</v>
      </c>
      <c r="H107" s="119" t="s">
        <v>27</v>
      </c>
      <c r="I107" s="128">
        <v>45281</v>
      </c>
      <c r="J107" s="74">
        <v>300</v>
      </c>
      <c r="K107" s="74">
        <f>5+7</f>
        <v>12</v>
      </c>
      <c r="L107" s="156">
        <v>45280</v>
      </c>
      <c r="M107" s="45">
        <v>3000</v>
      </c>
      <c r="N107" s="90">
        <v>30</v>
      </c>
      <c r="O107" s="90" t="s">
        <v>899</v>
      </c>
      <c r="P107" s="94" t="s">
        <v>160</v>
      </c>
      <c r="Q107" s="94">
        <v>8500065552</v>
      </c>
      <c r="R107" s="94">
        <v>5001357692</v>
      </c>
      <c r="S107" s="74">
        <v>300</v>
      </c>
      <c r="T107" s="90" t="s">
        <v>1558</v>
      </c>
      <c r="U107" s="90">
        <v>8500065551</v>
      </c>
      <c r="V107" s="90">
        <v>5001357159</v>
      </c>
      <c r="W107" s="109">
        <v>45301</v>
      </c>
      <c r="X107" s="106">
        <v>300</v>
      </c>
      <c r="Y107" s="106">
        <v>3000</v>
      </c>
      <c r="Z107" s="106"/>
      <c r="AA107" s="106">
        <f t="shared" ref="AA107:AA174" si="11">J107-X107</f>
        <v>0</v>
      </c>
      <c r="AB107" s="106">
        <f t="shared" ref="AB107:AB174" si="12">M107-Y107</f>
        <v>0</v>
      </c>
      <c r="AC107" s="94"/>
      <c r="AD107" s="94"/>
      <c r="AE107" s="110"/>
      <c r="AF107" s="110"/>
      <c r="AG107" s="110"/>
      <c r="AH107" s="99"/>
    </row>
    <row r="108" spans="1:34" ht="26.25" customHeight="1">
      <c r="A108" s="45"/>
      <c r="B108" s="121"/>
      <c r="C108" s="192"/>
      <c r="D108" s="192"/>
      <c r="E108" s="94">
        <v>10</v>
      </c>
      <c r="F108" s="74">
        <v>1000</v>
      </c>
      <c r="G108" s="45">
        <f t="shared" si="7"/>
        <v>10000</v>
      </c>
      <c r="H108" s="119" t="s">
        <v>46</v>
      </c>
      <c r="I108" s="128">
        <v>45281</v>
      </c>
      <c r="J108" s="74">
        <v>1000</v>
      </c>
      <c r="K108" s="74">
        <f>11</f>
        <v>11</v>
      </c>
      <c r="L108" s="156">
        <v>45280</v>
      </c>
      <c r="M108" s="45">
        <v>10000</v>
      </c>
      <c r="N108" s="90">
        <v>100</v>
      </c>
      <c r="O108" s="90" t="s">
        <v>1743</v>
      </c>
      <c r="P108" s="94" t="s">
        <v>160</v>
      </c>
      <c r="Q108" s="94">
        <v>8500065552</v>
      </c>
      <c r="R108" s="94">
        <v>5001357692</v>
      </c>
      <c r="S108" s="74">
        <v>1000</v>
      </c>
      <c r="T108" s="90" t="s">
        <v>1558</v>
      </c>
      <c r="U108" s="90">
        <v>8500065551</v>
      </c>
      <c r="V108" s="90">
        <v>5001357159</v>
      </c>
      <c r="W108" s="109" t="s">
        <v>2524</v>
      </c>
      <c r="X108" s="106">
        <f>500+500</f>
        <v>1000</v>
      </c>
      <c r="Y108" s="106">
        <f>5000+5000</f>
        <v>10000</v>
      </c>
      <c r="Z108" s="106" t="s">
        <v>2531</v>
      </c>
      <c r="AA108" s="106">
        <f t="shared" si="11"/>
        <v>0</v>
      </c>
      <c r="AB108" s="106">
        <f t="shared" si="12"/>
        <v>0</v>
      </c>
      <c r="AC108" s="94"/>
      <c r="AD108" s="94"/>
      <c r="AE108" s="110"/>
      <c r="AF108" s="110"/>
      <c r="AG108" s="110"/>
      <c r="AH108" s="99"/>
    </row>
    <row r="109" spans="1:34" ht="26.25" customHeight="1">
      <c r="A109" s="45"/>
      <c r="C109" s="192"/>
      <c r="D109" s="192"/>
      <c r="E109" s="94">
        <v>10</v>
      </c>
      <c r="F109" s="74">
        <v>900</v>
      </c>
      <c r="G109" s="45">
        <f t="shared" si="7"/>
        <v>9000</v>
      </c>
      <c r="H109" s="119" t="s">
        <v>37</v>
      </c>
      <c r="I109" s="128" t="s">
        <v>2572</v>
      </c>
      <c r="J109" s="74">
        <f>200+690+10</f>
        <v>900</v>
      </c>
      <c r="K109" s="74">
        <f>10+2</f>
        <v>12</v>
      </c>
      <c r="L109" s="156">
        <v>45280</v>
      </c>
      <c r="M109" s="45">
        <v>9000</v>
      </c>
      <c r="N109" s="90">
        <v>90</v>
      </c>
      <c r="O109" s="90" t="s">
        <v>1743</v>
      </c>
      <c r="P109" s="94" t="s">
        <v>160</v>
      </c>
      <c r="Q109" s="94">
        <v>8500065552</v>
      </c>
      <c r="R109" s="94">
        <v>5001357692</v>
      </c>
      <c r="S109" s="271">
        <v>900</v>
      </c>
      <c r="T109" s="90" t="s">
        <v>1558</v>
      </c>
      <c r="U109" s="90">
        <v>8500065551</v>
      </c>
      <c r="V109" s="90">
        <v>5001357159</v>
      </c>
      <c r="W109" s="109">
        <v>45299</v>
      </c>
      <c r="X109" s="106">
        <v>900</v>
      </c>
      <c r="Y109" s="106">
        <v>9000</v>
      </c>
      <c r="Z109" s="106" t="s">
        <v>1607</v>
      </c>
      <c r="AA109" s="106">
        <f t="shared" si="11"/>
        <v>0</v>
      </c>
      <c r="AB109" s="106">
        <f t="shared" si="12"/>
        <v>0</v>
      </c>
      <c r="AC109" s="94"/>
      <c r="AD109" s="94"/>
      <c r="AE109" s="110"/>
      <c r="AF109" s="110"/>
      <c r="AG109" s="110"/>
      <c r="AH109" s="99"/>
    </row>
    <row r="110" spans="1:34" ht="26.25" customHeight="1">
      <c r="A110" s="45"/>
      <c r="B110" s="121"/>
      <c r="C110" s="192"/>
      <c r="D110" s="192"/>
      <c r="E110" s="94">
        <v>10</v>
      </c>
      <c r="F110" s="74">
        <v>400</v>
      </c>
      <c r="G110" s="45">
        <f t="shared" si="7"/>
        <v>4000</v>
      </c>
      <c r="H110" s="119" t="s">
        <v>146</v>
      </c>
      <c r="I110" s="128">
        <v>45281</v>
      </c>
      <c r="J110" s="74">
        <v>400</v>
      </c>
      <c r="K110" s="74">
        <f>6+3</f>
        <v>9</v>
      </c>
      <c r="L110" s="156">
        <v>45280</v>
      </c>
      <c r="M110" s="45">
        <v>4000</v>
      </c>
      <c r="N110" s="90">
        <v>40</v>
      </c>
      <c r="O110" s="90" t="s">
        <v>1548</v>
      </c>
      <c r="P110" s="94" t="s">
        <v>160</v>
      </c>
      <c r="Q110" s="94">
        <v>8500065552</v>
      </c>
      <c r="R110" s="94">
        <v>5001357692</v>
      </c>
      <c r="S110" s="74">
        <v>400</v>
      </c>
      <c r="T110" s="90" t="s">
        <v>1558</v>
      </c>
      <c r="U110" s="90">
        <v>8500065551</v>
      </c>
      <c r="V110" s="90">
        <v>5001357159</v>
      </c>
      <c r="W110" s="109">
        <v>45304</v>
      </c>
      <c r="X110" s="106">
        <v>400</v>
      </c>
      <c r="Y110" s="106">
        <v>4000</v>
      </c>
      <c r="Z110" s="106" t="s">
        <v>759</v>
      </c>
      <c r="AA110" s="106">
        <f t="shared" si="11"/>
        <v>0</v>
      </c>
      <c r="AB110" s="106">
        <f t="shared" si="12"/>
        <v>0</v>
      </c>
      <c r="AC110" s="94"/>
      <c r="AD110" s="94"/>
      <c r="AE110" s="110"/>
      <c r="AF110" s="110"/>
      <c r="AG110" s="110"/>
      <c r="AH110" s="99"/>
    </row>
    <row r="111" spans="1:34" ht="26.25" customHeight="1">
      <c r="A111" s="45" t="s">
        <v>645</v>
      </c>
      <c r="B111" s="121">
        <v>6000027408</v>
      </c>
      <c r="C111" s="192" t="s">
        <v>1874</v>
      </c>
      <c r="D111" s="192" t="s">
        <v>2221</v>
      </c>
      <c r="E111" s="94">
        <v>10</v>
      </c>
      <c r="F111" s="74">
        <v>150</v>
      </c>
      <c r="G111" s="45">
        <f t="shared" si="7"/>
        <v>1500</v>
      </c>
      <c r="H111" s="119" t="s">
        <v>27</v>
      </c>
      <c r="I111" s="128"/>
      <c r="J111" s="158"/>
      <c r="K111" s="74"/>
      <c r="L111" s="156"/>
      <c r="M111" s="90"/>
      <c r="N111" s="90"/>
      <c r="O111" s="90"/>
      <c r="P111" s="94" t="s">
        <v>895</v>
      </c>
      <c r="Q111" s="94">
        <v>8500065554</v>
      </c>
      <c r="R111" s="94">
        <v>5001392529</v>
      </c>
      <c r="S111" s="94"/>
      <c r="T111" s="90" t="s">
        <v>895</v>
      </c>
      <c r="U111" s="90">
        <v>8500065553</v>
      </c>
      <c r="V111" s="90">
        <v>5001388882</v>
      </c>
      <c r="W111" s="109"/>
      <c r="X111" s="106"/>
      <c r="Y111" s="106"/>
      <c r="Z111" s="106"/>
      <c r="AA111" s="106">
        <f t="shared" si="11"/>
        <v>0</v>
      </c>
      <c r="AB111" s="106">
        <f t="shared" si="12"/>
        <v>0</v>
      </c>
      <c r="AC111" s="94"/>
      <c r="AD111" s="94"/>
      <c r="AE111" s="110"/>
      <c r="AF111" s="110"/>
      <c r="AG111" s="110"/>
      <c r="AH111" s="99"/>
    </row>
    <row r="112" spans="1:34" ht="26.25" customHeight="1">
      <c r="A112" s="45"/>
      <c r="B112" s="121"/>
      <c r="C112" s="192"/>
      <c r="D112" s="192"/>
      <c r="E112" s="94">
        <v>10</v>
      </c>
      <c r="F112" s="74">
        <v>750</v>
      </c>
      <c r="G112" s="45">
        <f t="shared" si="7"/>
        <v>7500</v>
      </c>
      <c r="H112" s="119" t="s">
        <v>46</v>
      </c>
      <c r="I112" s="128"/>
      <c r="J112" s="158"/>
      <c r="K112" s="74" t="s">
        <v>2277</v>
      </c>
      <c r="L112" s="156"/>
      <c r="M112" s="90"/>
      <c r="N112" s="90"/>
      <c r="O112" s="90"/>
      <c r="P112" s="94" t="s">
        <v>895</v>
      </c>
      <c r="Q112" s="94">
        <v>8500065554</v>
      </c>
      <c r="R112" s="94">
        <v>5001392529</v>
      </c>
      <c r="S112" s="94"/>
      <c r="T112" s="90" t="s">
        <v>895</v>
      </c>
      <c r="U112" s="90">
        <v>8500065553</v>
      </c>
      <c r="V112" s="90">
        <v>5001388882</v>
      </c>
      <c r="W112" s="109"/>
      <c r="X112" s="106"/>
      <c r="Y112" s="106"/>
      <c r="Z112" s="106"/>
      <c r="AA112" s="106">
        <f t="shared" si="11"/>
        <v>0</v>
      </c>
      <c r="AB112" s="106">
        <f t="shared" si="12"/>
        <v>0</v>
      </c>
      <c r="AC112" s="94" t="s">
        <v>2278</v>
      </c>
      <c r="AD112" s="94"/>
      <c r="AE112" s="110"/>
      <c r="AF112" s="110"/>
      <c r="AG112" s="110"/>
      <c r="AH112" s="99"/>
    </row>
    <row r="113" spans="1:34" ht="26.25" customHeight="1">
      <c r="A113" s="45"/>
      <c r="B113" s="121"/>
      <c r="C113" s="192"/>
      <c r="D113" s="192"/>
      <c r="E113" s="94">
        <v>10</v>
      </c>
      <c r="F113" s="74">
        <v>450</v>
      </c>
      <c r="G113" s="45">
        <f t="shared" si="7"/>
        <v>4500</v>
      </c>
      <c r="H113" s="119" t="s">
        <v>37</v>
      </c>
      <c r="I113" s="128">
        <v>45303</v>
      </c>
      <c r="J113" s="158">
        <v>450</v>
      </c>
      <c r="K113" s="74"/>
      <c r="L113" s="156">
        <v>45303</v>
      </c>
      <c r="M113" s="90">
        <v>4500</v>
      </c>
      <c r="N113" s="90"/>
      <c r="O113" s="90"/>
      <c r="P113" s="94" t="s">
        <v>1643</v>
      </c>
      <c r="Q113" s="94">
        <v>8500065554</v>
      </c>
      <c r="R113" s="94">
        <v>5001392529</v>
      </c>
      <c r="S113" s="158">
        <v>450</v>
      </c>
      <c r="T113" s="90" t="s">
        <v>1666</v>
      </c>
      <c r="U113" s="90">
        <v>8500065553</v>
      </c>
      <c r="V113" s="90">
        <v>5001388882</v>
      </c>
      <c r="W113" s="109">
        <v>45304</v>
      </c>
      <c r="X113" s="106">
        <v>450</v>
      </c>
      <c r="Y113" s="106">
        <v>4500</v>
      </c>
      <c r="Z113" s="106" t="s">
        <v>800</v>
      </c>
      <c r="AA113" s="106">
        <f t="shared" si="11"/>
        <v>0</v>
      </c>
      <c r="AB113" s="106">
        <f t="shared" si="12"/>
        <v>0</v>
      </c>
      <c r="AC113" s="94"/>
      <c r="AD113" s="94"/>
      <c r="AE113" s="110"/>
      <c r="AF113" s="110"/>
      <c r="AG113" s="110"/>
      <c r="AH113" s="99"/>
    </row>
    <row r="114" spans="1:34" ht="26.25" customHeight="1">
      <c r="A114" s="45"/>
      <c r="B114" s="121"/>
      <c r="C114" s="192"/>
      <c r="D114" s="192"/>
      <c r="E114" s="94">
        <v>10</v>
      </c>
      <c r="F114" s="74">
        <v>150</v>
      </c>
      <c r="G114" s="45">
        <f t="shared" si="7"/>
        <v>1500</v>
      </c>
      <c r="H114" s="119" t="s">
        <v>146</v>
      </c>
      <c r="I114" s="128"/>
      <c r="J114" s="158"/>
      <c r="K114" s="74"/>
      <c r="L114" s="156"/>
      <c r="M114" s="90"/>
      <c r="N114" s="90"/>
      <c r="O114" s="90"/>
      <c r="P114" s="94" t="s">
        <v>895</v>
      </c>
      <c r="Q114" s="94">
        <v>8500065554</v>
      </c>
      <c r="R114" s="94">
        <v>5001392529</v>
      </c>
      <c r="S114" s="94"/>
      <c r="T114" s="90" t="s">
        <v>895</v>
      </c>
      <c r="U114" s="90">
        <v>8500065553</v>
      </c>
      <c r="V114" s="90">
        <v>5001388882</v>
      </c>
      <c r="W114" s="109"/>
      <c r="X114" s="106"/>
      <c r="Y114" s="106"/>
      <c r="Z114" s="106"/>
      <c r="AA114" s="106">
        <f t="shared" si="11"/>
        <v>0</v>
      </c>
      <c r="AB114" s="106">
        <f t="shared" si="12"/>
        <v>0</v>
      </c>
      <c r="AC114" s="94"/>
      <c r="AD114" s="94"/>
      <c r="AE114" s="110"/>
      <c r="AF114" s="110"/>
      <c r="AG114" s="110"/>
      <c r="AH114" s="99"/>
    </row>
    <row r="115" spans="1:34" ht="26.25" customHeight="1">
      <c r="A115" s="45" t="s">
        <v>692</v>
      </c>
      <c r="B115" s="121">
        <v>6000027277</v>
      </c>
      <c r="C115" s="2" t="s">
        <v>1399</v>
      </c>
      <c r="D115" s="2" t="s">
        <v>2208</v>
      </c>
      <c r="E115" s="94">
        <v>10</v>
      </c>
      <c r="F115" s="74">
        <v>1000</v>
      </c>
      <c r="G115" s="45">
        <f t="shared" si="7"/>
        <v>10000</v>
      </c>
      <c r="H115" s="119" t="s">
        <v>27</v>
      </c>
      <c r="I115" s="128">
        <v>45274</v>
      </c>
      <c r="J115" s="158">
        <v>1000</v>
      </c>
      <c r="K115" s="74">
        <v>20</v>
      </c>
      <c r="L115" s="156">
        <v>45294</v>
      </c>
      <c r="M115" s="90">
        <v>10000</v>
      </c>
      <c r="N115" s="90">
        <v>100</v>
      </c>
      <c r="O115" s="90"/>
      <c r="P115" s="94" t="s">
        <v>160</v>
      </c>
      <c r="Q115" s="94">
        <v>8500065056</v>
      </c>
      <c r="R115" s="94">
        <v>5001334819</v>
      </c>
      <c r="S115" s="158">
        <v>1000</v>
      </c>
      <c r="T115" s="90" t="s">
        <v>1558</v>
      </c>
      <c r="U115" s="90">
        <v>8500065055</v>
      </c>
      <c r="V115" s="90"/>
      <c r="W115" s="109">
        <v>45295</v>
      </c>
      <c r="X115" s="106">
        <v>1000</v>
      </c>
      <c r="Y115" s="106">
        <v>10000</v>
      </c>
      <c r="Z115" s="106" t="s">
        <v>800</v>
      </c>
      <c r="AA115" s="106">
        <f t="shared" si="11"/>
        <v>0</v>
      </c>
      <c r="AB115" s="106">
        <f t="shared" si="12"/>
        <v>0</v>
      </c>
      <c r="AC115" s="94"/>
      <c r="AD115" s="94"/>
      <c r="AE115" s="110"/>
      <c r="AF115" s="110"/>
      <c r="AG115" s="110"/>
      <c r="AH115" s="99"/>
    </row>
    <row r="116" spans="1:34" ht="26.25" customHeight="1">
      <c r="A116" s="45"/>
      <c r="B116" s="121"/>
      <c r="C116" s="2"/>
      <c r="D116" s="2" t="s">
        <v>2207</v>
      </c>
      <c r="E116" s="94">
        <v>10</v>
      </c>
      <c r="F116" s="74">
        <v>872</v>
      </c>
      <c r="G116" s="45">
        <f t="shared" si="7"/>
        <v>8720</v>
      </c>
      <c r="H116" s="119" t="s">
        <v>46</v>
      </c>
      <c r="I116" s="128" t="s">
        <v>2224</v>
      </c>
      <c r="J116" s="158">
        <f>583+289</f>
        <v>872</v>
      </c>
      <c r="K116" s="74">
        <f>17+3</f>
        <v>20</v>
      </c>
      <c r="L116" s="156">
        <v>45294</v>
      </c>
      <c r="M116" s="90">
        <v>8720</v>
      </c>
      <c r="N116" s="90">
        <v>87</v>
      </c>
      <c r="O116" s="90"/>
      <c r="P116" s="94" t="s">
        <v>160</v>
      </c>
      <c r="Q116" s="94">
        <v>8500065054</v>
      </c>
      <c r="R116" s="94">
        <v>5001331451</v>
      </c>
      <c r="S116" s="158">
        <f>583+289</f>
        <v>872</v>
      </c>
      <c r="T116" s="90" t="s">
        <v>1558</v>
      </c>
      <c r="U116" s="90">
        <v>8500065053</v>
      </c>
      <c r="V116" s="90"/>
      <c r="W116" s="109">
        <v>45297</v>
      </c>
      <c r="X116" s="106">
        <v>872</v>
      </c>
      <c r="Y116" s="106">
        <v>8720</v>
      </c>
      <c r="Z116" s="106" t="s">
        <v>800</v>
      </c>
      <c r="AA116" s="106">
        <f t="shared" si="11"/>
        <v>0</v>
      </c>
      <c r="AB116" s="106">
        <f t="shared" si="12"/>
        <v>0</v>
      </c>
      <c r="AC116" s="94"/>
      <c r="AD116" s="94"/>
      <c r="AE116" s="110"/>
      <c r="AF116" s="110"/>
      <c r="AG116" s="110"/>
      <c r="AH116" s="99"/>
    </row>
    <row r="117" spans="1:34" ht="26.25" customHeight="1">
      <c r="A117" s="45"/>
      <c r="B117" s="121"/>
      <c r="C117" s="2"/>
      <c r="D117" s="2" t="s">
        <v>2206</v>
      </c>
      <c r="E117" s="94">
        <v>10</v>
      </c>
      <c r="F117" s="74">
        <v>900</v>
      </c>
      <c r="G117" s="45">
        <f t="shared" si="7"/>
        <v>9000</v>
      </c>
      <c r="H117" s="119" t="s">
        <v>37</v>
      </c>
      <c r="I117" s="128">
        <v>45273</v>
      </c>
      <c r="J117" s="158">
        <v>900</v>
      </c>
      <c r="K117" s="74">
        <f>18+1</f>
        <v>19</v>
      </c>
      <c r="L117" s="156">
        <v>45294</v>
      </c>
      <c r="M117" s="90">
        <v>9000</v>
      </c>
      <c r="N117" s="90">
        <v>90</v>
      </c>
      <c r="O117" s="90"/>
      <c r="P117" s="94" t="s">
        <v>160</v>
      </c>
      <c r="Q117" s="94">
        <v>8500065052</v>
      </c>
      <c r="R117" s="94">
        <v>5001331452</v>
      </c>
      <c r="S117" s="158">
        <v>900</v>
      </c>
      <c r="T117" s="90" t="s">
        <v>1558</v>
      </c>
      <c r="U117" s="90">
        <v>8500065051</v>
      </c>
      <c r="V117" s="90"/>
      <c r="W117" s="109">
        <v>45297</v>
      </c>
      <c r="X117" s="106">
        <v>900</v>
      </c>
      <c r="Y117" s="106">
        <v>9000</v>
      </c>
      <c r="Z117" s="106" t="s">
        <v>800</v>
      </c>
      <c r="AA117" s="106">
        <f t="shared" si="11"/>
        <v>0</v>
      </c>
      <c r="AB117" s="106">
        <f t="shared" si="12"/>
        <v>0</v>
      </c>
      <c r="AC117" s="94"/>
      <c r="AD117" s="94"/>
      <c r="AE117" s="110"/>
      <c r="AF117" s="110"/>
      <c r="AG117" s="110"/>
      <c r="AH117" s="99"/>
    </row>
    <row r="118" spans="1:34" ht="26.25" customHeight="1">
      <c r="A118" s="45" t="s">
        <v>692</v>
      </c>
      <c r="B118" s="121">
        <v>6000027278</v>
      </c>
      <c r="C118" s="2" t="s">
        <v>1399</v>
      </c>
      <c r="D118" s="2" t="s">
        <v>2209</v>
      </c>
      <c r="E118" s="94">
        <v>10</v>
      </c>
      <c r="F118" s="74">
        <v>1000</v>
      </c>
      <c r="G118" s="45">
        <f t="shared" si="7"/>
        <v>10000</v>
      </c>
      <c r="H118" s="119" t="s">
        <v>27</v>
      </c>
      <c r="I118" s="128">
        <v>45273</v>
      </c>
      <c r="J118" s="158">
        <v>1000</v>
      </c>
      <c r="K118" s="74">
        <v>20</v>
      </c>
      <c r="L118" s="156">
        <v>45294</v>
      </c>
      <c r="M118" s="90">
        <v>10000</v>
      </c>
      <c r="N118" s="90">
        <v>100</v>
      </c>
      <c r="O118" s="90"/>
      <c r="P118" s="94" t="s">
        <v>160</v>
      </c>
      <c r="Q118" s="94">
        <v>8500065065</v>
      </c>
      <c r="R118" s="94">
        <v>5001331438</v>
      </c>
      <c r="S118" s="158">
        <v>1000</v>
      </c>
      <c r="T118" s="90" t="s">
        <v>1558</v>
      </c>
      <c r="U118" s="90">
        <v>8500065064</v>
      </c>
      <c r="V118" s="90"/>
      <c r="W118" s="109" t="s">
        <v>2437</v>
      </c>
      <c r="X118" s="106">
        <f>500+500</f>
        <v>1000</v>
      </c>
      <c r="Y118" s="106">
        <f>5000+5000</f>
        <v>10000</v>
      </c>
      <c r="Z118" s="106" t="s">
        <v>1785</v>
      </c>
      <c r="AA118" s="106">
        <f t="shared" si="11"/>
        <v>0</v>
      </c>
      <c r="AB118" s="106">
        <f t="shared" si="12"/>
        <v>0</v>
      </c>
      <c r="AC118" s="94"/>
      <c r="AD118" s="94"/>
      <c r="AE118" s="110"/>
      <c r="AF118" s="110"/>
      <c r="AG118" s="110"/>
      <c r="AH118" s="99"/>
    </row>
    <row r="119" spans="1:34" ht="26.25" customHeight="1">
      <c r="A119" s="45"/>
      <c r="B119" s="121"/>
      <c r="C119" s="2"/>
      <c r="D119" s="2" t="s">
        <v>2210</v>
      </c>
      <c r="E119" s="94">
        <v>10</v>
      </c>
      <c r="F119" s="74">
        <v>772</v>
      </c>
      <c r="G119" s="45">
        <f t="shared" si="7"/>
        <v>7720</v>
      </c>
      <c r="H119" s="119" t="s">
        <v>46</v>
      </c>
      <c r="I119" s="128">
        <v>45273</v>
      </c>
      <c r="J119" s="74">
        <v>772</v>
      </c>
      <c r="K119" s="74">
        <f>15+1</f>
        <v>16</v>
      </c>
      <c r="L119" s="156">
        <v>45294</v>
      </c>
      <c r="M119" s="90">
        <v>7720</v>
      </c>
      <c r="N119" s="90">
        <v>77</v>
      </c>
      <c r="O119" s="90"/>
      <c r="P119" s="94" t="s">
        <v>160</v>
      </c>
      <c r="Q119" s="94">
        <v>8500065063</v>
      </c>
      <c r="R119" s="94">
        <v>5001331453</v>
      </c>
      <c r="S119" s="74">
        <v>772</v>
      </c>
      <c r="T119" s="90" t="s">
        <v>1558</v>
      </c>
      <c r="U119" s="90">
        <v>8500065061</v>
      </c>
      <c r="V119" s="90"/>
      <c r="W119" s="109">
        <v>45300</v>
      </c>
      <c r="X119" s="106">
        <v>772</v>
      </c>
      <c r="Y119" s="106">
        <v>7720</v>
      </c>
      <c r="Z119" s="106" t="s">
        <v>800</v>
      </c>
      <c r="AA119" s="106">
        <f t="shared" si="11"/>
        <v>0</v>
      </c>
      <c r="AB119" s="106">
        <f t="shared" si="12"/>
        <v>0</v>
      </c>
      <c r="AC119" s="94"/>
      <c r="AD119" s="94"/>
      <c r="AE119" s="110"/>
      <c r="AF119" s="110"/>
      <c r="AG119" s="110"/>
      <c r="AH119" s="99"/>
    </row>
    <row r="120" spans="1:34" ht="26.25" customHeight="1">
      <c r="A120" s="83"/>
      <c r="B120" s="88"/>
      <c r="C120" s="44"/>
      <c r="D120" s="2" t="s">
        <v>2211</v>
      </c>
      <c r="E120" s="94">
        <v>10</v>
      </c>
      <c r="F120" s="74">
        <v>900</v>
      </c>
      <c r="G120" s="45">
        <f t="shared" si="7"/>
        <v>9000</v>
      </c>
      <c r="H120" s="119" t="s">
        <v>37</v>
      </c>
      <c r="I120" s="128">
        <v>45273</v>
      </c>
      <c r="J120" s="74">
        <v>900</v>
      </c>
      <c r="K120" s="74">
        <f>18+2</f>
        <v>20</v>
      </c>
      <c r="L120" s="156">
        <v>45294</v>
      </c>
      <c r="M120" s="90">
        <v>9000</v>
      </c>
      <c r="N120" s="90">
        <v>90</v>
      </c>
      <c r="O120" s="90"/>
      <c r="P120" s="94" t="s">
        <v>160</v>
      </c>
      <c r="Q120" s="94">
        <v>8500065059</v>
      </c>
      <c r="R120" s="94">
        <v>5001331455</v>
      </c>
      <c r="S120" s="74">
        <v>900</v>
      </c>
      <c r="T120" s="90" t="s">
        <v>1558</v>
      </c>
      <c r="U120" s="90">
        <v>8500065058</v>
      </c>
      <c r="V120" s="90"/>
      <c r="W120" s="109">
        <v>45301</v>
      </c>
      <c r="X120" s="106">
        <v>900</v>
      </c>
      <c r="Y120" s="106">
        <v>9000</v>
      </c>
      <c r="Z120" s="106" t="s">
        <v>800</v>
      </c>
      <c r="AA120" s="106">
        <f t="shared" si="11"/>
        <v>0</v>
      </c>
      <c r="AB120" s="106">
        <f t="shared" si="12"/>
        <v>0</v>
      </c>
      <c r="AC120" s="94"/>
      <c r="AD120" s="94"/>
      <c r="AE120" s="110"/>
      <c r="AF120" s="110"/>
      <c r="AG120" s="110"/>
      <c r="AH120" s="99"/>
    </row>
    <row r="121" spans="1:34" ht="26.25" customHeight="1">
      <c r="A121" s="83"/>
      <c r="B121" s="88"/>
      <c r="C121" s="94"/>
      <c r="D121" s="2" t="s">
        <v>2212</v>
      </c>
      <c r="E121" s="94">
        <v>10</v>
      </c>
      <c r="F121" s="74">
        <v>100</v>
      </c>
      <c r="G121" s="45">
        <f t="shared" si="7"/>
        <v>1000</v>
      </c>
      <c r="H121" s="119" t="s">
        <v>146</v>
      </c>
      <c r="I121" s="128">
        <v>45274</v>
      </c>
      <c r="J121" s="158">
        <v>100</v>
      </c>
      <c r="K121" s="74">
        <f>2+1</f>
        <v>3</v>
      </c>
      <c r="L121" s="156">
        <v>45294</v>
      </c>
      <c r="M121" s="90">
        <v>1000</v>
      </c>
      <c r="N121" s="90">
        <v>10</v>
      </c>
      <c r="O121" s="90"/>
      <c r="P121" s="94" t="s">
        <v>160</v>
      </c>
      <c r="Q121" s="94">
        <v>8500065067</v>
      </c>
      <c r="R121" s="94">
        <v>5001334773</v>
      </c>
      <c r="S121" s="158">
        <v>100</v>
      </c>
      <c r="T121" s="90" t="s">
        <v>1558</v>
      </c>
      <c r="U121" s="90">
        <v>8500065066</v>
      </c>
      <c r="V121" s="90"/>
      <c r="W121" s="109">
        <v>45300</v>
      </c>
      <c r="X121" s="106">
        <v>100</v>
      </c>
      <c r="Y121" s="106">
        <v>1000</v>
      </c>
      <c r="Z121" s="106" t="s">
        <v>800</v>
      </c>
      <c r="AA121" s="106">
        <f t="shared" si="11"/>
        <v>0</v>
      </c>
      <c r="AB121" s="106">
        <f t="shared" si="12"/>
        <v>0</v>
      </c>
      <c r="AC121" s="94"/>
      <c r="AD121" s="94"/>
      <c r="AE121" s="110"/>
      <c r="AF121" s="110"/>
      <c r="AG121" s="110"/>
      <c r="AH121" s="99"/>
    </row>
    <row r="122" spans="1:34" ht="26.25" customHeight="1">
      <c r="A122" s="219" t="s">
        <v>1478</v>
      </c>
      <c r="B122" s="251">
        <v>6000027273</v>
      </c>
      <c r="C122" s="245" t="s">
        <v>1476</v>
      </c>
      <c r="D122" s="245" t="s">
        <v>2218</v>
      </c>
      <c r="E122" s="94">
        <v>10</v>
      </c>
      <c r="F122" s="74">
        <v>100</v>
      </c>
      <c r="G122" s="45">
        <f t="shared" si="7"/>
        <v>1000</v>
      </c>
      <c r="H122" s="119" t="s">
        <v>243</v>
      </c>
      <c r="I122" s="128">
        <v>45276</v>
      </c>
      <c r="J122" s="74">
        <v>100</v>
      </c>
      <c r="K122" s="74">
        <v>1</v>
      </c>
      <c r="L122" s="156">
        <v>45274</v>
      </c>
      <c r="M122" s="90">
        <v>1000</v>
      </c>
      <c r="N122" s="90">
        <v>5</v>
      </c>
      <c r="O122" s="90" t="s">
        <v>921</v>
      </c>
      <c r="P122" s="95" t="s">
        <v>28</v>
      </c>
      <c r="Q122" s="94">
        <v>8500064993</v>
      </c>
      <c r="R122" s="94">
        <v>5001345355</v>
      </c>
      <c r="S122" s="74">
        <v>100</v>
      </c>
      <c r="T122" s="90" t="s">
        <v>152</v>
      </c>
      <c r="U122" s="90">
        <v>8500064991</v>
      </c>
      <c r="V122" s="90">
        <v>5001331612</v>
      </c>
      <c r="W122" s="109">
        <v>45282</v>
      </c>
      <c r="X122" s="106">
        <v>100</v>
      </c>
      <c r="Y122" s="106">
        <v>1000</v>
      </c>
      <c r="Z122" s="106" t="s">
        <v>800</v>
      </c>
      <c r="AA122" s="106">
        <f t="shared" si="11"/>
        <v>0</v>
      </c>
      <c r="AB122" s="106">
        <f t="shared" si="12"/>
        <v>0</v>
      </c>
      <c r="AC122" s="499" t="s">
        <v>2332</v>
      </c>
      <c r="AD122" s="94"/>
      <c r="AE122" s="110"/>
      <c r="AF122" s="110"/>
      <c r="AG122" s="110"/>
      <c r="AH122" s="99"/>
    </row>
    <row r="123" spans="1:34" ht="26.25" customHeight="1">
      <c r="A123" s="252"/>
      <c r="B123" s="247"/>
      <c r="C123" s="253"/>
      <c r="D123" s="249"/>
      <c r="E123" s="94">
        <v>10</v>
      </c>
      <c r="F123" s="74">
        <v>650</v>
      </c>
      <c r="G123" s="45">
        <f t="shared" si="7"/>
        <v>6500</v>
      </c>
      <c r="H123" s="119" t="s">
        <v>27</v>
      </c>
      <c r="I123" s="128">
        <v>45276</v>
      </c>
      <c r="J123" s="74">
        <v>650</v>
      </c>
      <c r="K123" s="74">
        <v>6</v>
      </c>
      <c r="L123" s="156">
        <v>45274</v>
      </c>
      <c r="M123" s="90">
        <v>6500</v>
      </c>
      <c r="N123" s="90">
        <v>33</v>
      </c>
      <c r="O123" s="90" t="s">
        <v>1549</v>
      </c>
      <c r="P123" s="95" t="s">
        <v>28</v>
      </c>
      <c r="Q123" s="94">
        <v>8500064993</v>
      </c>
      <c r="R123" s="94">
        <v>5001345355</v>
      </c>
      <c r="S123" s="74">
        <v>650</v>
      </c>
      <c r="T123" s="90" t="s">
        <v>152</v>
      </c>
      <c r="U123" s="90">
        <v>8500064991</v>
      </c>
      <c r="V123" s="90">
        <v>5001331612</v>
      </c>
      <c r="W123" s="109">
        <v>45297</v>
      </c>
      <c r="X123" s="106">
        <f>300+350</f>
        <v>650</v>
      </c>
      <c r="Y123" s="106">
        <v>6500</v>
      </c>
      <c r="Z123" s="106" t="s">
        <v>1980</v>
      </c>
      <c r="AA123" s="106">
        <f t="shared" si="11"/>
        <v>0</v>
      </c>
      <c r="AB123" s="106">
        <f t="shared" si="12"/>
        <v>0</v>
      </c>
      <c r="AC123" s="497"/>
      <c r="AD123" s="94"/>
      <c r="AE123" s="110"/>
      <c r="AF123" s="110"/>
      <c r="AG123" s="110"/>
      <c r="AH123" s="99"/>
    </row>
    <row r="124" spans="1:34" ht="26.25" customHeight="1">
      <c r="A124" s="252"/>
      <c r="B124" s="247"/>
      <c r="C124" s="248"/>
      <c r="D124" s="248"/>
      <c r="E124" s="94">
        <v>10</v>
      </c>
      <c r="F124" s="74">
        <v>500</v>
      </c>
      <c r="G124" s="45">
        <f t="shared" si="7"/>
        <v>5000</v>
      </c>
      <c r="H124" s="119" t="s">
        <v>46</v>
      </c>
      <c r="I124" s="128">
        <v>45276</v>
      </c>
      <c r="J124" s="74">
        <v>500</v>
      </c>
      <c r="K124" s="74">
        <v>5</v>
      </c>
      <c r="L124" s="156">
        <v>45274</v>
      </c>
      <c r="M124" s="90">
        <v>5000</v>
      </c>
      <c r="N124" s="90">
        <v>25</v>
      </c>
      <c r="O124" s="90" t="s">
        <v>864</v>
      </c>
      <c r="P124" s="95" t="s">
        <v>28</v>
      </c>
      <c r="Q124" s="94">
        <v>8500064993</v>
      </c>
      <c r="R124" s="94">
        <v>5001345355</v>
      </c>
      <c r="S124" s="74">
        <v>500</v>
      </c>
      <c r="T124" s="90" t="s">
        <v>152</v>
      </c>
      <c r="U124" s="90">
        <v>8500064991</v>
      </c>
      <c r="V124" s="90">
        <v>5001331612</v>
      </c>
      <c r="W124" s="109">
        <v>45297</v>
      </c>
      <c r="X124" s="106">
        <v>500</v>
      </c>
      <c r="Y124" s="106">
        <v>5000</v>
      </c>
      <c r="Z124" s="106" t="s">
        <v>1980</v>
      </c>
      <c r="AA124" s="106">
        <f t="shared" si="11"/>
        <v>0</v>
      </c>
      <c r="AB124" s="106">
        <f t="shared" si="12"/>
        <v>0</v>
      </c>
      <c r="AC124" s="497"/>
      <c r="AD124" s="94"/>
      <c r="AE124" s="110"/>
      <c r="AF124" s="110"/>
      <c r="AG124" s="110"/>
      <c r="AH124" s="99"/>
    </row>
    <row r="125" spans="1:34" ht="26.25" customHeight="1">
      <c r="A125" s="252"/>
      <c r="B125" s="247"/>
      <c r="C125" s="248"/>
      <c r="D125" s="249"/>
      <c r="E125" s="94">
        <v>10</v>
      </c>
      <c r="F125" s="74">
        <v>100</v>
      </c>
      <c r="G125" s="45">
        <f t="shared" si="7"/>
        <v>1000</v>
      </c>
      <c r="H125" s="119" t="s">
        <v>37</v>
      </c>
      <c r="I125" s="128">
        <v>45276</v>
      </c>
      <c r="J125" s="74">
        <v>100</v>
      </c>
      <c r="K125" s="74">
        <v>2</v>
      </c>
      <c r="L125" s="156">
        <v>45274</v>
      </c>
      <c r="M125" s="90">
        <v>1000</v>
      </c>
      <c r="N125" s="90">
        <v>5</v>
      </c>
      <c r="O125" s="90" t="s">
        <v>790</v>
      </c>
      <c r="P125" s="95" t="s">
        <v>28</v>
      </c>
      <c r="Q125" s="94">
        <v>8500064993</v>
      </c>
      <c r="R125" s="94">
        <v>5001345355</v>
      </c>
      <c r="S125" s="74">
        <v>100</v>
      </c>
      <c r="T125" s="90" t="s">
        <v>152</v>
      </c>
      <c r="U125" s="90">
        <v>8500064991</v>
      </c>
      <c r="V125" s="90">
        <v>5001331612</v>
      </c>
      <c r="W125" s="109">
        <v>45297</v>
      </c>
      <c r="X125" s="106">
        <v>100</v>
      </c>
      <c r="Y125" s="106">
        <v>1000</v>
      </c>
      <c r="Z125" s="106" t="s">
        <v>1980</v>
      </c>
      <c r="AA125" s="106">
        <f t="shared" si="11"/>
        <v>0</v>
      </c>
      <c r="AB125" s="106">
        <f t="shared" si="12"/>
        <v>0</v>
      </c>
      <c r="AC125" s="498"/>
      <c r="AD125" s="94"/>
      <c r="AE125" s="110"/>
      <c r="AF125" s="110"/>
      <c r="AG125" s="110"/>
      <c r="AH125" s="99"/>
    </row>
    <row r="126" spans="1:34" ht="26.25" customHeight="1">
      <c r="A126" s="45" t="s">
        <v>2009</v>
      </c>
      <c r="B126" s="121">
        <v>6000027164</v>
      </c>
      <c r="C126" s="2" t="s">
        <v>2011</v>
      </c>
      <c r="D126" s="2" t="s">
        <v>2219</v>
      </c>
      <c r="E126" s="94">
        <v>10</v>
      </c>
      <c r="F126" s="74">
        <v>530</v>
      </c>
      <c r="G126" s="45">
        <f t="shared" si="7"/>
        <v>5300</v>
      </c>
      <c r="H126" s="119" t="s">
        <v>27</v>
      </c>
      <c r="I126" s="128">
        <v>45295</v>
      </c>
      <c r="J126" s="158">
        <v>530</v>
      </c>
      <c r="K126" s="74">
        <v>10</v>
      </c>
      <c r="L126" s="156">
        <v>45304</v>
      </c>
      <c r="M126" s="90">
        <v>5300</v>
      </c>
      <c r="N126" s="90">
        <v>50</v>
      </c>
      <c r="O126" s="90" t="s">
        <v>897</v>
      </c>
      <c r="P126" s="95" t="s">
        <v>924</v>
      </c>
      <c r="Q126" s="94">
        <v>8500065619</v>
      </c>
      <c r="R126" s="94">
        <v>5000016756</v>
      </c>
      <c r="S126" s="158">
        <v>530</v>
      </c>
      <c r="T126" s="90" t="s">
        <v>655</v>
      </c>
      <c r="U126" s="90">
        <v>8500065618</v>
      </c>
      <c r="V126" s="90">
        <v>5000051739</v>
      </c>
      <c r="W126" s="109">
        <v>45304</v>
      </c>
      <c r="X126" s="106">
        <v>530</v>
      </c>
      <c r="Y126" s="106">
        <v>5300</v>
      </c>
      <c r="Z126" s="106" t="s">
        <v>727</v>
      </c>
      <c r="AA126" s="106">
        <f t="shared" si="11"/>
        <v>0</v>
      </c>
      <c r="AB126" s="106">
        <f t="shared" si="12"/>
        <v>0</v>
      </c>
      <c r="AC126" s="94"/>
      <c r="AD126" s="94"/>
      <c r="AE126" s="110"/>
      <c r="AF126" s="110"/>
      <c r="AG126" s="110"/>
      <c r="AH126" s="99"/>
    </row>
    <row r="127" spans="1:34" ht="26.25" customHeight="1">
      <c r="A127" s="83"/>
      <c r="B127" s="88"/>
      <c r="C127" s="94"/>
      <c r="D127" s="95"/>
      <c r="E127" s="94">
        <v>10</v>
      </c>
      <c r="F127" s="74">
        <v>1260</v>
      </c>
      <c r="G127" s="45">
        <f t="shared" si="7"/>
        <v>12600</v>
      </c>
      <c r="H127" s="119" t="s">
        <v>46</v>
      </c>
      <c r="I127" s="128">
        <v>45296</v>
      </c>
      <c r="J127" s="74">
        <v>1260</v>
      </c>
      <c r="K127" s="74">
        <v>20</v>
      </c>
      <c r="L127" s="156" t="s">
        <v>2484</v>
      </c>
      <c r="M127" s="90">
        <f>12500+100</f>
        <v>12600</v>
      </c>
      <c r="N127" s="90">
        <v>75</v>
      </c>
      <c r="O127" s="90" t="s">
        <v>2485</v>
      </c>
      <c r="P127" s="95" t="s">
        <v>924</v>
      </c>
      <c r="Q127" s="94">
        <v>8500065619</v>
      </c>
      <c r="R127" s="94">
        <v>5000017621</v>
      </c>
      <c r="S127" s="74">
        <v>1260</v>
      </c>
      <c r="T127" s="90" t="s">
        <v>655</v>
      </c>
      <c r="U127" s="90">
        <v>8500065618</v>
      </c>
      <c r="V127" s="90">
        <v>500021862</v>
      </c>
      <c r="W127" s="109">
        <v>45306</v>
      </c>
      <c r="X127" s="106">
        <v>1260</v>
      </c>
      <c r="Y127" s="106">
        <v>12600</v>
      </c>
      <c r="Z127" s="106"/>
      <c r="AA127" s="106">
        <f t="shared" si="11"/>
        <v>0</v>
      </c>
      <c r="AB127" s="106">
        <f t="shared" si="12"/>
        <v>0</v>
      </c>
      <c r="AC127" s="94"/>
      <c r="AD127" s="94"/>
      <c r="AE127" s="110"/>
      <c r="AF127" s="110"/>
      <c r="AG127" s="110"/>
      <c r="AH127" s="99"/>
    </row>
    <row r="128" spans="1:34" ht="26.25" customHeight="1">
      <c r="A128" s="83"/>
      <c r="B128" s="88"/>
      <c r="C128" s="44"/>
      <c r="D128" s="44"/>
      <c r="E128" s="94">
        <v>10</v>
      </c>
      <c r="F128" s="74">
        <v>1385</v>
      </c>
      <c r="G128" s="45">
        <f t="shared" si="7"/>
        <v>13850</v>
      </c>
      <c r="H128" s="119" t="s">
        <v>37</v>
      </c>
      <c r="I128" s="128">
        <v>45296</v>
      </c>
      <c r="J128" s="74">
        <v>1385</v>
      </c>
      <c r="K128" s="74">
        <v>15</v>
      </c>
      <c r="L128" s="156">
        <v>45304</v>
      </c>
      <c r="M128" s="90">
        <v>13850</v>
      </c>
      <c r="N128" s="90">
        <v>100</v>
      </c>
      <c r="O128" s="90" t="s">
        <v>1743</v>
      </c>
      <c r="P128" s="95" t="s">
        <v>924</v>
      </c>
      <c r="Q128" s="94">
        <v>8500065619</v>
      </c>
      <c r="R128" s="94">
        <v>5000017621</v>
      </c>
      <c r="S128" s="74">
        <v>1385</v>
      </c>
      <c r="T128" s="90" t="s">
        <v>655</v>
      </c>
      <c r="U128" s="90">
        <v>8500065618</v>
      </c>
      <c r="V128" s="90">
        <v>5000051739</v>
      </c>
      <c r="W128" s="109">
        <v>45318</v>
      </c>
      <c r="X128" s="106">
        <v>1385</v>
      </c>
      <c r="Y128" s="106">
        <v>13850</v>
      </c>
      <c r="Z128" s="106" t="s">
        <v>927</v>
      </c>
      <c r="AA128" s="106">
        <f t="shared" si="11"/>
        <v>0</v>
      </c>
      <c r="AB128" s="106">
        <f t="shared" si="12"/>
        <v>0</v>
      </c>
      <c r="AC128" s="94"/>
      <c r="AD128" s="94"/>
      <c r="AE128" s="110"/>
      <c r="AF128" s="110"/>
      <c r="AG128" s="110"/>
      <c r="AH128" s="99"/>
    </row>
    <row r="129" spans="1:34" ht="27.75" customHeight="1">
      <c r="A129" s="83"/>
      <c r="B129" s="88"/>
      <c r="C129" s="94"/>
      <c r="D129" s="238" t="s">
        <v>2179</v>
      </c>
      <c r="E129" s="94">
        <v>10</v>
      </c>
      <c r="F129" s="74">
        <v>925</v>
      </c>
      <c r="G129" s="45">
        <f t="shared" si="7"/>
        <v>9250</v>
      </c>
      <c r="H129" s="119" t="s">
        <v>146</v>
      </c>
      <c r="I129" s="128">
        <v>45310</v>
      </c>
      <c r="J129" s="158">
        <v>925</v>
      </c>
      <c r="K129" s="74">
        <v>15</v>
      </c>
      <c r="L129" s="156">
        <v>45301</v>
      </c>
      <c r="M129" s="90">
        <v>9250</v>
      </c>
      <c r="N129" s="90">
        <v>100</v>
      </c>
      <c r="O129" s="90"/>
      <c r="P129" s="95" t="s">
        <v>924</v>
      </c>
      <c r="Q129" s="94">
        <v>8500065619</v>
      </c>
      <c r="R129" s="94">
        <v>5000082047</v>
      </c>
      <c r="S129" s="158">
        <v>925</v>
      </c>
      <c r="T129" s="90" t="s">
        <v>655</v>
      </c>
      <c r="U129" s="90">
        <v>8500065618</v>
      </c>
      <c r="V129" s="90">
        <v>5000039396</v>
      </c>
      <c r="W129" s="109">
        <v>45315</v>
      </c>
      <c r="X129" s="106">
        <v>925</v>
      </c>
      <c r="Y129" s="106">
        <v>9250</v>
      </c>
      <c r="Z129" s="106" t="s">
        <v>759</v>
      </c>
      <c r="AA129" s="106">
        <f t="shared" si="11"/>
        <v>0</v>
      </c>
      <c r="AB129" s="106">
        <f t="shared" si="12"/>
        <v>0</v>
      </c>
      <c r="AC129" s="94"/>
      <c r="AD129" s="94"/>
      <c r="AE129" s="110"/>
      <c r="AF129" s="110"/>
      <c r="AG129" s="110"/>
      <c r="AH129" s="99"/>
    </row>
    <row r="130" spans="1:34" ht="26.25" customHeight="1">
      <c r="A130" s="45" t="s">
        <v>2009</v>
      </c>
      <c r="B130" s="121">
        <v>6000027165</v>
      </c>
      <c r="C130" s="2" t="s">
        <v>2011</v>
      </c>
      <c r="D130" s="2" t="s">
        <v>2220</v>
      </c>
      <c r="E130" s="94">
        <v>10</v>
      </c>
      <c r="F130" s="74">
        <v>530</v>
      </c>
      <c r="G130" s="45">
        <f t="shared" si="7"/>
        <v>5300</v>
      </c>
      <c r="H130" s="119" t="s">
        <v>27</v>
      </c>
      <c r="I130" s="128">
        <v>45295</v>
      </c>
      <c r="J130" s="158">
        <v>530</v>
      </c>
      <c r="K130" s="74">
        <v>10</v>
      </c>
      <c r="L130" s="156">
        <v>45304</v>
      </c>
      <c r="M130" s="90">
        <v>5300</v>
      </c>
      <c r="N130" s="90">
        <v>50</v>
      </c>
      <c r="O130" s="90" t="s">
        <v>1553</v>
      </c>
      <c r="P130" s="95" t="s">
        <v>924</v>
      </c>
      <c r="Q130" s="94">
        <v>8500056521</v>
      </c>
      <c r="R130" s="94">
        <v>5000016760</v>
      </c>
      <c r="S130" s="74">
        <v>530</v>
      </c>
      <c r="T130" s="90" t="s">
        <v>655</v>
      </c>
      <c r="U130" s="90">
        <v>8500065620</v>
      </c>
      <c r="V130" s="90">
        <v>5000051733</v>
      </c>
      <c r="W130" s="109">
        <v>45306</v>
      </c>
      <c r="X130" s="106">
        <v>530</v>
      </c>
      <c r="Y130" s="106">
        <v>5300</v>
      </c>
      <c r="Z130" s="106" t="s">
        <v>727</v>
      </c>
      <c r="AA130" s="106">
        <f t="shared" si="11"/>
        <v>0</v>
      </c>
      <c r="AB130" s="106">
        <f t="shared" si="12"/>
        <v>0</v>
      </c>
      <c r="AC130" s="94"/>
      <c r="AD130" s="94"/>
      <c r="AE130" s="110"/>
      <c r="AF130" s="110"/>
      <c r="AG130" s="110"/>
      <c r="AH130" s="99"/>
    </row>
    <row r="131" spans="1:34" ht="26.25" customHeight="1">
      <c r="A131" s="83"/>
      <c r="B131" s="88"/>
      <c r="C131" s="94"/>
      <c r="D131" s="95"/>
      <c r="E131" s="94">
        <v>10</v>
      </c>
      <c r="F131" s="74">
        <v>1250</v>
      </c>
      <c r="G131" s="45">
        <f t="shared" si="7"/>
        <v>12500</v>
      </c>
      <c r="H131" s="119" t="s">
        <v>46</v>
      </c>
      <c r="I131" s="128">
        <v>45295</v>
      </c>
      <c r="J131" s="158">
        <v>1250</v>
      </c>
      <c r="K131" s="74">
        <v>20</v>
      </c>
      <c r="L131" s="156" t="s">
        <v>2481</v>
      </c>
      <c r="M131" s="90">
        <f>6000+6500</f>
        <v>12500</v>
      </c>
      <c r="N131" s="90">
        <v>100</v>
      </c>
      <c r="O131" s="90" t="s">
        <v>2482</v>
      </c>
      <c r="P131" s="95" t="s">
        <v>924</v>
      </c>
      <c r="Q131" s="94">
        <v>8500056521</v>
      </c>
      <c r="R131" s="94">
        <v>5000016765</v>
      </c>
      <c r="S131" s="74">
        <v>1250</v>
      </c>
      <c r="T131" s="90" t="s">
        <v>655</v>
      </c>
      <c r="U131" s="90">
        <v>8500065620</v>
      </c>
      <c r="V131" s="90">
        <v>5000039220</v>
      </c>
      <c r="W131" s="109">
        <v>45307</v>
      </c>
      <c r="X131" s="106">
        <v>1250</v>
      </c>
      <c r="Y131" s="106">
        <v>12500</v>
      </c>
      <c r="Z131" s="106" t="s">
        <v>755</v>
      </c>
      <c r="AA131" s="106">
        <f t="shared" si="11"/>
        <v>0</v>
      </c>
      <c r="AB131" s="106">
        <f t="shared" si="12"/>
        <v>0</v>
      </c>
      <c r="AC131" s="94"/>
      <c r="AD131" s="94"/>
      <c r="AE131" s="110"/>
      <c r="AF131" s="110"/>
      <c r="AG131" s="110"/>
      <c r="AH131" s="99"/>
    </row>
    <row r="132" spans="1:34" ht="26.25" customHeight="1">
      <c r="A132" s="83"/>
      <c r="B132" s="88"/>
      <c r="C132" s="44"/>
      <c r="D132" s="44"/>
      <c r="E132" s="94">
        <v>10</v>
      </c>
      <c r="F132" s="74">
        <v>1395</v>
      </c>
      <c r="G132" s="45">
        <f t="shared" si="7"/>
        <v>13950</v>
      </c>
      <c r="H132" s="119" t="s">
        <v>37</v>
      </c>
      <c r="I132" s="128">
        <v>45296</v>
      </c>
      <c r="J132" s="158">
        <f>1334+61</f>
        <v>1395</v>
      </c>
      <c r="K132" s="74">
        <v>14</v>
      </c>
      <c r="L132" s="156" t="s">
        <v>2481</v>
      </c>
      <c r="M132" s="90">
        <f>13750+200</f>
        <v>13950</v>
      </c>
      <c r="N132" s="90">
        <v>57</v>
      </c>
      <c r="O132" s="90" t="s">
        <v>2483</v>
      </c>
      <c r="P132" s="95" t="s">
        <v>924</v>
      </c>
      <c r="Q132" s="94">
        <v>8500065621</v>
      </c>
      <c r="R132" s="94">
        <v>5000017622</v>
      </c>
      <c r="S132" s="74">
        <v>1395</v>
      </c>
      <c r="T132" s="90" t="s">
        <v>655</v>
      </c>
      <c r="U132" s="90">
        <v>8500065620</v>
      </c>
      <c r="V132" s="90">
        <v>5000039220</v>
      </c>
      <c r="W132" s="109" t="s">
        <v>2723</v>
      </c>
      <c r="X132" s="106">
        <f>700+695</f>
        <v>1395</v>
      </c>
      <c r="Y132" s="106">
        <f>7000+6950</f>
        <v>13950</v>
      </c>
      <c r="Z132" s="106" t="s">
        <v>927</v>
      </c>
      <c r="AA132" s="106">
        <f t="shared" si="11"/>
        <v>0</v>
      </c>
      <c r="AB132" s="106">
        <f t="shared" si="12"/>
        <v>0</v>
      </c>
      <c r="AC132" s="94"/>
      <c r="AD132" s="94"/>
      <c r="AE132" s="110"/>
      <c r="AF132" s="110"/>
      <c r="AG132" s="110"/>
      <c r="AH132" s="99"/>
    </row>
    <row r="133" spans="1:34" ht="26.25" customHeight="1">
      <c r="A133" s="83"/>
      <c r="B133" s="88"/>
      <c r="C133" s="94"/>
      <c r="D133" s="238" t="s">
        <v>2179</v>
      </c>
      <c r="E133" s="94">
        <v>10</v>
      </c>
      <c r="F133" s="74">
        <v>925</v>
      </c>
      <c r="G133" s="45">
        <f t="shared" si="7"/>
        <v>9250</v>
      </c>
      <c r="H133" s="119" t="s">
        <v>146</v>
      </c>
      <c r="I133" s="128">
        <v>45296</v>
      </c>
      <c r="J133" s="158">
        <f>905+20</f>
        <v>925</v>
      </c>
      <c r="K133" s="74">
        <v>5</v>
      </c>
      <c r="L133" s="156">
        <v>45301</v>
      </c>
      <c r="M133" s="90">
        <v>9250</v>
      </c>
      <c r="N133" s="90">
        <v>100</v>
      </c>
      <c r="O133" s="90"/>
      <c r="P133" s="95" t="s">
        <v>924</v>
      </c>
      <c r="Q133" s="94">
        <v>8500065621</v>
      </c>
      <c r="R133" s="94">
        <v>5000017622</v>
      </c>
      <c r="S133" s="74">
        <v>925</v>
      </c>
      <c r="T133" s="90" t="s">
        <v>655</v>
      </c>
      <c r="U133" s="90">
        <v>8500065620</v>
      </c>
      <c r="V133" s="90">
        <v>5000039393</v>
      </c>
      <c r="W133" s="109">
        <v>45315</v>
      </c>
      <c r="X133" s="106">
        <v>925</v>
      </c>
      <c r="Y133" s="106">
        <v>9250</v>
      </c>
      <c r="Z133" s="106" t="s">
        <v>759</v>
      </c>
      <c r="AA133" s="106">
        <f t="shared" si="11"/>
        <v>0</v>
      </c>
      <c r="AB133" s="106">
        <f t="shared" si="12"/>
        <v>0</v>
      </c>
      <c r="AC133" s="94"/>
      <c r="AD133" s="94"/>
      <c r="AE133" s="110"/>
      <c r="AF133" s="110"/>
      <c r="AG133" s="110"/>
      <c r="AH133" s="99"/>
    </row>
    <row r="134" spans="1:34" ht="26.25" customHeight="1">
      <c r="A134" s="83" t="s">
        <v>2226</v>
      </c>
      <c r="B134" s="121">
        <v>6000027166</v>
      </c>
      <c r="C134" s="2" t="s">
        <v>515</v>
      </c>
      <c r="D134" s="2">
        <v>6000027166</v>
      </c>
      <c r="E134" s="94">
        <v>10</v>
      </c>
      <c r="F134" s="74">
        <v>100</v>
      </c>
      <c r="G134" s="45">
        <f t="shared" si="7"/>
        <v>1000</v>
      </c>
      <c r="H134" s="119" t="s">
        <v>27</v>
      </c>
      <c r="I134" s="128">
        <v>45280</v>
      </c>
      <c r="J134" s="74">
        <v>100</v>
      </c>
      <c r="K134" s="74">
        <v>2</v>
      </c>
      <c r="L134" s="156">
        <v>45288</v>
      </c>
      <c r="M134" s="90">
        <v>1000</v>
      </c>
      <c r="N134" s="90">
        <v>10</v>
      </c>
      <c r="O134" s="90" t="s">
        <v>2107</v>
      </c>
      <c r="P134" s="94" t="s">
        <v>28</v>
      </c>
      <c r="Q134" s="94">
        <v>8500064945</v>
      </c>
      <c r="R134" s="94">
        <v>5001354045</v>
      </c>
      <c r="S134" s="74">
        <v>100</v>
      </c>
      <c r="T134" s="90" t="s">
        <v>1558</v>
      </c>
      <c r="U134" s="90">
        <v>8500064944</v>
      </c>
      <c r="V134" s="90">
        <v>5001386070</v>
      </c>
      <c r="W134" s="109">
        <v>45294</v>
      </c>
      <c r="X134" s="106">
        <v>100</v>
      </c>
      <c r="Y134" s="106">
        <v>1000</v>
      </c>
      <c r="Z134" s="106" t="s">
        <v>800</v>
      </c>
      <c r="AA134" s="106">
        <f t="shared" si="11"/>
        <v>0</v>
      </c>
      <c r="AB134" s="106">
        <f t="shared" si="12"/>
        <v>0</v>
      </c>
      <c r="AC134" s="94"/>
      <c r="AD134" s="94"/>
      <c r="AE134" s="110"/>
      <c r="AF134" s="110"/>
      <c r="AG134" s="110"/>
      <c r="AH134" s="99"/>
    </row>
    <row r="135" spans="1:34" ht="26.25" customHeight="1">
      <c r="A135" s="83"/>
      <c r="B135" s="88"/>
      <c r="C135" s="2" t="s">
        <v>343</v>
      </c>
      <c r="D135" s="2"/>
      <c r="E135" s="94">
        <v>10</v>
      </c>
      <c r="F135" s="74">
        <v>250</v>
      </c>
      <c r="G135" s="45">
        <f t="shared" si="7"/>
        <v>2500</v>
      </c>
      <c r="H135" s="119" t="s">
        <v>46</v>
      </c>
      <c r="I135" s="128">
        <v>45280</v>
      </c>
      <c r="J135" s="74">
        <v>250</v>
      </c>
      <c r="K135" s="74">
        <f>2+2</f>
        <v>4</v>
      </c>
      <c r="L135" s="156">
        <v>45288</v>
      </c>
      <c r="M135" s="90">
        <v>2500</v>
      </c>
      <c r="N135" s="90">
        <v>25</v>
      </c>
      <c r="O135" s="90" t="s">
        <v>877</v>
      </c>
      <c r="P135" s="94" t="s">
        <v>28</v>
      </c>
      <c r="Q135" s="94">
        <v>8500064945</v>
      </c>
      <c r="R135" s="94">
        <v>5001354045</v>
      </c>
      <c r="S135" s="74"/>
      <c r="T135" s="90" t="s">
        <v>1558</v>
      </c>
      <c r="U135" s="90">
        <v>8500064944</v>
      </c>
      <c r="V135" s="90">
        <v>5001386070</v>
      </c>
      <c r="W135" s="109">
        <v>45317</v>
      </c>
      <c r="X135" s="106">
        <v>250</v>
      </c>
      <c r="Y135" s="106">
        <v>2500</v>
      </c>
      <c r="Z135" s="114" t="s">
        <v>1609</v>
      </c>
      <c r="AA135" s="106">
        <f t="shared" si="11"/>
        <v>0</v>
      </c>
      <c r="AB135" s="106">
        <f t="shared" si="12"/>
        <v>0</v>
      </c>
      <c r="AC135" s="94"/>
      <c r="AD135" s="94"/>
      <c r="AE135" s="110"/>
      <c r="AF135" s="110"/>
      <c r="AG135" s="110"/>
      <c r="AH135" s="99"/>
    </row>
    <row r="136" spans="1:34" ht="26.25" customHeight="1">
      <c r="A136" s="83"/>
      <c r="B136" s="88"/>
      <c r="C136" s="2"/>
      <c r="D136" s="2"/>
      <c r="E136" s="94">
        <v>10</v>
      </c>
      <c r="F136" s="74">
        <v>450</v>
      </c>
      <c r="G136" s="45">
        <f t="shared" si="7"/>
        <v>4500</v>
      </c>
      <c r="H136" s="119" t="s">
        <v>37</v>
      </c>
      <c r="I136" s="128">
        <v>45280</v>
      </c>
      <c r="J136" s="74">
        <v>450</v>
      </c>
      <c r="K136" s="74">
        <v>6</v>
      </c>
      <c r="L136" s="156">
        <v>45288</v>
      </c>
      <c r="M136" s="90">
        <v>4500</v>
      </c>
      <c r="N136" s="90">
        <v>45</v>
      </c>
      <c r="O136" s="90" t="s">
        <v>1553</v>
      </c>
      <c r="P136" s="94" t="s">
        <v>28</v>
      </c>
      <c r="Q136" s="94">
        <v>8500064945</v>
      </c>
      <c r="R136" s="94">
        <v>5001354045</v>
      </c>
      <c r="S136" s="74">
        <v>450</v>
      </c>
      <c r="T136" s="90" t="s">
        <v>1558</v>
      </c>
      <c r="U136" s="90">
        <v>8500064944</v>
      </c>
      <c r="V136" s="90">
        <v>5001386070</v>
      </c>
      <c r="W136" s="109">
        <v>45297</v>
      </c>
      <c r="X136" s="106">
        <v>450</v>
      </c>
      <c r="Y136" s="106">
        <v>4500</v>
      </c>
      <c r="Z136" s="106" t="s">
        <v>800</v>
      </c>
      <c r="AA136" s="106">
        <f t="shared" si="11"/>
        <v>0</v>
      </c>
      <c r="AB136" s="106">
        <f t="shared" si="12"/>
        <v>0</v>
      </c>
      <c r="AC136" s="94"/>
      <c r="AD136" s="94"/>
      <c r="AE136" s="110"/>
      <c r="AF136" s="110"/>
      <c r="AG136" s="110"/>
      <c r="AH136" s="99"/>
    </row>
    <row r="137" spans="1:34" ht="26.25" customHeight="1">
      <c r="A137" s="83"/>
      <c r="B137" s="88"/>
      <c r="C137" s="2"/>
      <c r="D137" s="2"/>
      <c r="E137" s="94">
        <v>10</v>
      </c>
      <c r="F137" s="74">
        <v>500</v>
      </c>
      <c r="G137" s="45">
        <f t="shared" si="7"/>
        <v>5000</v>
      </c>
      <c r="H137" s="119" t="s">
        <v>146</v>
      </c>
      <c r="I137" s="128">
        <v>45280</v>
      </c>
      <c r="J137" s="74">
        <v>500</v>
      </c>
      <c r="K137" s="74">
        <v>5</v>
      </c>
      <c r="L137" s="156">
        <v>45288</v>
      </c>
      <c r="M137" s="90">
        <v>5000</v>
      </c>
      <c r="N137" s="90">
        <v>50</v>
      </c>
      <c r="O137" s="90" t="s">
        <v>2107</v>
      </c>
      <c r="P137" s="94" t="s">
        <v>28</v>
      </c>
      <c r="Q137" s="94">
        <v>8500064945</v>
      </c>
      <c r="R137" s="94">
        <v>5001354045</v>
      </c>
      <c r="S137" s="74">
        <v>500</v>
      </c>
      <c r="T137" s="90" t="s">
        <v>1558</v>
      </c>
      <c r="U137" s="90">
        <v>8500064944</v>
      </c>
      <c r="V137" s="90">
        <v>5001386070</v>
      </c>
      <c r="W137" s="109">
        <v>45294</v>
      </c>
      <c r="X137" s="106">
        <v>500</v>
      </c>
      <c r="Y137" s="106">
        <v>5000</v>
      </c>
      <c r="Z137" s="106" t="s">
        <v>800</v>
      </c>
      <c r="AA137" s="106">
        <f t="shared" si="11"/>
        <v>0</v>
      </c>
      <c r="AB137" s="106">
        <f t="shared" si="12"/>
        <v>0</v>
      </c>
      <c r="AC137" s="94"/>
      <c r="AD137" s="94"/>
      <c r="AE137" s="110"/>
      <c r="AF137" s="110"/>
      <c r="AG137" s="110"/>
      <c r="AH137" s="99"/>
    </row>
    <row r="138" spans="1:34" ht="26.25" customHeight="1">
      <c r="A138" s="83" t="s">
        <v>2226</v>
      </c>
      <c r="B138" s="88">
        <v>6000027166</v>
      </c>
      <c r="C138" s="2" t="s">
        <v>520</v>
      </c>
      <c r="D138" s="2">
        <v>6000027166</v>
      </c>
      <c r="E138" s="94">
        <v>10</v>
      </c>
      <c r="F138" s="74">
        <v>150</v>
      </c>
      <c r="G138" s="45">
        <f t="shared" si="7"/>
        <v>1500</v>
      </c>
      <c r="H138" s="119" t="s">
        <v>37</v>
      </c>
      <c r="I138" s="128">
        <v>45280</v>
      </c>
      <c r="J138" s="158">
        <v>150</v>
      </c>
      <c r="K138" s="74">
        <v>2</v>
      </c>
      <c r="L138" s="156">
        <v>45285</v>
      </c>
      <c r="M138" s="90">
        <v>1500</v>
      </c>
      <c r="N138" s="90">
        <v>15</v>
      </c>
      <c r="O138" s="90" t="s">
        <v>1348</v>
      </c>
      <c r="P138" s="94" t="s">
        <v>28</v>
      </c>
      <c r="Q138" s="94">
        <v>8500064947</v>
      </c>
      <c r="R138" s="94">
        <v>5001354016</v>
      </c>
      <c r="S138" s="94"/>
      <c r="T138" s="90" t="s">
        <v>1558</v>
      </c>
      <c r="U138" s="90">
        <v>8500064946</v>
      </c>
      <c r="V138" s="90">
        <v>5001377406</v>
      </c>
      <c r="W138" s="109">
        <v>45307</v>
      </c>
      <c r="X138" s="106">
        <v>150</v>
      </c>
      <c r="Y138" s="106">
        <v>1500</v>
      </c>
      <c r="Z138" s="106" t="s">
        <v>800</v>
      </c>
      <c r="AA138" s="106">
        <f t="shared" si="11"/>
        <v>0</v>
      </c>
      <c r="AB138" s="106">
        <f t="shared" si="12"/>
        <v>0</v>
      </c>
      <c r="AC138" s="94"/>
      <c r="AD138" s="94"/>
      <c r="AE138" s="110"/>
      <c r="AF138" s="110"/>
      <c r="AG138" s="110"/>
      <c r="AH138" s="99"/>
    </row>
    <row r="139" spans="1:34" ht="26.25" customHeight="1">
      <c r="A139" s="83" t="s">
        <v>2226</v>
      </c>
      <c r="B139" s="88">
        <v>6000027166</v>
      </c>
      <c r="C139" s="2" t="s">
        <v>1550</v>
      </c>
      <c r="D139" s="2">
        <v>6000027166</v>
      </c>
      <c r="E139" s="94">
        <v>10</v>
      </c>
      <c r="F139" s="74">
        <v>100</v>
      </c>
      <c r="G139" s="45">
        <f t="shared" si="7"/>
        <v>1000</v>
      </c>
      <c r="H139" s="119" t="s">
        <v>27</v>
      </c>
      <c r="I139" s="128">
        <v>45276</v>
      </c>
      <c r="J139" s="74">
        <v>100</v>
      </c>
      <c r="K139" s="74">
        <v>7</v>
      </c>
      <c r="L139" s="156">
        <v>45278</v>
      </c>
      <c r="M139" s="90">
        <v>1000</v>
      </c>
      <c r="N139" s="90">
        <v>5</v>
      </c>
      <c r="O139" s="90" t="s">
        <v>1846</v>
      </c>
      <c r="P139" s="94" t="s">
        <v>28</v>
      </c>
      <c r="Q139" s="94">
        <v>8500064949</v>
      </c>
      <c r="R139" s="94">
        <v>5001345318</v>
      </c>
      <c r="S139" s="74">
        <v>100</v>
      </c>
      <c r="T139" s="90" t="s">
        <v>152</v>
      </c>
      <c r="U139" s="90">
        <v>8500064948</v>
      </c>
      <c r="V139" s="90">
        <v>5001346192</v>
      </c>
      <c r="W139" s="109">
        <v>45283</v>
      </c>
      <c r="X139" s="106">
        <v>100</v>
      </c>
      <c r="Y139" s="106">
        <v>1000</v>
      </c>
      <c r="Z139" s="106" t="s">
        <v>800</v>
      </c>
      <c r="AA139" s="106">
        <f t="shared" si="11"/>
        <v>0</v>
      </c>
      <c r="AB139" s="106">
        <f t="shared" si="12"/>
        <v>0</v>
      </c>
      <c r="AC139" s="94"/>
      <c r="AD139" s="94"/>
      <c r="AE139" s="110"/>
      <c r="AF139" s="110"/>
      <c r="AG139" s="110"/>
      <c r="AH139" s="99"/>
    </row>
    <row r="140" spans="1:34" ht="26.25" customHeight="1">
      <c r="A140" s="83"/>
      <c r="B140" s="88"/>
      <c r="C140" s="2"/>
      <c r="D140" s="2"/>
      <c r="E140" s="94">
        <v>10</v>
      </c>
      <c r="F140" s="74">
        <v>200</v>
      </c>
      <c r="G140" s="45">
        <f t="shared" ref="G140:G206" si="13">F140*E140</f>
        <v>2000</v>
      </c>
      <c r="H140" s="119" t="s">
        <v>46</v>
      </c>
      <c r="I140" s="128">
        <v>45276</v>
      </c>
      <c r="J140" s="74">
        <v>200</v>
      </c>
      <c r="K140" s="74">
        <v>9</v>
      </c>
      <c r="L140" s="156">
        <v>45278</v>
      </c>
      <c r="M140" s="90">
        <v>2000</v>
      </c>
      <c r="N140" s="90">
        <v>10</v>
      </c>
      <c r="O140" s="90" t="s">
        <v>1846</v>
      </c>
      <c r="P140" s="94" t="s">
        <v>28</v>
      </c>
      <c r="Q140" s="94">
        <v>8500064949</v>
      </c>
      <c r="R140" s="94">
        <v>5001345318</v>
      </c>
      <c r="S140" s="74">
        <v>200</v>
      </c>
      <c r="T140" s="90" t="s">
        <v>152</v>
      </c>
      <c r="U140" s="90">
        <v>8500064948</v>
      </c>
      <c r="V140" s="90">
        <v>5001346192</v>
      </c>
      <c r="W140" s="109">
        <v>45283</v>
      </c>
      <c r="X140" s="106">
        <v>200</v>
      </c>
      <c r="Y140" s="106">
        <v>2000</v>
      </c>
      <c r="Z140" s="106" t="s">
        <v>800</v>
      </c>
      <c r="AA140" s="106">
        <f t="shared" si="11"/>
        <v>0</v>
      </c>
      <c r="AB140" s="106">
        <f t="shared" si="12"/>
        <v>0</v>
      </c>
      <c r="AC140" s="94"/>
      <c r="AD140" s="94"/>
      <c r="AE140" s="110"/>
      <c r="AF140" s="110"/>
      <c r="AG140" s="110"/>
      <c r="AH140" s="99"/>
    </row>
    <row r="141" spans="1:34" ht="26.25" customHeight="1">
      <c r="A141" s="83"/>
      <c r="B141" s="88"/>
      <c r="C141" s="2"/>
      <c r="D141" s="2"/>
      <c r="E141" s="94">
        <v>10</v>
      </c>
      <c r="F141" s="74">
        <v>100</v>
      </c>
      <c r="G141" s="45">
        <f t="shared" si="13"/>
        <v>1000</v>
      </c>
      <c r="H141" s="119" t="s">
        <v>37</v>
      </c>
      <c r="I141" s="128">
        <v>45275</v>
      </c>
      <c r="J141" s="158">
        <v>100</v>
      </c>
      <c r="K141" s="74">
        <v>7</v>
      </c>
      <c r="L141" s="156">
        <v>45278</v>
      </c>
      <c r="M141" s="90">
        <v>1000</v>
      </c>
      <c r="N141" s="90">
        <v>5</v>
      </c>
      <c r="O141" s="90" t="s">
        <v>1880</v>
      </c>
      <c r="P141" s="94" t="s">
        <v>28</v>
      </c>
      <c r="Q141" s="94">
        <v>8500064949</v>
      </c>
      <c r="R141" s="94">
        <v>5001338293</v>
      </c>
      <c r="S141" s="158">
        <v>100</v>
      </c>
      <c r="T141" s="90" t="s">
        <v>152</v>
      </c>
      <c r="U141" s="90">
        <v>8500064948</v>
      </c>
      <c r="V141" s="90">
        <v>5001346192</v>
      </c>
      <c r="W141" s="109">
        <v>45283</v>
      </c>
      <c r="X141" s="106">
        <v>100</v>
      </c>
      <c r="Y141" s="106">
        <v>1000</v>
      </c>
      <c r="Z141" s="106" t="s">
        <v>800</v>
      </c>
      <c r="AA141" s="106">
        <f t="shared" si="11"/>
        <v>0</v>
      </c>
      <c r="AB141" s="106">
        <f t="shared" si="12"/>
        <v>0</v>
      </c>
      <c r="AC141" s="94"/>
      <c r="AD141" s="94"/>
      <c r="AE141" s="110"/>
      <c r="AF141" s="110"/>
      <c r="AG141" s="110"/>
      <c r="AH141" s="99"/>
    </row>
    <row r="142" spans="1:34" ht="26.25" customHeight="1">
      <c r="A142" s="83"/>
      <c r="B142" s="88"/>
      <c r="C142" s="2"/>
      <c r="D142" s="2"/>
      <c r="E142" s="94">
        <v>10</v>
      </c>
      <c r="F142" s="74">
        <v>100</v>
      </c>
      <c r="G142" s="45">
        <f t="shared" si="13"/>
        <v>1000</v>
      </c>
      <c r="H142" s="119" t="s">
        <v>146</v>
      </c>
      <c r="I142" s="128">
        <v>45275</v>
      </c>
      <c r="J142" s="158">
        <v>100</v>
      </c>
      <c r="K142" s="74">
        <v>7</v>
      </c>
      <c r="L142" s="156">
        <v>45278</v>
      </c>
      <c r="M142" s="90">
        <v>1000</v>
      </c>
      <c r="N142" s="90">
        <v>5</v>
      </c>
      <c r="O142" s="90" t="s">
        <v>1846</v>
      </c>
      <c r="P142" s="94" t="s">
        <v>28</v>
      </c>
      <c r="Q142" s="94">
        <v>8500064949</v>
      </c>
      <c r="R142" s="94">
        <v>5001338293</v>
      </c>
      <c r="S142" s="158">
        <v>100</v>
      </c>
      <c r="T142" s="90" t="s">
        <v>152</v>
      </c>
      <c r="U142" s="90">
        <v>8500064948</v>
      </c>
      <c r="V142" s="90">
        <v>5001346192</v>
      </c>
      <c r="W142" s="109">
        <v>45283</v>
      </c>
      <c r="X142" s="106">
        <v>100</v>
      </c>
      <c r="Y142" s="106">
        <v>1000</v>
      </c>
      <c r="Z142" s="106" t="s">
        <v>800</v>
      </c>
      <c r="AA142" s="106">
        <f t="shared" si="11"/>
        <v>0</v>
      </c>
      <c r="AB142" s="106">
        <f t="shared" si="12"/>
        <v>0</v>
      </c>
      <c r="AC142" s="94"/>
      <c r="AD142" s="94"/>
      <c r="AE142" s="110"/>
      <c r="AF142" s="110"/>
      <c r="AG142" s="110"/>
      <c r="AH142" s="99"/>
    </row>
    <row r="143" spans="1:34" ht="26.25" customHeight="1">
      <c r="A143" s="83" t="s">
        <v>2226</v>
      </c>
      <c r="B143" s="88">
        <v>6000027166</v>
      </c>
      <c r="C143" s="2" t="s">
        <v>2227</v>
      </c>
      <c r="D143" s="2">
        <v>6000027166</v>
      </c>
      <c r="E143" s="94">
        <v>10</v>
      </c>
      <c r="F143" s="74">
        <v>100</v>
      </c>
      <c r="G143" s="45">
        <f t="shared" si="13"/>
        <v>1000</v>
      </c>
      <c r="H143" s="119" t="s">
        <v>46</v>
      </c>
      <c r="I143" s="128">
        <v>45280</v>
      </c>
      <c r="J143" s="74">
        <v>100</v>
      </c>
      <c r="K143" s="74">
        <v>8</v>
      </c>
      <c r="L143" s="156">
        <v>45289</v>
      </c>
      <c r="M143" s="90">
        <v>1000</v>
      </c>
      <c r="N143" s="90">
        <v>10</v>
      </c>
      <c r="O143" s="90" t="s">
        <v>1641</v>
      </c>
      <c r="P143" s="94" t="s">
        <v>28</v>
      </c>
      <c r="Q143" s="94">
        <v>8500064953</v>
      </c>
      <c r="R143" s="94">
        <v>5001354108</v>
      </c>
      <c r="S143" s="74">
        <v>100</v>
      </c>
      <c r="T143" s="90" t="s">
        <v>1558</v>
      </c>
      <c r="U143" s="90">
        <v>8500064952</v>
      </c>
      <c r="V143" s="90">
        <v>5001392938</v>
      </c>
      <c r="W143" s="109">
        <v>45317</v>
      </c>
      <c r="X143" s="106">
        <v>100</v>
      </c>
      <c r="Y143" s="106">
        <v>1000</v>
      </c>
      <c r="Z143" s="106" t="s">
        <v>1609</v>
      </c>
      <c r="AA143" s="106">
        <f t="shared" si="11"/>
        <v>0</v>
      </c>
      <c r="AB143" s="106">
        <f t="shared" si="12"/>
        <v>0</v>
      </c>
      <c r="AC143" s="94"/>
      <c r="AD143" s="94"/>
      <c r="AE143" s="110"/>
      <c r="AF143" s="110"/>
      <c r="AG143" s="110"/>
      <c r="AH143" s="99"/>
    </row>
    <row r="144" spans="1:34" ht="26.25" customHeight="1">
      <c r="A144" s="83"/>
      <c r="B144" s="88"/>
      <c r="C144" s="2"/>
      <c r="E144" s="94">
        <v>10</v>
      </c>
      <c r="F144" s="74">
        <v>100</v>
      </c>
      <c r="G144" s="45">
        <f t="shared" si="13"/>
        <v>1000</v>
      </c>
      <c r="H144" s="119" t="s">
        <v>37</v>
      </c>
      <c r="I144" s="128">
        <v>45280</v>
      </c>
      <c r="J144" s="74">
        <v>100</v>
      </c>
      <c r="K144" s="74">
        <v>8</v>
      </c>
      <c r="L144" s="156">
        <v>45289</v>
      </c>
      <c r="M144" s="90">
        <v>1000</v>
      </c>
      <c r="N144" s="90">
        <v>10</v>
      </c>
      <c r="O144" s="90" t="s">
        <v>1641</v>
      </c>
      <c r="P144" s="94" t="s">
        <v>28</v>
      </c>
      <c r="Q144" s="94">
        <v>8500064953</v>
      </c>
      <c r="R144" s="94">
        <v>5001354108</v>
      </c>
      <c r="S144" s="74">
        <v>100</v>
      </c>
      <c r="T144" s="90" t="s">
        <v>1558</v>
      </c>
      <c r="U144" s="90">
        <v>8500064952</v>
      </c>
      <c r="V144" s="90">
        <v>5001392938</v>
      </c>
      <c r="W144" s="109">
        <v>45317</v>
      </c>
      <c r="X144" s="106">
        <v>100</v>
      </c>
      <c r="Y144" s="106">
        <v>1000</v>
      </c>
      <c r="Z144" s="106" t="s">
        <v>870</v>
      </c>
      <c r="AA144" s="106">
        <f t="shared" si="11"/>
        <v>0</v>
      </c>
      <c r="AB144" s="106">
        <f t="shared" si="12"/>
        <v>0</v>
      </c>
      <c r="AC144" s="94"/>
      <c r="AD144" s="94"/>
      <c r="AE144" s="110"/>
      <c r="AF144" s="110"/>
      <c r="AG144" s="110"/>
      <c r="AH144" s="99"/>
    </row>
    <row r="145" spans="1:34" ht="26.25" customHeight="1">
      <c r="A145" s="83"/>
      <c r="B145" s="88"/>
      <c r="C145" s="2"/>
      <c r="D145" s="2"/>
      <c r="E145" s="94">
        <v>10</v>
      </c>
      <c r="F145" s="74">
        <v>100</v>
      </c>
      <c r="G145" s="45">
        <f t="shared" si="13"/>
        <v>1000</v>
      </c>
      <c r="H145" s="119" t="s">
        <v>146</v>
      </c>
      <c r="I145" s="128">
        <v>45280</v>
      </c>
      <c r="J145" s="74">
        <v>100</v>
      </c>
      <c r="K145" s="74">
        <v>7</v>
      </c>
      <c r="L145" s="156">
        <v>45289</v>
      </c>
      <c r="M145" s="90">
        <v>1000</v>
      </c>
      <c r="N145" s="90">
        <v>10</v>
      </c>
      <c r="O145" s="90" t="s">
        <v>1641</v>
      </c>
      <c r="P145" s="94" t="s">
        <v>28</v>
      </c>
      <c r="Q145" s="94">
        <v>8500064953</v>
      </c>
      <c r="R145" s="94">
        <v>5001354108</v>
      </c>
      <c r="S145" s="74">
        <v>100</v>
      </c>
      <c r="T145" s="90" t="s">
        <v>1558</v>
      </c>
      <c r="U145" s="90">
        <v>8500064952</v>
      </c>
      <c r="V145" s="90">
        <v>5001392938</v>
      </c>
      <c r="W145" s="109">
        <v>45295</v>
      </c>
      <c r="X145" s="106">
        <v>100</v>
      </c>
      <c r="Y145" s="106">
        <v>1000</v>
      </c>
      <c r="Z145" s="106" t="s">
        <v>800</v>
      </c>
      <c r="AA145" s="106">
        <f t="shared" si="11"/>
        <v>0</v>
      </c>
      <c r="AB145" s="106">
        <f t="shared" si="12"/>
        <v>0</v>
      </c>
      <c r="AC145" s="94"/>
      <c r="AD145" s="94"/>
      <c r="AE145" s="110"/>
      <c r="AF145" s="110"/>
      <c r="AG145" s="110"/>
      <c r="AH145" s="99"/>
    </row>
    <row r="146" spans="1:34" ht="26.25" customHeight="1">
      <c r="A146" s="83" t="s">
        <v>2226</v>
      </c>
      <c r="B146" s="88">
        <v>6000027166</v>
      </c>
      <c r="C146" s="2" t="s">
        <v>1952</v>
      </c>
      <c r="D146" s="2">
        <v>6000027166</v>
      </c>
      <c r="E146" s="94">
        <v>10</v>
      </c>
      <c r="F146" s="74">
        <v>100</v>
      </c>
      <c r="G146" s="45">
        <f t="shared" si="13"/>
        <v>1000</v>
      </c>
      <c r="H146" s="119" t="s">
        <v>27</v>
      </c>
      <c r="I146" s="128">
        <v>45280</v>
      </c>
      <c r="J146" s="74">
        <v>100</v>
      </c>
      <c r="K146" s="74">
        <v>2</v>
      </c>
      <c r="L146" s="156">
        <v>45285</v>
      </c>
      <c r="M146" s="90">
        <v>1000</v>
      </c>
      <c r="N146" s="90">
        <v>10</v>
      </c>
      <c r="O146" s="90" t="s">
        <v>1637</v>
      </c>
      <c r="P146" s="94" t="s">
        <v>28</v>
      </c>
      <c r="Q146" s="94">
        <v>8500064951</v>
      </c>
      <c r="R146" s="94">
        <v>5001354087</v>
      </c>
      <c r="S146" s="74">
        <v>100</v>
      </c>
      <c r="T146" s="90" t="s">
        <v>1558</v>
      </c>
      <c r="U146" s="90">
        <v>8500064950</v>
      </c>
      <c r="V146" s="90">
        <v>5001377423</v>
      </c>
      <c r="W146" s="109">
        <v>45304</v>
      </c>
      <c r="X146" s="106">
        <v>100</v>
      </c>
      <c r="Y146" s="106">
        <v>1000</v>
      </c>
      <c r="Z146" s="106" t="s">
        <v>800</v>
      </c>
      <c r="AA146" s="106">
        <f t="shared" si="11"/>
        <v>0</v>
      </c>
      <c r="AB146" s="106">
        <f t="shared" si="12"/>
        <v>0</v>
      </c>
      <c r="AC146" s="94"/>
      <c r="AD146" s="94"/>
      <c r="AE146" s="110"/>
      <c r="AF146" s="110"/>
      <c r="AG146" s="110"/>
      <c r="AH146" s="99"/>
    </row>
    <row r="147" spans="1:34" ht="26.25" customHeight="1">
      <c r="A147" s="83"/>
      <c r="B147" s="88"/>
      <c r="C147" s="44"/>
      <c r="D147" s="95"/>
      <c r="E147" s="94">
        <v>10</v>
      </c>
      <c r="F147" s="74">
        <v>100</v>
      </c>
      <c r="G147" s="45">
        <f t="shared" si="13"/>
        <v>1000</v>
      </c>
      <c r="H147" s="119" t="s">
        <v>46</v>
      </c>
      <c r="I147" s="128">
        <v>45280</v>
      </c>
      <c r="J147" s="74">
        <v>100</v>
      </c>
      <c r="K147" s="74">
        <v>2</v>
      </c>
      <c r="L147" s="156">
        <v>45285</v>
      </c>
      <c r="M147" s="90">
        <v>1000</v>
      </c>
      <c r="N147" s="90">
        <v>10</v>
      </c>
      <c r="O147" s="90" t="s">
        <v>1348</v>
      </c>
      <c r="P147" s="94" t="s">
        <v>28</v>
      </c>
      <c r="Q147" s="94">
        <v>8500064951</v>
      </c>
      <c r="R147" s="94">
        <v>5001354087</v>
      </c>
      <c r="S147" s="74">
        <v>100</v>
      </c>
      <c r="T147" s="90" t="s">
        <v>1558</v>
      </c>
      <c r="U147" s="90">
        <v>8500064950</v>
      </c>
      <c r="V147" s="90">
        <v>5001377423</v>
      </c>
      <c r="W147" s="109">
        <v>45308</v>
      </c>
      <c r="X147" s="106">
        <v>100</v>
      </c>
      <c r="Y147" s="106">
        <v>1000</v>
      </c>
      <c r="Z147" s="106" t="s">
        <v>800</v>
      </c>
      <c r="AA147" s="106">
        <f t="shared" si="11"/>
        <v>0</v>
      </c>
      <c r="AB147" s="106">
        <f t="shared" si="12"/>
        <v>0</v>
      </c>
      <c r="AC147" s="94"/>
      <c r="AD147" s="94"/>
      <c r="AE147" s="110"/>
      <c r="AF147" s="110"/>
      <c r="AG147" s="110"/>
      <c r="AH147" s="99"/>
    </row>
    <row r="148" spans="1:34" ht="26.25" customHeight="1">
      <c r="A148" s="83"/>
      <c r="B148" s="88"/>
      <c r="C148" s="44"/>
      <c r="D148" s="113"/>
      <c r="E148" s="94">
        <v>10</v>
      </c>
      <c r="F148" s="74">
        <v>100</v>
      </c>
      <c r="G148" s="45">
        <f t="shared" si="13"/>
        <v>1000</v>
      </c>
      <c r="H148" s="119" t="s">
        <v>37</v>
      </c>
      <c r="I148" s="128">
        <v>45280</v>
      </c>
      <c r="J148" s="74">
        <v>100</v>
      </c>
      <c r="K148" s="74">
        <v>2</v>
      </c>
      <c r="L148" s="156">
        <v>45285</v>
      </c>
      <c r="M148" s="90">
        <v>1000</v>
      </c>
      <c r="N148" s="90">
        <v>10</v>
      </c>
      <c r="O148" s="90" t="s">
        <v>1348</v>
      </c>
      <c r="P148" s="94" t="s">
        <v>28</v>
      </c>
      <c r="Q148" s="94">
        <v>8500064951</v>
      </c>
      <c r="R148" s="94">
        <v>5001354087</v>
      </c>
      <c r="S148" s="74">
        <v>100</v>
      </c>
      <c r="T148" s="90" t="s">
        <v>1558</v>
      </c>
      <c r="U148" s="90">
        <v>8500064950</v>
      </c>
      <c r="V148" s="90">
        <v>5001377423</v>
      </c>
      <c r="W148" s="109">
        <v>45307</v>
      </c>
      <c r="X148" s="106">
        <v>100</v>
      </c>
      <c r="Y148" s="106">
        <v>1000</v>
      </c>
      <c r="Z148" s="106" t="s">
        <v>800</v>
      </c>
      <c r="AA148" s="106">
        <f t="shared" si="11"/>
        <v>0</v>
      </c>
      <c r="AB148" s="106">
        <f t="shared" si="12"/>
        <v>0</v>
      </c>
      <c r="AC148" s="94"/>
      <c r="AD148" s="94"/>
      <c r="AE148" s="110"/>
      <c r="AF148" s="110"/>
      <c r="AG148" s="110"/>
      <c r="AH148" s="99"/>
    </row>
    <row r="149" spans="1:34" ht="26.25" customHeight="1">
      <c r="A149" s="83" t="s">
        <v>715</v>
      </c>
      <c r="B149" s="88">
        <v>6000027045</v>
      </c>
      <c r="C149" s="2" t="s">
        <v>1499</v>
      </c>
      <c r="D149" s="2">
        <v>6000027045</v>
      </c>
      <c r="E149" s="94">
        <v>10</v>
      </c>
      <c r="F149" s="74">
        <v>2380</v>
      </c>
      <c r="G149" s="45">
        <f t="shared" si="13"/>
        <v>23800</v>
      </c>
      <c r="H149" s="119" t="s">
        <v>37</v>
      </c>
      <c r="I149" s="128">
        <v>45276</v>
      </c>
      <c r="J149" s="158">
        <v>2380</v>
      </c>
      <c r="K149" s="74">
        <v>10</v>
      </c>
      <c r="L149" s="156">
        <v>45279</v>
      </c>
      <c r="M149" s="90">
        <v>23800</v>
      </c>
      <c r="N149" s="90">
        <v>238</v>
      </c>
      <c r="O149" s="90"/>
      <c r="P149" s="94" t="s">
        <v>924</v>
      </c>
      <c r="Q149" s="94">
        <v>8500064850</v>
      </c>
      <c r="R149" s="94">
        <v>5001345457</v>
      </c>
      <c r="S149" s="158">
        <v>2380</v>
      </c>
      <c r="T149" s="90" t="s">
        <v>87</v>
      </c>
      <c r="U149" s="90">
        <v>8500064849</v>
      </c>
      <c r="V149" s="90">
        <v>5001349403</v>
      </c>
      <c r="W149" s="109">
        <v>45279</v>
      </c>
      <c r="X149" s="106">
        <v>2380</v>
      </c>
      <c r="Y149" s="106">
        <v>23800</v>
      </c>
      <c r="Z149" s="106" t="s">
        <v>35</v>
      </c>
      <c r="AA149" s="106">
        <f t="shared" si="11"/>
        <v>0</v>
      </c>
      <c r="AB149" s="106">
        <f t="shared" si="12"/>
        <v>0</v>
      </c>
      <c r="AC149" s="94"/>
      <c r="AD149" s="94"/>
      <c r="AE149" s="110"/>
      <c r="AF149" s="110"/>
      <c r="AG149" s="110"/>
      <c r="AH149" s="99"/>
    </row>
    <row r="150" spans="1:34" ht="26.25" customHeight="1">
      <c r="A150" s="83"/>
      <c r="B150" s="88"/>
      <c r="C150" s="2"/>
      <c r="D150" s="2"/>
      <c r="E150" s="94"/>
      <c r="F150" s="74"/>
      <c r="G150" s="45"/>
      <c r="H150" s="119" t="s">
        <v>1506</v>
      </c>
      <c r="I150" s="128"/>
      <c r="J150" s="158"/>
      <c r="K150" s="158">
        <v>2380</v>
      </c>
      <c r="L150" s="156"/>
      <c r="M150" s="90"/>
      <c r="N150" s="90"/>
      <c r="O150" s="90"/>
      <c r="P150" s="94"/>
      <c r="Q150" s="94"/>
      <c r="R150" s="94"/>
      <c r="S150" s="94"/>
      <c r="T150" s="90"/>
      <c r="U150" s="90"/>
      <c r="V150" s="90"/>
      <c r="W150" s="105"/>
      <c r="X150" s="106"/>
      <c r="Y150" s="106"/>
      <c r="Z150" s="106"/>
      <c r="AA150" s="106">
        <f t="shared" si="11"/>
        <v>0</v>
      </c>
      <c r="AB150" s="106">
        <f t="shared" si="12"/>
        <v>0</v>
      </c>
      <c r="AC150" s="94"/>
      <c r="AD150" s="94"/>
      <c r="AE150" s="110"/>
      <c r="AF150" s="110"/>
      <c r="AG150" s="110"/>
      <c r="AH150" s="99"/>
    </row>
    <row r="151" spans="1:34" ht="26.25" customHeight="1">
      <c r="A151" s="83" t="s">
        <v>715</v>
      </c>
      <c r="B151" s="88">
        <v>6000027046</v>
      </c>
      <c r="C151" s="2" t="s">
        <v>1499</v>
      </c>
      <c r="D151" s="2">
        <v>6000027046</v>
      </c>
      <c r="E151" s="94">
        <v>10</v>
      </c>
      <c r="F151" s="74">
        <v>416</v>
      </c>
      <c r="G151" s="45">
        <f t="shared" si="13"/>
        <v>4160</v>
      </c>
      <c r="H151" s="119" t="s">
        <v>46</v>
      </c>
      <c r="I151" s="128">
        <v>45276</v>
      </c>
      <c r="J151" s="74">
        <v>416</v>
      </c>
      <c r="K151" s="74">
        <v>4</v>
      </c>
      <c r="L151" s="156">
        <v>45278</v>
      </c>
      <c r="M151" s="90">
        <v>4160</v>
      </c>
      <c r="N151" s="90">
        <v>42</v>
      </c>
      <c r="O151" s="90" t="s">
        <v>1580</v>
      </c>
      <c r="P151" s="94" t="s">
        <v>924</v>
      </c>
      <c r="Q151" s="94">
        <v>8500064848</v>
      </c>
      <c r="R151" s="94">
        <v>5001345471</v>
      </c>
      <c r="S151" s="74">
        <v>416</v>
      </c>
      <c r="T151" s="90" t="s">
        <v>87</v>
      </c>
      <c r="U151" s="90">
        <v>8500064847</v>
      </c>
      <c r="V151" s="90">
        <v>5001349369</v>
      </c>
      <c r="W151" s="109">
        <v>45289</v>
      </c>
      <c r="X151" s="106">
        <v>416</v>
      </c>
      <c r="Y151" s="106">
        <v>4160</v>
      </c>
      <c r="Z151" s="106" t="s">
        <v>2324</v>
      </c>
      <c r="AA151" s="106">
        <f t="shared" si="11"/>
        <v>0</v>
      </c>
      <c r="AB151" s="106">
        <f t="shared" si="12"/>
        <v>0</v>
      </c>
      <c r="AC151" s="94"/>
      <c r="AD151" s="94"/>
      <c r="AE151" s="110"/>
      <c r="AF151" s="110"/>
      <c r="AG151" s="110"/>
      <c r="AH151" s="99"/>
    </row>
    <row r="152" spans="1:34" ht="26.25" customHeight="1">
      <c r="A152" s="83"/>
      <c r="B152" s="88"/>
      <c r="C152" s="44"/>
      <c r="D152" s="44"/>
      <c r="E152" s="94">
        <v>10</v>
      </c>
      <c r="F152" s="74">
        <v>524</v>
      </c>
      <c r="G152" s="45">
        <f t="shared" si="13"/>
        <v>5240</v>
      </c>
      <c r="H152" s="119" t="s">
        <v>37</v>
      </c>
      <c r="I152" s="128">
        <v>45276</v>
      </c>
      <c r="J152" s="74">
        <v>524</v>
      </c>
      <c r="K152" s="74">
        <v>16</v>
      </c>
      <c r="L152" s="156">
        <v>45279</v>
      </c>
      <c r="M152" s="90">
        <v>5240</v>
      </c>
      <c r="N152" s="90">
        <v>52</v>
      </c>
      <c r="O152" s="90"/>
      <c r="P152" s="94" t="s">
        <v>924</v>
      </c>
      <c r="Q152" s="94">
        <v>8500064848</v>
      </c>
      <c r="R152" s="94">
        <v>5001345471</v>
      </c>
      <c r="S152" s="74">
        <v>524</v>
      </c>
      <c r="T152" s="90" t="s">
        <v>87</v>
      </c>
      <c r="U152" s="90">
        <v>8500064847</v>
      </c>
      <c r="V152" s="90">
        <v>5001349423</v>
      </c>
      <c r="W152" s="109">
        <v>45280</v>
      </c>
      <c r="X152" s="106">
        <v>524</v>
      </c>
      <c r="Y152" s="106">
        <v>5240</v>
      </c>
      <c r="Z152" s="106" t="s">
        <v>35</v>
      </c>
      <c r="AA152" s="106">
        <f t="shared" si="11"/>
        <v>0</v>
      </c>
      <c r="AB152" s="106">
        <f t="shared" si="12"/>
        <v>0</v>
      </c>
      <c r="AC152" s="94"/>
      <c r="AD152" s="94"/>
      <c r="AE152" s="110"/>
      <c r="AF152" s="110"/>
      <c r="AG152" s="110"/>
      <c r="AH152" s="99"/>
    </row>
    <row r="153" spans="1:34" ht="26.25" customHeight="1">
      <c r="A153" s="83"/>
      <c r="B153" s="88"/>
      <c r="C153" s="92"/>
      <c r="D153" s="95"/>
      <c r="E153" s="94">
        <v>10</v>
      </c>
      <c r="F153" s="74">
        <v>1440</v>
      </c>
      <c r="G153" s="45">
        <f t="shared" si="13"/>
        <v>14400</v>
      </c>
      <c r="H153" s="119" t="s">
        <v>146</v>
      </c>
      <c r="I153" s="128">
        <v>45276</v>
      </c>
      <c r="J153" s="74">
        <v>1440</v>
      </c>
      <c r="K153" s="74">
        <v>20</v>
      </c>
      <c r="L153" s="156">
        <v>45279</v>
      </c>
      <c r="M153" s="90">
        <v>14400</v>
      </c>
      <c r="N153" s="90">
        <v>144</v>
      </c>
      <c r="O153" s="90"/>
      <c r="P153" s="94" t="s">
        <v>924</v>
      </c>
      <c r="Q153" s="94">
        <v>8500064848</v>
      </c>
      <c r="R153" s="94">
        <v>5001345471</v>
      </c>
      <c r="S153" s="74">
        <v>1440</v>
      </c>
      <c r="T153" s="90" t="s">
        <v>87</v>
      </c>
      <c r="U153" s="90">
        <v>8500064847</v>
      </c>
      <c r="V153" s="90">
        <v>5001349423</v>
      </c>
      <c r="W153" s="109" t="s">
        <v>2519</v>
      </c>
      <c r="X153" s="106">
        <f>500+940</f>
        <v>1440</v>
      </c>
      <c r="Y153" s="106">
        <f>5000+9400</f>
        <v>14400</v>
      </c>
      <c r="Z153" s="106" t="s">
        <v>2520</v>
      </c>
      <c r="AA153" s="106">
        <f t="shared" si="11"/>
        <v>0</v>
      </c>
      <c r="AB153" s="106">
        <f t="shared" si="12"/>
        <v>0</v>
      </c>
      <c r="AC153" s="94"/>
      <c r="AD153" s="94"/>
      <c r="AE153" s="110"/>
      <c r="AF153" s="110"/>
      <c r="AG153" s="110"/>
      <c r="AH153" s="99"/>
    </row>
    <row r="154" spans="1:34" ht="26.25" customHeight="1">
      <c r="A154" s="83"/>
      <c r="B154" s="88"/>
      <c r="C154" s="44"/>
      <c r="D154" s="44"/>
      <c r="E154" s="94"/>
      <c r="F154" s="74"/>
      <c r="G154" s="45">
        <f t="shared" si="13"/>
        <v>0</v>
      </c>
      <c r="H154" s="119" t="s">
        <v>2234</v>
      </c>
      <c r="I154" s="128" t="s">
        <v>2270</v>
      </c>
      <c r="J154" s="158"/>
      <c r="K154" s="158">
        <f>920+1460+40</f>
        <v>2420</v>
      </c>
      <c r="L154" s="156"/>
      <c r="M154" s="90"/>
      <c r="N154" s="90"/>
      <c r="O154" s="90"/>
      <c r="P154" s="94"/>
      <c r="Q154" s="94"/>
      <c r="R154" s="94"/>
      <c r="S154" s="94"/>
      <c r="T154" s="90"/>
      <c r="U154" s="90"/>
      <c r="V154" s="90"/>
      <c r="W154" s="105"/>
      <c r="X154" s="106"/>
      <c r="Y154" s="106"/>
      <c r="Z154" s="106"/>
      <c r="AA154" s="106">
        <f t="shared" si="11"/>
        <v>0</v>
      </c>
      <c r="AB154" s="106">
        <f t="shared" si="12"/>
        <v>0</v>
      </c>
      <c r="AC154" s="94"/>
      <c r="AD154" s="94"/>
      <c r="AE154" s="110"/>
      <c r="AF154" s="110"/>
      <c r="AG154" s="110"/>
      <c r="AH154" s="99"/>
    </row>
    <row r="155" spans="1:34" ht="26.25" customHeight="1">
      <c r="A155" s="83" t="s">
        <v>178</v>
      </c>
      <c r="B155" s="88">
        <v>6000027327</v>
      </c>
      <c r="C155" s="2" t="s">
        <v>843</v>
      </c>
      <c r="D155" s="2">
        <v>4924015006</v>
      </c>
      <c r="E155" s="94">
        <v>4</v>
      </c>
      <c r="F155" s="74">
        <v>2300</v>
      </c>
      <c r="G155" s="45">
        <f t="shared" si="13"/>
        <v>9200</v>
      </c>
      <c r="H155" s="119" t="s">
        <v>46</v>
      </c>
      <c r="I155" s="128">
        <v>45279</v>
      </c>
      <c r="J155" s="158">
        <v>2300</v>
      </c>
      <c r="K155" s="74">
        <v>23</v>
      </c>
      <c r="L155" s="156">
        <v>45287</v>
      </c>
      <c r="M155" s="90">
        <v>9200</v>
      </c>
      <c r="N155" s="90">
        <v>92</v>
      </c>
      <c r="O155" s="90"/>
      <c r="P155" s="94" t="s">
        <v>1558</v>
      </c>
      <c r="Q155" s="94">
        <v>8500065516</v>
      </c>
      <c r="R155" s="94">
        <v>5001350315</v>
      </c>
      <c r="S155" s="158">
        <v>2300</v>
      </c>
      <c r="T155" s="90" t="s">
        <v>87</v>
      </c>
      <c r="U155" s="90">
        <v>8500065515</v>
      </c>
      <c r="V155" s="90">
        <v>5001384530</v>
      </c>
      <c r="W155" s="109">
        <v>48575</v>
      </c>
      <c r="X155" s="106">
        <v>2300</v>
      </c>
      <c r="Y155" s="106">
        <v>9200</v>
      </c>
      <c r="Z155" s="106" t="s">
        <v>1460</v>
      </c>
      <c r="AA155" s="106">
        <f t="shared" si="11"/>
        <v>0</v>
      </c>
      <c r="AB155" s="106">
        <f t="shared" si="12"/>
        <v>0</v>
      </c>
      <c r="AC155" s="94"/>
      <c r="AD155" s="94"/>
      <c r="AE155" s="110"/>
      <c r="AF155" s="110"/>
      <c r="AG155" s="110"/>
      <c r="AH155" s="99"/>
    </row>
    <row r="156" spans="1:34" ht="26.25" customHeight="1">
      <c r="A156" s="83"/>
      <c r="B156" s="88"/>
      <c r="C156" s="2"/>
      <c r="D156" s="2"/>
      <c r="E156" s="94">
        <v>4</v>
      </c>
      <c r="F156" s="74">
        <v>2200</v>
      </c>
      <c r="G156" s="45">
        <f t="shared" si="13"/>
        <v>8800</v>
      </c>
      <c r="H156" s="119" t="s">
        <v>37</v>
      </c>
      <c r="I156" s="128">
        <v>45278</v>
      </c>
      <c r="J156" s="74">
        <v>2200</v>
      </c>
      <c r="K156" s="74">
        <v>22</v>
      </c>
      <c r="L156" s="156">
        <v>45287</v>
      </c>
      <c r="M156" s="90">
        <v>8800</v>
      </c>
      <c r="N156" s="90">
        <v>88</v>
      </c>
      <c r="O156" s="90"/>
      <c r="P156" s="94" t="s">
        <v>1558</v>
      </c>
      <c r="Q156" s="94">
        <v>8500065516</v>
      </c>
      <c r="R156" s="94">
        <v>5001349259</v>
      </c>
      <c r="S156" s="74">
        <v>2200</v>
      </c>
      <c r="T156" s="90" t="s">
        <v>87</v>
      </c>
      <c r="U156" s="90">
        <v>8500065515</v>
      </c>
      <c r="V156" s="90">
        <v>5001384530</v>
      </c>
      <c r="W156" s="109" t="s">
        <v>2465</v>
      </c>
      <c r="X156" s="106">
        <f>28+2172</f>
        <v>2200</v>
      </c>
      <c r="Y156" s="106">
        <f>112+8688</f>
        <v>8800</v>
      </c>
      <c r="Z156" s="106" t="s">
        <v>2466</v>
      </c>
      <c r="AA156" s="106">
        <f t="shared" si="11"/>
        <v>0</v>
      </c>
      <c r="AB156" s="106">
        <f t="shared" si="12"/>
        <v>0</v>
      </c>
      <c r="AC156" s="94"/>
      <c r="AD156" s="94"/>
      <c r="AE156" s="110"/>
      <c r="AF156" s="110"/>
      <c r="AG156" s="110"/>
      <c r="AH156" s="99"/>
    </row>
    <row r="157" spans="1:34" ht="60" customHeight="1">
      <c r="A157" s="83"/>
      <c r="B157" s="88"/>
      <c r="C157" s="2"/>
      <c r="D157" s="2"/>
      <c r="E157" s="94">
        <v>4</v>
      </c>
      <c r="F157" s="74">
        <v>2000</v>
      </c>
      <c r="G157" s="45">
        <f t="shared" si="13"/>
        <v>8000</v>
      </c>
      <c r="H157" s="119" t="s">
        <v>146</v>
      </c>
      <c r="I157" s="128">
        <v>45278</v>
      </c>
      <c r="J157" s="74">
        <v>2000</v>
      </c>
      <c r="K157" s="74">
        <v>20</v>
      </c>
      <c r="L157" s="156">
        <v>45288</v>
      </c>
      <c r="M157" s="90">
        <v>8000</v>
      </c>
      <c r="N157" s="90">
        <v>80</v>
      </c>
      <c r="O157" s="90" t="s">
        <v>1784</v>
      </c>
      <c r="P157" s="94" t="s">
        <v>1558</v>
      </c>
      <c r="Q157" s="94">
        <v>8500065516</v>
      </c>
      <c r="R157" s="94">
        <v>5001349259</v>
      </c>
      <c r="S157" s="74">
        <v>2000</v>
      </c>
      <c r="T157" s="90" t="s">
        <v>87</v>
      </c>
      <c r="U157" s="90">
        <v>8500065515</v>
      </c>
      <c r="V157" s="90">
        <v>5001389020</v>
      </c>
      <c r="W157" s="109">
        <v>45299</v>
      </c>
      <c r="X157" s="106">
        <f>81+1919</f>
        <v>2000</v>
      </c>
      <c r="Y157" s="106">
        <f>324+7676</f>
        <v>8000</v>
      </c>
      <c r="Z157" s="106" t="s">
        <v>2023</v>
      </c>
      <c r="AA157" s="106">
        <f t="shared" si="11"/>
        <v>0</v>
      </c>
      <c r="AB157" s="106">
        <f t="shared" si="12"/>
        <v>0</v>
      </c>
      <c r="AC157" s="111" t="s">
        <v>2882</v>
      </c>
      <c r="AD157" s="94"/>
      <c r="AE157" s="110"/>
      <c r="AF157" s="110"/>
      <c r="AG157" s="110"/>
      <c r="AH157" s="99"/>
    </row>
    <row r="158" spans="1:34" ht="26.25" customHeight="1">
      <c r="A158" s="83" t="s">
        <v>178</v>
      </c>
      <c r="B158" s="88">
        <v>6000027330</v>
      </c>
      <c r="C158" s="2" t="s">
        <v>843</v>
      </c>
      <c r="D158" s="2">
        <v>4924015007</v>
      </c>
      <c r="E158" s="94">
        <v>4</v>
      </c>
      <c r="F158" s="74">
        <v>2300</v>
      </c>
      <c r="G158" s="45">
        <f>F158*E158</f>
        <v>9200</v>
      </c>
      <c r="H158" s="119" t="s">
        <v>46</v>
      </c>
      <c r="I158" s="128">
        <v>45278</v>
      </c>
      <c r="J158" s="74">
        <v>2300</v>
      </c>
      <c r="K158" s="74">
        <v>23</v>
      </c>
      <c r="L158" s="156">
        <v>45287</v>
      </c>
      <c r="M158" s="90">
        <v>9200</v>
      </c>
      <c r="N158" s="90">
        <v>92</v>
      </c>
      <c r="O158" s="90"/>
      <c r="P158" s="94" t="s">
        <v>1558</v>
      </c>
      <c r="Q158" s="94">
        <v>8500065518</v>
      </c>
      <c r="R158" s="94">
        <v>5001349310</v>
      </c>
      <c r="S158" s="74">
        <v>2300</v>
      </c>
      <c r="T158" s="90" t="s">
        <v>87</v>
      </c>
      <c r="U158" s="90">
        <v>8500065517</v>
      </c>
      <c r="V158" s="90">
        <v>5001384539</v>
      </c>
      <c r="W158" s="109">
        <v>45288</v>
      </c>
      <c r="X158" s="106">
        <v>2300</v>
      </c>
      <c r="Y158" s="106">
        <v>9200</v>
      </c>
      <c r="Z158" s="106" t="s">
        <v>1460</v>
      </c>
      <c r="AA158" s="106">
        <f t="shared" si="11"/>
        <v>0</v>
      </c>
      <c r="AB158" s="106">
        <f t="shared" si="12"/>
        <v>0</v>
      </c>
      <c r="AC158" s="94"/>
      <c r="AD158" s="94"/>
      <c r="AE158" s="110"/>
      <c r="AF158" s="110"/>
      <c r="AG158" s="110"/>
      <c r="AH158" s="99"/>
    </row>
    <row r="159" spans="1:34" ht="40.5" customHeight="1">
      <c r="A159" s="83"/>
      <c r="B159" s="88"/>
      <c r="C159" s="2"/>
      <c r="D159" s="2"/>
      <c r="E159" s="94">
        <v>4</v>
      </c>
      <c r="F159" s="74">
        <v>2200</v>
      </c>
      <c r="G159" s="45">
        <f>F159*E159</f>
        <v>8800</v>
      </c>
      <c r="H159" s="119" t="s">
        <v>37</v>
      </c>
      <c r="I159" s="128">
        <v>45279</v>
      </c>
      <c r="J159" s="74">
        <v>2200</v>
      </c>
      <c r="K159" s="74">
        <v>22</v>
      </c>
      <c r="L159" s="156">
        <v>45288</v>
      </c>
      <c r="M159" s="90">
        <v>8800</v>
      </c>
      <c r="N159" s="90">
        <v>88</v>
      </c>
      <c r="O159" s="90" t="s">
        <v>1791</v>
      </c>
      <c r="P159" s="94" t="s">
        <v>1558</v>
      </c>
      <c r="Q159" s="94">
        <v>8500065518</v>
      </c>
      <c r="R159" s="94">
        <v>5001350314</v>
      </c>
      <c r="S159" s="74">
        <v>2200</v>
      </c>
      <c r="T159" s="90" t="s">
        <v>87</v>
      </c>
      <c r="U159" s="90">
        <v>8500065517</v>
      </c>
      <c r="V159" s="90">
        <v>5001388999</v>
      </c>
      <c r="W159" s="109" t="s">
        <v>2506</v>
      </c>
      <c r="X159" s="106">
        <f>2000+200</f>
        <v>2200</v>
      </c>
      <c r="Y159" s="106">
        <f>8000+800</f>
        <v>8800</v>
      </c>
      <c r="Z159" s="106" t="s">
        <v>2507</v>
      </c>
      <c r="AA159" s="106">
        <f t="shared" si="11"/>
        <v>0</v>
      </c>
      <c r="AB159" s="106">
        <f t="shared" si="12"/>
        <v>0</v>
      </c>
      <c r="AC159" s="94"/>
      <c r="AD159" s="94"/>
      <c r="AE159" s="110"/>
      <c r="AF159" s="110"/>
      <c r="AG159" s="110"/>
      <c r="AH159" s="99"/>
    </row>
    <row r="160" spans="1:34" ht="54" customHeight="1">
      <c r="A160" s="83"/>
      <c r="B160" s="88"/>
      <c r="C160" s="2"/>
      <c r="D160" s="2"/>
      <c r="E160" s="94">
        <v>4</v>
      </c>
      <c r="F160" s="74">
        <v>2000</v>
      </c>
      <c r="G160" s="45">
        <f>F160*E160</f>
        <v>8000</v>
      </c>
      <c r="H160" s="119" t="s">
        <v>146</v>
      </c>
      <c r="I160" s="128">
        <v>45278</v>
      </c>
      <c r="J160" s="74">
        <v>2000</v>
      </c>
      <c r="K160" s="74">
        <v>20</v>
      </c>
      <c r="L160" s="156">
        <v>45288</v>
      </c>
      <c r="M160" s="90">
        <v>8000</v>
      </c>
      <c r="N160" s="90">
        <v>80</v>
      </c>
      <c r="O160" s="90" t="s">
        <v>1791</v>
      </c>
      <c r="P160" s="94" t="s">
        <v>1558</v>
      </c>
      <c r="Q160" s="94">
        <v>8500065518</v>
      </c>
      <c r="R160" s="94">
        <v>5001349310</v>
      </c>
      <c r="S160" s="74">
        <v>2000</v>
      </c>
      <c r="T160" s="90" t="s">
        <v>87</v>
      </c>
      <c r="U160" s="90">
        <v>8500065517</v>
      </c>
      <c r="V160" s="90">
        <v>5001388999</v>
      </c>
      <c r="W160" s="109" t="s">
        <v>2515</v>
      </c>
      <c r="X160" s="106">
        <f>1000+400+600</f>
        <v>2000</v>
      </c>
      <c r="Y160" s="106">
        <f>4000+1600+2400</f>
        <v>8000</v>
      </c>
      <c r="Z160" s="106" t="s">
        <v>2516</v>
      </c>
      <c r="AA160" s="106">
        <f t="shared" si="11"/>
        <v>0</v>
      </c>
      <c r="AB160" s="106">
        <f t="shared" si="12"/>
        <v>0</v>
      </c>
      <c r="AC160" s="111" t="s">
        <v>2883</v>
      </c>
      <c r="AD160" s="94"/>
      <c r="AE160" s="110"/>
      <c r="AF160" s="110"/>
      <c r="AG160" s="110"/>
      <c r="AH160" s="99"/>
    </row>
    <row r="161" spans="1:34" ht="58.5" customHeight="1">
      <c r="A161" s="83" t="s">
        <v>178</v>
      </c>
      <c r="B161" s="88">
        <v>6000027333</v>
      </c>
      <c r="C161" s="2" t="s">
        <v>842</v>
      </c>
      <c r="D161" s="2">
        <v>4924015008</v>
      </c>
      <c r="E161" s="94">
        <v>4</v>
      </c>
      <c r="F161" s="74">
        <v>1200</v>
      </c>
      <c r="G161" s="45">
        <f t="shared" si="13"/>
        <v>4800</v>
      </c>
      <c r="H161" s="119" t="s">
        <v>46</v>
      </c>
      <c r="I161" s="128">
        <v>45279</v>
      </c>
      <c r="J161" s="158">
        <v>1200</v>
      </c>
      <c r="K161" s="74">
        <v>12</v>
      </c>
      <c r="L161" s="156">
        <v>45286</v>
      </c>
      <c r="M161" s="90">
        <v>4800</v>
      </c>
      <c r="N161" s="90">
        <v>48</v>
      </c>
      <c r="O161" s="90" t="s">
        <v>1567</v>
      </c>
      <c r="P161" s="94" t="s">
        <v>1558</v>
      </c>
      <c r="Q161" s="94">
        <v>8500065522</v>
      </c>
      <c r="R161" s="94">
        <v>5001350316</v>
      </c>
      <c r="S161" s="158">
        <v>1200</v>
      </c>
      <c r="T161" s="90" t="s">
        <v>87</v>
      </c>
      <c r="U161" s="90">
        <v>8500065519</v>
      </c>
      <c r="V161" s="90">
        <v>5001377196</v>
      </c>
      <c r="W161" s="109" t="s">
        <v>2442</v>
      </c>
      <c r="X161" s="106">
        <f>38+500+126+536</f>
        <v>1200</v>
      </c>
      <c r="Y161" s="106">
        <f>152+2000+504+2144</f>
        <v>4800</v>
      </c>
      <c r="Z161" s="106" t="s">
        <v>2443</v>
      </c>
      <c r="AA161" s="106">
        <f t="shared" si="11"/>
        <v>0</v>
      </c>
      <c r="AB161" s="106">
        <f t="shared" si="12"/>
        <v>0</v>
      </c>
      <c r="AC161" s="94"/>
      <c r="AD161" s="94"/>
      <c r="AE161" s="110"/>
      <c r="AF161" s="110"/>
      <c r="AG161" s="110"/>
      <c r="AH161" s="99"/>
    </row>
    <row r="162" spans="1:34" ht="26.25" customHeight="1">
      <c r="A162" s="83"/>
      <c r="B162" s="88"/>
      <c r="C162" s="2"/>
      <c r="D162" s="2"/>
      <c r="E162" s="94">
        <v>4</v>
      </c>
      <c r="F162" s="74">
        <v>2200</v>
      </c>
      <c r="G162" s="45">
        <f t="shared" si="13"/>
        <v>8800</v>
      </c>
      <c r="H162" s="119" t="s">
        <v>37</v>
      </c>
      <c r="I162" s="128">
        <v>45278</v>
      </c>
      <c r="J162" s="74">
        <v>2200</v>
      </c>
      <c r="K162" s="74">
        <v>22</v>
      </c>
      <c r="L162" s="156">
        <v>45286</v>
      </c>
      <c r="M162" s="90">
        <v>8800</v>
      </c>
      <c r="N162" s="90">
        <v>88</v>
      </c>
      <c r="O162" s="90" t="s">
        <v>1784</v>
      </c>
      <c r="P162" s="94" t="s">
        <v>1558</v>
      </c>
      <c r="Q162" s="94">
        <v>8500065520</v>
      </c>
      <c r="R162" s="94">
        <v>5001349258</v>
      </c>
      <c r="S162" s="74">
        <v>2200</v>
      </c>
      <c r="T162" s="90" t="s">
        <v>87</v>
      </c>
      <c r="U162" s="90">
        <v>8500065519</v>
      </c>
      <c r="V162" s="90">
        <v>5001377196</v>
      </c>
      <c r="W162" s="109" t="s">
        <v>2458</v>
      </c>
      <c r="X162" s="106">
        <f>300+1900</f>
        <v>2200</v>
      </c>
      <c r="Y162" s="106">
        <f>1200+7600</f>
        <v>8800</v>
      </c>
      <c r="Z162" s="106" t="s">
        <v>2460</v>
      </c>
      <c r="AA162" s="106">
        <f t="shared" si="11"/>
        <v>0</v>
      </c>
      <c r="AB162" s="106">
        <f t="shared" si="12"/>
        <v>0</v>
      </c>
      <c r="AC162" s="94"/>
      <c r="AD162" s="94"/>
      <c r="AE162" s="110"/>
      <c r="AF162" s="110"/>
      <c r="AG162" s="110"/>
      <c r="AH162" s="99"/>
    </row>
    <row r="163" spans="1:34" ht="26.25" customHeight="1">
      <c r="A163" s="83"/>
      <c r="B163" s="88"/>
      <c r="C163" s="2"/>
      <c r="D163" s="2"/>
      <c r="E163" s="94">
        <v>4</v>
      </c>
      <c r="F163" s="74">
        <v>2900</v>
      </c>
      <c r="G163" s="45">
        <f t="shared" si="13"/>
        <v>11600</v>
      </c>
      <c r="H163" s="119" t="s">
        <v>146</v>
      </c>
      <c r="I163" s="128">
        <v>45278</v>
      </c>
      <c r="J163" s="74">
        <v>2900</v>
      </c>
      <c r="K163" s="74">
        <v>29</v>
      </c>
      <c r="L163" s="156">
        <v>45286</v>
      </c>
      <c r="M163" s="90">
        <v>11600</v>
      </c>
      <c r="N163" s="90">
        <v>116</v>
      </c>
      <c r="O163" s="90" t="s">
        <v>2292</v>
      </c>
      <c r="P163" s="94" t="s">
        <v>1558</v>
      </c>
      <c r="Q163" s="94">
        <v>8500065520</v>
      </c>
      <c r="R163" s="94">
        <v>5001349258</v>
      </c>
      <c r="S163" s="74">
        <v>2900</v>
      </c>
      <c r="T163" s="90" t="s">
        <v>87</v>
      </c>
      <c r="U163" s="90">
        <v>8500065519</v>
      </c>
      <c r="V163" s="90">
        <v>5001377196</v>
      </c>
      <c r="W163" s="109" t="s">
        <v>2454</v>
      </c>
      <c r="X163" s="106">
        <f>500+2400</f>
        <v>2900</v>
      </c>
      <c r="Y163" s="106">
        <f>2000+9600</f>
        <v>11600</v>
      </c>
      <c r="Z163" s="106" t="s">
        <v>2457</v>
      </c>
      <c r="AA163" s="106">
        <f t="shared" si="11"/>
        <v>0</v>
      </c>
      <c r="AB163" s="106">
        <f t="shared" si="12"/>
        <v>0</v>
      </c>
      <c r="AC163" s="94"/>
      <c r="AD163" s="94"/>
      <c r="AE163" s="110"/>
      <c r="AF163" s="110"/>
      <c r="AG163" s="110"/>
      <c r="AH163" s="99"/>
    </row>
    <row r="164" spans="1:34" ht="26.25" customHeight="1">
      <c r="A164" s="83" t="s">
        <v>692</v>
      </c>
      <c r="B164" s="88">
        <v>6000027623</v>
      </c>
      <c r="C164" s="2" t="s">
        <v>2193</v>
      </c>
      <c r="D164" s="2">
        <v>401171930</v>
      </c>
      <c r="E164" s="94">
        <v>20</v>
      </c>
      <c r="F164" s="74">
        <v>710</v>
      </c>
      <c r="G164" s="45">
        <f t="shared" si="13"/>
        <v>14200</v>
      </c>
      <c r="H164" s="119" t="s">
        <v>27</v>
      </c>
      <c r="I164" s="128">
        <v>45294</v>
      </c>
      <c r="J164" s="74">
        <v>710</v>
      </c>
      <c r="K164" s="74">
        <f>9+1</f>
        <v>10</v>
      </c>
      <c r="L164" s="156">
        <v>45297</v>
      </c>
      <c r="M164" s="90">
        <v>14200</v>
      </c>
      <c r="N164" s="90">
        <v>142</v>
      </c>
      <c r="O164" s="90"/>
      <c r="P164" s="94" t="s">
        <v>160</v>
      </c>
      <c r="Q164" s="94">
        <v>8500065782</v>
      </c>
      <c r="R164" s="94">
        <v>5000012498</v>
      </c>
      <c r="S164" s="74">
        <v>710</v>
      </c>
      <c r="T164" s="90" t="s">
        <v>1558</v>
      </c>
      <c r="U164" s="90">
        <v>8500065781</v>
      </c>
      <c r="V164" s="90">
        <v>5000029454</v>
      </c>
      <c r="W164" s="109">
        <v>45310</v>
      </c>
      <c r="X164" s="106">
        <v>710</v>
      </c>
      <c r="Y164" s="106">
        <v>14200</v>
      </c>
      <c r="Z164" s="106" t="s">
        <v>727</v>
      </c>
      <c r="AA164" s="106">
        <f t="shared" si="11"/>
        <v>0</v>
      </c>
      <c r="AB164" s="106">
        <f t="shared" si="12"/>
        <v>0</v>
      </c>
      <c r="AC164" s="94"/>
      <c r="AD164" s="94"/>
      <c r="AE164" s="110"/>
      <c r="AF164" s="110"/>
      <c r="AG164" s="110"/>
      <c r="AH164" s="99"/>
    </row>
    <row r="165" spans="1:34" ht="26.25" customHeight="1">
      <c r="A165" s="83"/>
      <c r="C165" s="2"/>
      <c r="D165" s="2"/>
      <c r="E165" s="94">
        <v>20</v>
      </c>
      <c r="F165" s="74">
        <v>1000</v>
      </c>
      <c r="G165" s="45">
        <f t="shared" si="13"/>
        <v>20000</v>
      </c>
      <c r="H165" s="119" t="s">
        <v>46</v>
      </c>
      <c r="I165" s="128">
        <v>45294</v>
      </c>
      <c r="J165" s="74">
        <v>1000</v>
      </c>
      <c r="K165" s="74">
        <v>12</v>
      </c>
      <c r="L165" s="156">
        <v>45297</v>
      </c>
      <c r="M165" s="90">
        <v>20000</v>
      </c>
      <c r="N165" s="90">
        <v>200</v>
      </c>
      <c r="O165" s="90"/>
      <c r="P165" s="94" t="s">
        <v>160</v>
      </c>
      <c r="Q165" s="94">
        <v>8500065782</v>
      </c>
      <c r="R165" s="94">
        <v>5000012498</v>
      </c>
      <c r="S165" s="74">
        <v>1000</v>
      </c>
      <c r="T165" s="90" t="s">
        <v>1558</v>
      </c>
      <c r="U165" s="90">
        <v>8500065781</v>
      </c>
      <c r="V165" s="90">
        <v>5000029454</v>
      </c>
      <c r="W165" s="109">
        <v>45300</v>
      </c>
      <c r="X165" s="106">
        <v>1000</v>
      </c>
      <c r="Y165" s="106">
        <v>20000</v>
      </c>
      <c r="Z165" s="106" t="s">
        <v>755</v>
      </c>
      <c r="AA165" s="106">
        <f t="shared" si="11"/>
        <v>0</v>
      </c>
      <c r="AB165" s="106">
        <f t="shared" si="12"/>
        <v>0</v>
      </c>
      <c r="AC165" s="94"/>
      <c r="AD165" s="94"/>
      <c r="AE165" s="110"/>
      <c r="AF165" s="110"/>
      <c r="AG165" s="110"/>
      <c r="AH165" s="99"/>
    </row>
    <row r="166" spans="1:34" ht="26.25" customHeight="1">
      <c r="A166" s="83"/>
      <c r="B166" s="88"/>
      <c r="C166" s="2"/>
      <c r="D166" s="2"/>
      <c r="E166" s="94">
        <v>20</v>
      </c>
      <c r="F166" s="74">
        <v>700</v>
      </c>
      <c r="G166" s="45">
        <f t="shared" si="13"/>
        <v>14000</v>
      </c>
      <c r="H166" s="119" t="s">
        <v>37</v>
      </c>
      <c r="I166" s="128">
        <v>45294</v>
      </c>
      <c r="J166" s="74">
        <v>700</v>
      </c>
      <c r="K166" s="74">
        <v>10</v>
      </c>
      <c r="L166" s="156">
        <v>45297</v>
      </c>
      <c r="M166" s="90">
        <v>14000</v>
      </c>
      <c r="N166" s="90">
        <v>140</v>
      </c>
      <c r="O166" s="90"/>
      <c r="P166" s="94" t="s">
        <v>160</v>
      </c>
      <c r="Q166" s="94">
        <v>8500065782</v>
      </c>
      <c r="R166" s="94">
        <v>5000012498</v>
      </c>
      <c r="S166" s="74">
        <v>700</v>
      </c>
      <c r="T166" s="90" t="s">
        <v>1558</v>
      </c>
      <c r="U166" s="90">
        <v>8500065781</v>
      </c>
      <c r="V166" s="90">
        <v>5000029454</v>
      </c>
      <c r="W166" s="109">
        <v>45313</v>
      </c>
      <c r="X166" s="106">
        <f>37+663</f>
        <v>700</v>
      </c>
      <c r="Y166" s="106">
        <f>740+13260</f>
        <v>14000</v>
      </c>
      <c r="Z166" s="106" t="s">
        <v>1429</v>
      </c>
      <c r="AA166" s="106">
        <f t="shared" si="11"/>
        <v>0</v>
      </c>
      <c r="AB166" s="106">
        <f t="shared" si="12"/>
        <v>0</v>
      </c>
      <c r="AC166" s="94"/>
      <c r="AD166" s="94"/>
      <c r="AE166" s="110"/>
      <c r="AF166" s="110"/>
      <c r="AG166" s="110"/>
      <c r="AH166" s="99"/>
    </row>
    <row r="167" spans="1:34" ht="26.25" customHeight="1">
      <c r="A167" s="83"/>
      <c r="B167" s="88"/>
      <c r="C167" s="2"/>
      <c r="D167" s="2"/>
      <c r="E167" s="94">
        <v>20</v>
      </c>
      <c r="F167" s="74">
        <v>200</v>
      </c>
      <c r="G167" s="45">
        <f t="shared" si="13"/>
        <v>4000</v>
      </c>
      <c r="H167" s="119" t="s">
        <v>146</v>
      </c>
      <c r="I167" s="128">
        <v>45294</v>
      </c>
      <c r="J167" s="74">
        <v>200</v>
      </c>
      <c r="K167" s="74">
        <f>4+2</f>
        <v>6</v>
      </c>
      <c r="L167" s="156">
        <v>45297</v>
      </c>
      <c r="M167" s="90">
        <v>4000</v>
      </c>
      <c r="N167" s="90">
        <v>40</v>
      </c>
      <c r="O167" s="90" t="s">
        <v>1584</v>
      </c>
      <c r="P167" s="94" t="s">
        <v>160</v>
      </c>
      <c r="Q167" s="94">
        <v>8500065782</v>
      </c>
      <c r="R167" s="94">
        <v>5000012498</v>
      </c>
      <c r="S167" s="74">
        <v>200</v>
      </c>
      <c r="T167" s="90" t="s">
        <v>1558</v>
      </c>
      <c r="U167" s="90">
        <v>8500065781</v>
      </c>
      <c r="V167" s="90">
        <v>5000029454</v>
      </c>
      <c r="W167" s="109">
        <v>45313</v>
      </c>
      <c r="X167" s="106">
        <v>200</v>
      </c>
      <c r="Y167" s="106">
        <v>4000</v>
      </c>
      <c r="Z167" s="106" t="s">
        <v>759</v>
      </c>
      <c r="AA167" s="106">
        <f t="shared" si="11"/>
        <v>0</v>
      </c>
      <c r="AB167" s="106">
        <f t="shared" si="12"/>
        <v>0</v>
      </c>
      <c r="AC167" s="94"/>
      <c r="AD167" s="94"/>
      <c r="AE167" s="110"/>
      <c r="AF167" s="110"/>
      <c r="AG167" s="110"/>
      <c r="AH167" s="99"/>
    </row>
    <row r="168" spans="1:34" ht="26.25" customHeight="1">
      <c r="A168" s="83" t="s">
        <v>692</v>
      </c>
      <c r="B168" s="88">
        <v>6000027625</v>
      </c>
      <c r="C168" s="2" t="s">
        <v>2193</v>
      </c>
      <c r="D168" s="2">
        <v>402184430</v>
      </c>
      <c r="E168" s="94">
        <v>20</v>
      </c>
      <c r="F168" s="74">
        <v>700</v>
      </c>
      <c r="G168" s="45">
        <f t="shared" si="13"/>
        <v>14000</v>
      </c>
      <c r="H168" s="119" t="s">
        <v>27</v>
      </c>
      <c r="I168" s="128">
        <v>45294</v>
      </c>
      <c r="J168" s="158">
        <f>340+360</f>
        <v>700</v>
      </c>
      <c r="K168" s="74">
        <f>9+3</f>
        <v>12</v>
      </c>
      <c r="L168" s="156">
        <v>45289</v>
      </c>
      <c r="M168" s="90">
        <v>14000</v>
      </c>
      <c r="N168" s="90">
        <v>140</v>
      </c>
      <c r="O168" s="90"/>
      <c r="P168" s="94" t="s">
        <v>160</v>
      </c>
      <c r="Q168" s="94">
        <v>8500065761</v>
      </c>
      <c r="R168" s="94">
        <v>5000012381</v>
      </c>
      <c r="S168" s="158">
        <f>340+360</f>
        <v>700</v>
      </c>
      <c r="T168" s="90" t="s">
        <v>1558</v>
      </c>
      <c r="U168" s="90">
        <v>8500065760</v>
      </c>
      <c r="V168" s="90">
        <v>5001392935</v>
      </c>
      <c r="W168" s="109">
        <v>45311</v>
      </c>
      <c r="X168" s="106">
        <v>700</v>
      </c>
      <c r="Y168" s="106">
        <v>14000</v>
      </c>
      <c r="Z168" s="106" t="s">
        <v>727</v>
      </c>
      <c r="AA168" s="106">
        <f>J168-X168</f>
        <v>0</v>
      </c>
      <c r="AB168" s="106">
        <f>M168-Y168</f>
        <v>0</v>
      </c>
      <c r="AC168" s="94"/>
      <c r="AD168" s="94"/>
      <c r="AE168" s="110"/>
      <c r="AF168" s="110"/>
      <c r="AG168" s="110"/>
      <c r="AH168" s="99"/>
    </row>
    <row r="169" spans="1:34" ht="26.25" customHeight="1">
      <c r="A169" s="83"/>
      <c r="B169" s="88"/>
      <c r="C169" s="2"/>
      <c r="D169" s="2"/>
      <c r="E169" s="94">
        <v>20</v>
      </c>
      <c r="F169" s="74">
        <v>950</v>
      </c>
      <c r="G169" s="45">
        <f t="shared" si="13"/>
        <v>19000</v>
      </c>
      <c r="H169" s="119" t="s">
        <v>46</v>
      </c>
      <c r="I169" s="128">
        <v>45294</v>
      </c>
      <c r="J169" s="158">
        <v>950</v>
      </c>
      <c r="K169" s="74">
        <v>11</v>
      </c>
      <c r="L169" s="156">
        <v>45289</v>
      </c>
      <c r="M169" s="90">
        <v>19000</v>
      </c>
      <c r="N169" s="90">
        <v>190</v>
      </c>
      <c r="O169" s="90"/>
      <c r="P169" s="94" t="s">
        <v>160</v>
      </c>
      <c r="Q169" s="94">
        <v>8500065761</v>
      </c>
      <c r="R169" s="94">
        <v>5000013674</v>
      </c>
      <c r="S169" s="158">
        <v>950</v>
      </c>
      <c r="T169" s="90" t="s">
        <v>1558</v>
      </c>
      <c r="U169" s="90">
        <v>8500065760</v>
      </c>
      <c r="V169" s="90">
        <v>5001392935</v>
      </c>
      <c r="W169" s="109">
        <v>45302</v>
      </c>
      <c r="X169" s="106">
        <v>950</v>
      </c>
      <c r="Y169" s="106">
        <v>19000</v>
      </c>
      <c r="Z169" s="106" t="s">
        <v>755</v>
      </c>
      <c r="AA169" s="106">
        <f>J169-X169</f>
        <v>0</v>
      </c>
      <c r="AB169" s="106">
        <f>M169-Y169</f>
        <v>0</v>
      </c>
      <c r="AC169" s="94"/>
      <c r="AD169" s="94"/>
      <c r="AE169" s="110"/>
      <c r="AF169" s="110"/>
      <c r="AG169" s="110"/>
      <c r="AH169" s="99"/>
    </row>
    <row r="170" spans="1:34" ht="26.25" customHeight="1">
      <c r="A170" s="83"/>
      <c r="B170" s="88"/>
      <c r="C170" s="2"/>
      <c r="D170" s="2"/>
      <c r="E170" s="94">
        <v>20</v>
      </c>
      <c r="F170" s="74">
        <v>760</v>
      </c>
      <c r="G170" s="45">
        <f t="shared" si="13"/>
        <v>15200</v>
      </c>
      <c r="H170" s="119" t="s">
        <v>37</v>
      </c>
      <c r="I170" s="128">
        <v>45294</v>
      </c>
      <c r="J170" s="158">
        <v>760</v>
      </c>
      <c r="K170" s="74">
        <f>9+1</f>
        <v>10</v>
      </c>
      <c r="L170" s="156">
        <v>45289</v>
      </c>
      <c r="M170" s="90">
        <v>15200</v>
      </c>
      <c r="N170" s="90">
        <v>152</v>
      </c>
      <c r="O170" s="90"/>
      <c r="P170" s="94" t="s">
        <v>160</v>
      </c>
      <c r="Q170" s="94">
        <v>8500065761</v>
      </c>
      <c r="R170" s="94">
        <v>5000012381</v>
      </c>
      <c r="S170" s="158">
        <v>760</v>
      </c>
      <c r="T170" s="90" t="s">
        <v>1558</v>
      </c>
      <c r="U170" s="90">
        <v>8500065760</v>
      </c>
      <c r="V170" s="90">
        <v>5001392935</v>
      </c>
      <c r="W170" s="109">
        <v>45314</v>
      </c>
      <c r="X170" s="106">
        <v>760</v>
      </c>
      <c r="Y170" s="106">
        <v>15200</v>
      </c>
      <c r="Z170" s="106" t="s">
        <v>927</v>
      </c>
      <c r="AA170" s="106">
        <f>J170-X170</f>
        <v>0</v>
      </c>
      <c r="AB170" s="106">
        <f>M170-Y170</f>
        <v>0</v>
      </c>
      <c r="AC170" s="94"/>
      <c r="AD170" s="94"/>
      <c r="AE170" s="110"/>
      <c r="AF170" s="110"/>
      <c r="AG170" s="110"/>
      <c r="AH170" s="99"/>
    </row>
    <row r="171" spans="1:34" ht="26.25" customHeight="1">
      <c r="A171" s="83"/>
      <c r="B171" s="88"/>
      <c r="C171" s="2"/>
      <c r="D171" s="2"/>
      <c r="E171" s="94">
        <v>20</v>
      </c>
      <c r="F171" s="74">
        <v>200</v>
      </c>
      <c r="G171" s="45">
        <f t="shared" si="13"/>
        <v>4000</v>
      </c>
      <c r="H171" s="119" t="s">
        <v>146</v>
      </c>
      <c r="I171" s="128">
        <v>45301</v>
      </c>
      <c r="J171" s="158">
        <v>200</v>
      </c>
      <c r="K171" s="74">
        <f>3+3</f>
        <v>6</v>
      </c>
      <c r="L171" s="156">
        <v>45289</v>
      </c>
      <c r="M171" s="90">
        <v>4000</v>
      </c>
      <c r="N171" s="90">
        <v>40</v>
      </c>
      <c r="O171" s="90" t="s">
        <v>1768</v>
      </c>
      <c r="P171" s="94" t="s">
        <v>160</v>
      </c>
      <c r="Q171" s="94">
        <v>8500065761</v>
      </c>
      <c r="R171" s="94">
        <v>5000038696</v>
      </c>
      <c r="S171" s="158">
        <v>200</v>
      </c>
      <c r="T171" s="90" t="s">
        <v>1558</v>
      </c>
      <c r="U171" s="90">
        <v>8500065760</v>
      </c>
      <c r="V171" s="90">
        <v>5001392935</v>
      </c>
      <c r="W171" s="109">
        <v>45313</v>
      </c>
      <c r="X171" s="106">
        <v>200</v>
      </c>
      <c r="Y171" s="106">
        <v>4000</v>
      </c>
      <c r="Z171" s="106" t="s">
        <v>759</v>
      </c>
      <c r="AA171" s="106">
        <f>J171-X171</f>
        <v>0</v>
      </c>
      <c r="AB171" s="106">
        <f>M171-Y171</f>
        <v>0</v>
      </c>
      <c r="AC171" s="94"/>
      <c r="AD171" s="94"/>
      <c r="AE171" s="110"/>
      <c r="AF171" s="110"/>
      <c r="AG171" s="110"/>
      <c r="AH171" s="99"/>
    </row>
    <row r="172" spans="1:34" ht="26.25" customHeight="1">
      <c r="A172" s="83" t="s">
        <v>1670</v>
      </c>
      <c r="B172" s="88">
        <v>6000027508</v>
      </c>
      <c r="C172" s="2" t="s">
        <v>1672</v>
      </c>
      <c r="D172" s="2">
        <v>1069876</v>
      </c>
      <c r="E172" s="94">
        <v>10</v>
      </c>
      <c r="F172" s="74">
        <v>100</v>
      </c>
      <c r="G172" s="45">
        <f t="shared" si="13"/>
        <v>1000</v>
      </c>
      <c r="H172" s="119" t="s">
        <v>37</v>
      </c>
      <c r="I172" s="128">
        <v>45280</v>
      </c>
      <c r="J172" s="74">
        <v>100</v>
      </c>
      <c r="K172" s="74">
        <v>1</v>
      </c>
      <c r="L172" s="156">
        <v>45280</v>
      </c>
      <c r="M172" s="90">
        <v>1000</v>
      </c>
      <c r="N172" s="90">
        <v>10</v>
      </c>
      <c r="O172" s="90" t="s">
        <v>731</v>
      </c>
      <c r="P172" s="94" t="s">
        <v>28</v>
      </c>
      <c r="Q172" s="94">
        <v>8500065633</v>
      </c>
      <c r="R172" s="94">
        <v>5001354127</v>
      </c>
      <c r="S172" s="74">
        <v>100</v>
      </c>
      <c r="T172" s="90" t="s">
        <v>1558</v>
      </c>
      <c r="U172" s="90">
        <v>8500065632</v>
      </c>
      <c r="V172" s="90">
        <v>5001357205</v>
      </c>
      <c r="W172" s="109">
        <v>45287</v>
      </c>
      <c r="X172" s="106">
        <v>100</v>
      </c>
      <c r="Y172" s="106">
        <v>1000</v>
      </c>
      <c r="Z172" s="106" t="s">
        <v>2238</v>
      </c>
      <c r="AA172" s="106">
        <f t="shared" si="11"/>
        <v>0</v>
      </c>
      <c r="AB172" s="106">
        <f t="shared" si="12"/>
        <v>0</v>
      </c>
      <c r="AC172" s="94"/>
      <c r="AD172" s="94"/>
      <c r="AE172" s="110"/>
      <c r="AF172" s="110"/>
      <c r="AG172" s="110"/>
      <c r="AH172" s="99"/>
    </row>
    <row r="173" spans="1:34" ht="26.25" customHeight="1">
      <c r="A173" s="83"/>
      <c r="B173" s="88"/>
      <c r="C173" s="2"/>
      <c r="D173" s="2"/>
      <c r="E173" s="94">
        <v>10</v>
      </c>
      <c r="F173" s="74">
        <v>400</v>
      </c>
      <c r="G173" s="45">
        <f t="shared" si="13"/>
        <v>4000</v>
      </c>
      <c r="H173" s="119" t="s">
        <v>146</v>
      </c>
      <c r="I173" s="128" t="s">
        <v>2295</v>
      </c>
      <c r="J173" s="74">
        <f>381+19</f>
        <v>400</v>
      </c>
      <c r="K173" s="74">
        <f>5+1</f>
        <v>6</v>
      </c>
      <c r="L173" s="156">
        <v>45280</v>
      </c>
      <c r="M173" s="90">
        <v>4000</v>
      </c>
      <c r="N173" s="90">
        <v>40</v>
      </c>
      <c r="O173" s="90" t="s">
        <v>1339</v>
      </c>
      <c r="P173" s="94" t="s">
        <v>28</v>
      </c>
      <c r="Q173" s="94">
        <v>8500065633</v>
      </c>
      <c r="R173" s="94">
        <v>5001354127</v>
      </c>
      <c r="S173" s="74">
        <f>381+19</f>
        <v>400</v>
      </c>
      <c r="T173" s="90" t="s">
        <v>1558</v>
      </c>
      <c r="U173" s="90">
        <v>8500065632</v>
      </c>
      <c r="V173" s="90">
        <v>5001357205</v>
      </c>
      <c r="W173" s="105" t="s">
        <v>2513</v>
      </c>
      <c r="X173" s="106">
        <f>380+20</f>
        <v>400</v>
      </c>
      <c r="Y173" s="106">
        <f>3800+200</f>
        <v>4000</v>
      </c>
      <c r="Z173" s="106" t="s">
        <v>2514</v>
      </c>
      <c r="AA173" s="106">
        <f t="shared" si="11"/>
        <v>0</v>
      </c>
      <c r="AB173" s="106">
        <f t="shared" si="12"/>
        <v>0</v>
      </c>
      <c r="AC173" s="94"/>
      <c r="AD173" s="94"/>
      <c r="AE173" s="110"/>
      <c r="AF173" s="110"/>
      <c r="AG173" s="110"/>
      <c r="AH173" s="99"/>
    </row>
    <row r="174" spans="1:34" ht="26.25" customHeight="1">
      <c r="A174" s="83" t="s">
        <v>1670</v>
      </c>
      <c r="B174" s="88">
        <v>6000027508</v>
      </c>
      <c r="C174" s="2" t="s">
        <v>1673</v>
      </c>
      <c r="D174" s="2">
        <v>1069876</v>
      </c>
      <c r="E174" s="94">
        <v>10</v>
      </c>
      <c r="F174" s="74">
        <v>100</v>
      </c>
      <c r="G174" s="45">
        <f t="shared" si="13"/>
        <v>1000</v>
      </c>
      <c r="H174" s="119" t="s">
        <v>146</v>
      </c>
      <c r="I174" s="128">
        <v>45280</v>
      </c>
      <c r="J174" s="158">
        <v>100</v>
      </c>
      <c r="K174" s="74">
        <v>2</v>
      </c>
      <c r="L174" s="156">
        <v>45288</v>
      </c>
      <c r="M174" s="90">
        <v>1000</v>
      </c>
      <c r="N174" s="90">
        <v>10</v>
      </c>
      <c r="O174" s="90" t="s">
        <v>1389</v>
      </c>
      <c r="P174" s="94" t="s">
        <v>28</v>
      </c>
      <c r="Q174" s="94">
        <v>8500065635</v>
      </c>
      <c r="R174" s="94">
        <v>5001354126</v>
      </c>
      <c r="S174" s="158">
        <v>100</v>
      </c>
      <c r="T174" s="90" t="s">
        <v>1558</v>
      </c>
      <c r="U174" s="90">
        <v>8500065634</v>
      </c>
      <c r="V174" s="90">
        <v>5001386056</v>
      </c>
      <c r="W174" s="109">
        <v>45296</v>
      </c>
      <c r="X174" s="106">
        <v>100</v>
      </c>
      <c r="Y174" s="106">
        <v>1000</v>
      </c>
      <c r="Z174" s="106" t="s">
        <v>800</v>
      </c>
      <c r="AA174" s="106">
        <f t="shared" si="11"/>
        <v>0</v>
      </c>
      <c r="AB174" s="106">
        <f t="shared" si="12"/>
        <v>0</v>
      </c>
      <c r="AC174" s="94"/>
      <c r="AD174" s="94"/>
      <c r="AE174" s="110"/>
      <c r="AF174" s="110"/>
      <c r="AG174" s="110"/>
      <c r="AH174" s="99"/>
    </row>
    <row r="175" spans="1:34" ht="26.25" customHeight="1">
      <c r="A175" s="83" t="s">
        <v>1670</v>
      </c>
      <c r="B175" s="88">
        <v>6000027508</v>
      </c>
      <c r="C175" s="2" t="s">
        <v>1671</v>
      </c>
      <c r="D175" s="2">
        <v>1069876</v>
      </c>
      <c r="E175" s="94">
        <v>10</v>
      </c>
      <c r="F175" s="74">
        <v>400</v>
      </c>
      <c r="G175" s="45">
        <f t="shared" si="13"/>
        <v>4000</v>
      </c>
      <c r="H175" s="119" t="s">
        <v>27</v>
      </c>
      <c r="I175" s="128">
        <v>45280</v>
      </c>
      <c r="J175" s="74">
        <v>400</v>
      </c>
      <c r="K175" s="74">
        <v>5</v>
      </c>
      <c r="L175" s="156">
        <v>45282</v>
      </c>
      <c r="M175" s="90">
        <v>4000</v>
      </c>
      <c r="N175" s="90">
        <v>40</v>
      </c>
      <c r="O175" s="90" t="s">
        <v>1746</v>
      </c>
      <c r="P175" s="94" t="s">
        <v>28</v>
      </c>
      <c r="Q175" s="94">
        <v>8500065637</v>
      </c>
      <c r="R175" s="94">
        <v>5001354152</v>
      </c>
      <c r="S175" s="74">
        <v>400</v>
      </c>
      <c r="T175" s="90" t="s">
        <v>1558</v>
      </c>
      <c r="U175" s="90">
        <v>8500065636</v>
      </c>
      <c r="V175" s="90">
        <v>5001362334</v>
      </c>
      <c r="W175" s="109">
        <v>45309</v>
      </c>
      <c r="X175" s="106">
        <v>400</v>
      </c>
      <c r="Y175" s="106">
        <v>4000</v>
      </c>
      <c r="Z175" s="106" t="s">
        <v>1783</v>
      </c>
      <c r="AA175" s="106">
        <f t="shared" ref="AA175:AA238" si="14">J175-X175</f>
        <v>0</v>
      </c>
      <c r="AB175" s="106">
        <f t="shared" ref="AB175:AB238" si="15">M175-Y175</f>
        <v>0</v>
      </c>
      <c r="AC175" s="94"/>
      <c r="AD175" s="94"/>
      <c r="AE175" s="110"/>
      <c r="AF175" s="110"/>
      <c r="AG175" s="110"/>
      <c r="AH175" s="99"/>
    </row>
    <row r="176" spans="1:34" ht="26.25" customHeight="1">
      <c r="A176" s="90"/>
      <c r="B176" s="88"/>
      <c r="C176" s="44"/>
      <c r="D176" s="88"/>
      <c r="E176" s="94">
        <v>10</v>
      </c>
      <c r="F176" s="74">
        <v>700</v>
      </c>
      <c r="G176" s="45">
        <f t="shared" si="13"/>
        <v>7000</v>
      </c>
      <c r="H176" s="119" t="s">
        <v>46</v>
      </c>
      <c r="I176" s="128">
        <v>45280</v>
      </c>
      <c r="J176" s="74">
        <v>700</v>
      </c>
      <c r="K176" s="74">
        <v>7</v>
      </c>
      <c r="L176" s="156">
        <v>45282</v>
      </c>
      <c r="M176" s="90">
        <v>7000</v>
      </c>
      <c r="N176" s="90">
        <v>70</v>
      </c>
      <c r="O176" s="90" t="s">
        <v>1784</v>
      </c>
      <c r="P176" s="94" t="s">
        <v>28</v>
      </c>
      <c r="Q176" s="94">
        <v>8500065637</v>
      </c>
      <c r="R176" s="94">
        <v>5001354152</v>
      </c>
      <c r="S176" s="74">
        <v>700</v>
      </c>
      <c r="T176" s="90" t="s">
        <v>1558</v>
      </c>
      <c r="U176" s="90">
        <v>8500065636</v>
      </c>
      <c r="V176" s="90">
        <v>5001362334</v>
      </c>
      <c r="W176" s="109">
        <v>45309</v>
      </c>
      <c r="X176" s="106">
        <v>700</v>
      </c>
      <c r="Y176" s="106">
        <v>7000</v>
      </c>
      <c r="Z176" s="106" t="s">
        <v>2197</v>
      </c>
      <c r="AA176" s="106">
        <f t="shared" si="14"/>
        <v>0</v>
      </c>
      <c r="AB176" s="106">
        <f t="shared" si="15"/>
        <v>0</v>
      </c>
      <c r="AC176" s="94"/>
      <c r="AD176" s="94"/>
      <c r="AE176" s="110"/>
      <c r="AF176" s="110"/>
      <c r="AG176" s="110"/>
      <c r="AH176" s="99"/>
    </row>
    <row r="177" spans="1:34" ht="26.25" customHeight="1">
      <c r="A177" s="90"/>
      <c r="B177" s="88"/>
      <c r="C177" s="44"/>
      <c r="D177" s="44"/>
      <c r="E177" s="94">
        <v>10</v>
      </c>
      <c r="F177" s="74">
        <v>500</v>
      </c>
      <c r="G177" s="45">
        <f t="shared" si="13"/>
        <v>5000</v>
      </c>
      <c r="H177" s="119" t="s">
        <v>37</v>
      </c>
      <c r="I177" s="128">
        <v>45280</v>
      </c>
      <c r="J177" s="74">
        <v>500</v>
      </c>
      <c r="K177" s="74">
        <v>14</v>
      </c>
      <c r="L177" s="156">
        <v>45282</v>
      </c>
      <c r="M177" s="90">
        <v>5000</v>
      </c>
      <c r="N177" s="90">
        <v>50</v>
      </c>
      <c r="O177" s="90" t="s">
        <v>1813</v>
      </c>
      <c r="P177" s="94" t="s">
        <v>28</v>
      </c>
      <c r="Q177" s="94">
        <v>8500065637</v>
      </c>
      <c r="R177" s="94">
        <v>5001354152</v>
      </c>
      <c r="S177" s="74">
        <v>500</v>
      </c>
      <c r="T177" s="90" t="s">
        <v>1558</v>
      </c>
      <c r="U177" s="90">
        <v>8500065636</v>
      </c>
      <c r="V177" s="90">
        <v>5001362334</v>
      </c>
      <c r="W177" s="109" t="s">
        <v>2642</v>
      </c>
      <c r="X177" s="106">
        <f>200+300</f>
        <v>500</v>
      </c>
      <c r="Y177" s="106">
        <f>2000+3000</f>
        <v>5000</v>
      </c>
      <c r="Z177" s="106" t="s">
        <v>2643</v>
      </c>
      <c r="AA177" s="106">
        <f t="shared" si="14"/>
        <v>0</v>
      </c>
      <c r="AB177" s="106">
        <f t="shared" si="15"/>
        <v>0</v>
      </c>
      <c r="AC177" s="94"/>
      <c r="AD177" s="94"/>
      <c r="AE177" s="110"/>
      <c r="AF177" s="110"/>
      <c r="AG177" s="110"/>
      <c r="AH177" s="99"/>
    </row>
    <row r="178" spans="1:34" ht="26.25" customHeight="1">
      <c r="A178" s="90"/>
      <c r="B178" s="88"/>
      <c r="C178" s="44"/>
      <c r="D178" s="44"/>
      <c r="E178" s="94">
        <v>10</v>
      </c>
      <c r="F178" s="74">
        <v>700</v>
      </c>
      <c r="G178" s="45">
        <f t="shared" si="13"/>
        <v>7000</v>
      </c>
      <c r="H178" s="119" t="s">
        <v>146</v>
      </c>
      <c r="I178" s="128">
        <v>45280</v>
      </c>
      <c r="J178" s="74">
        <v>700</v>
      </c>
      <c r="K178" s="74">
        <v>10</v>
      </c>
      <c r="L178" s="156">
        <v>45282</v>
      </c>
      <c r="M178" s="90">
        <v>7000</v>
      </c>
      <c r="N178" s="90">
        <v>70</v>
      </c>
      <c r="O178" s="90" t="s">
        <v>1791</v>
      </c>
      <c r="P178" s="94" t="s">
        <v>28</v>
      </c>
      <c r="Q178" s="94">
        <v>8500065637</v>
      </c>
      <c r="R178" s="94">
        <v>5001354152</v>
      </c>
      <c r="S178" s="74">
        <v>700</v>
      </c>
      <c r="T178" s="90" t="s">
        <v>1558</v>
      </c>
      <c r="U178" s="90">
        <v>8500065636</v>
      </c>
      <c r="V178" s="90">
        <v>5001362334</v>
      </c>
      <c r="W178" s="109">
        <v>45295</v>
      </c>
      <c r="X178" s="106">
        <v>700</v>
      </c>
      <c r="Y178" s="106">
        <v>7000</v>
      </c>
      <c r="Z178" s="106" t="s">
        <v>800</v>
      </c>
      <c r="AA178" s="106">
        <f t="shared" si="14"/>
        <v>0</v>
      </c>
      <c r="AB178" s="106">
        <f t="shared" si="15"/>
        <v>0</v>
      </c>
      <c r="AC178" s="94"/>
      <c r="AD178" s="94"/>
      <c r="AE178" s="110"/>
      <c r="AF178" s="110"/>
      <c r="AG178" s="110"/>
      <c r="AH178" s="99"/>
    </row>
    <row r="179" spans="1:34" ht="26.25" customHeight="1">
      <c r="A179" s="83" t="s">
        <v>1670</v>
      </c>
      <c r="B179" s="88">
        <v>6000027508</v>
      </c>
      <c r="C179" s="2" t="s">
        <v>1674</v>
      </c>
      <c r="D179" s="2">
        <v>1069876</v>
      </c>
      <c r="E179" s="94">
        <v>10</v>
      </c>
      <c r="F179" s="74">
        <v>100</v>
      </c>
      <c r="G179" s="45">
        <f t="shared" si="13"/>
        <v>1000</v>
      </c>
      <c r="H179" s="119" t="s">
        <v>37</v>
      </c>
      <c r="I179" s="128">
        <v>45280</v>
      </c>
      <c r="J179" s="74">
        <v>100</v>
      </c>
      <c r="K179" s="74">
        <v>1</v>
      </c>
      <c r="L179" s="156">
        <v>45280</v>
      </c>
      <c r="M179" s="90">
        <v>1000</v>
      </c>
      <c r="N179" s="90">
        <v>10</v>
      </c>
      <c r="O179" s="90" t="s">
        <v>731</v>
      </c>
      <c r="P179" s="94" t="s">
        <v>28</v>
      </c>
      <c r="Q179" s="94">
        <v>8500065639</v>
      </c>
      <c r="R179" s="94">
        <v>5001354141</v>
      </c>
      <c r="S179" s="74">
        <v>100</v>
      </c>
      <c r="T179" s="90" t="s">
        <v>1558</v>
      </c>
      <c r="U179" s="90">
        <v>8500065638</v>
      </c>
      <c r="V179" s="90">
        <v>5001357201</v>
      </c>
      <c r="W179" s="109">
        <v>45309</v>
      </c>
      <c r="X179" s="106">
        <v>100</v>
      </c>
      <c r="Y179" s="106">
        <v>1000</v>
      </c>
      <c r="Z179" s="106" t="s">
        <v>800</v>
      </c>
      <c r="AA179" s="106">
        <f t="shared" si="14"/>
        <v>0</v>
      </c>
      <c r="AB179" s="106">
        <f t="shared" si="15"/>
        <v>0</v>
      </c>
      <c r="AC179" s="94"/>
      <c r="AD179" s="94"/>
      <c r="AE179" s="110"/>
      <c r="AF179" s="110"/>
      <c r="AG179" s="110"/>
      <c r="AH179" s="99"/>
    </row>
    <row r="180" spans="1:34" ht="26.25" customHeight="1">
      <c r="A180" s="90"/>
      <c r="B180" s="88"/>
      <c r="C180" s="94"/>
      <c r="D180" s="95"/>
      <c r="E180" s="94">
        <v>10</v>
      </c>
      <c r="F180" s="74">
        <v>100</v>
      </c>
      <c r="G180" s="45">
        <f t="shared" si="13"/>
        <v>1000</v>
      </c>
      <c r="H180" s="119" t="s">
        <v>146</v>
      </c>
      <c r="I180" s="128" t="s">
        <v>2308</v>
      </c>
      <c r="J180" s="74">
        <f>96+4</f>
        <v>100</v>
      </c>
      <c r="K180" s="74">
        <f>3+1</f>
        <v>4</v>
      </c>
      <c r="L180" s="156">
        <v>45280</v>
      </c>
      <c r="M180" s="90">
        <v>1000</v>
      </c>
      <c r="N180" s="90">
        <v>10</v>
      </c>
      <c r="O180" s="90" t="s">
        <v>731</v>
      </c>
      <c r="P180" s="94" t="s">
        <v>28</v>
      </c>
      <c r="Q180" s="94">
        <v>8500065639</v>
      </c>
      <c r="R180" s="94">
        <v>5001354141</v>
      </c>
      <c r="S180" s="74">
        <f>96+4</f>
        <v>100</v>
      </c>
      <c r="T180" s="90" t="s">
        <v>1558</v>
      </c>
      <c r="U180" s="90">
        <v>8500065638</v>
      </c>
      <c r="V180" s="90">
        <v>5001357201</v>
      </c>
      <c r="W180" s="109">
        <v>45309</v>
      </c>
      <c r="X180" s="106">
        <v>100</v>
      </c>
      <c r="Y180" s="106">
        <v>1000</v>
      </c>
      <c r="Z180" s="106" t="s">
        <v>759</v>
      </c>
      <c r="AA180" s="106">
        <f t="shared" si="14"/>
        <v>0</v>
      </c>
      <c r="AB180" s="106">
        <f t="shared" si="15"/>
        <v>0</v>
      </c>
      <c r="AC180" s="94"/>
      <c r="AD180" s="94"/>
      <c r="AE180" s="110"/>
      <c r="AF180" s="110"/>
      <c r="AG180" s="110"/>
      <c r="AH180" s="99"/>
    </row>
    <row r="181" spans="1:34" ht="26.25" customHeight="1">
      <c r="A181" s="83" t="s">
        <v>2078</v>
      </c>
      <c r="B181" s="88">
        <v>6000026739</v>
      </c>
      <c r="C181" s="2" t="s">
        <v>2077</v>
      </c>
      <c r="D181" s="2">
        <v>6000026739</v>
      </c>
      <c r="E181" s="94">
        <v>10</v>
      </c>
      <c r="F181" s="74">
        <v>4500</v>
      </c>
      <c r="G181" s="45">
        <f t="shared" si="13"/>
        <v>45000</v>
      </c>
      <c r="H181" s="119" t="s">
        <v>46</v>
      </c>
      <c r="I181" s="128" t="s">
        <v>2276</v>
      </c>
      <c r="J181" s="74">
        <v>4500</v>
      </c>
      <c r="K181" s="74">
        <f>20+28</f>
        <v>48</v>
      </c>
      <c r="L181" s="156">
        <v>45287</v>
      </c>
      <c r="M181" s="90">
        <v>45000</v>
      </c>
      <c r="N181" s="90">
        <v>225</v>
      </c>
      <c r="O181" s="90" t="s">
        <v>2298</v>
      </c>
      <c r="P181" s="94" t="s">
        <v>160</v>
      </c>
      <c r="Q181" s="94">
        <v>8500065470</v>
      </c>
      <c r="R181" s="94">
        <v>5001362248</v>
      </c>
      <c r="S181" s="74">
        <v>4500</v>
      </c>
      <c r="T181" s="90" t="s">
        <v>152</v>
      </c>
      <c r="U181" s="90">
        <v>8500065469</v>
      </c>
      <c r="V181" s="90">
        <v>5001384563</v>
      </c>
      <c r="W181" s="109">
        <v>45310</v>
      </c>
      <c r="X181" s="106">
        <v>4500</v>
      </c>
      <c r="Y181" s="106">
        <v>45000</v>
      </c>
      <c r="Z181" s="106" t="s">
        <v>2577</v>
      </c>
      <c r="AA181" s="106">
        <f t="shared" si="14"/>
        <v>0</v>
      </c>
      <c r="AB181" s="106">
        <f t="shared" si="15"/>
        <v>0</v>
      </c>
      <c r="AC181" s="94"/>
      <c r="AD181" s="94"/>
      <c r="AE181" s="110"/>
      <c r="AF181" s="110"/>
      <c r="AG181" s="110"/>
      <c r="AH181" s="99"/>
    </row>
    <row r="182" spans="1:34" ht="26.25" customHeight="1">
      <c r="A182" s="83" t="s">
        <v>2078</v>
      </c>
      <c r="B182" s="88">
        <v>6000026741</v>
      </c>
      <c r="C182" s="2" t="s">
        <v>2077</v>
      </c>
      <c r="D182" s="2">
        <v>6000026741</v>
      </c>
      <c r="E182" s="94">
        <v>10</v>
      </c>
      <c r="F182" s="74">
        <v>4500</v>
      </c>
      <c r="G182" s="45">
        <f t="shared" si="13"/>
        <v>45000</v>
      </c>
      <c r="H182" s="119" t="s">
        <v>37</v>
      </c>
      <c r="I182" s="128">
        <v>45282</v>
      </c>
      <c r="J182" s="74">
        <v>4500</v>
      </c>
      <c r="K182" s="74">
        <v>47</v>
      </c>
      <c r="L182" s="156">
        <v>45286</v>
      </c>
      <c r="M182" s="90">
        <v>45000</v>
      </c>
      <c r="N182" s="90">
        <v>225</v>
      </c>
      <c r="O182" s="90" t="s">
        <v>1791</v>
      </c>
      <c r="P182" s="94" t="s">
        <v>160</v>
      </c>
      <c r="Q182" s="94">
        <v>8500065468</v>
      </c>
      <c r="R182" s="94">
        <v>5001362289</v>
      </c>
      <c r="S182" s="74">
        <v>4500</v>
      </c>
      <c r="T182" s="90" t="s">
        <v>152</v>
      </c>
      <c r="U182" s="90">
        <v>8500065467</v>
      </c>
      <c r="V182" s="90">
        <v>5001377185</v>
      </c>
      <c r="W182" s="127" t="s">
        <v>2348</v>
      </c>
      <c r="X182" s="106">
        <f>1500+2400+600</f>
        <v>4500</v>
      </c>
      <c r="Y182" s="106">
        <f>15000+24000+6000</f>
        <v>45000</v>
      </c>
      <c r="Z182" s="106" t="s">
        <v>2347</v>
      </c>
      <c r="AA182" s="106">
        <f t="shared" si="14"/>
        <v>0</v>
      </c>
      <c r="AB182" s="106">
        <f t="shared" si="15"/>
        <v>0</v>
      </c>
      <c r="AC182" s="94"/>
      <c r="AD182" s="94"/>
      <c r="AE182" s="110"/>
      <c r="AF182" s="110"/>
      <c r="AG182" s="110"/>
      <c r="AH182" s="99"/>
    </row>
    <row r="183" spans="1:34" ht="26.25" customHeight="1">
      <c r="A183" s="83" t="s">
        <v>2078</v>
      </c>
      <c r="B183" s="88">
        <v>6000026742</v>
      </c>
      <c r="C183" s="2" t="s">
        <v>2077</v>
      </c>
      <c r="D183" s="2">
        <v>6000026742</v>
      </c>
      <c r="E183" s="94">
        <v>10</v>
      </c>
      <c r="F183" s="74">
        <v>4500</v>
      </c>
      <c r="G183" s="45">
        <f t="shared" si="13"/>
        <v>45000</v>
      </c>
      <c r="H183" s="119" t="s">
        <v>37</v>
      </c>
      <c r="I183" s="128" t="s">
        <v>2584</v>
      </c>
      <c r="J183" s="158">
        <f>3850+433+217</f>
        <v>4500</v>
      </c>
      <c r="K183" s="74">
        <f>1+47+23</f>
        <v>71</v>
      </c>
      <c r="L183" s="156">
        <v>45285</v>
      </c>
      <c r="M183" s="90">
        <v>45000</v>
      </c>
      <c r="N183" s="90">
        <v>225</v>
      </c>
      <c r="O183" s="90"/>
      <c r="P183" s="94" t="s">
        <v>160</v>
      </c>
      <c r="Q183" s="94">
        <v>8500065466</v>
      </c>
      <c r="R183" s="94">
        <v>5001386083</v>
      </c>
      <c r="S183" s="158">
        <f>3850+433+217</f>
        <v>4500</v>
      </c>
      <c r="T183" s="90" t="s">
        <v>152</v>
      </c>
      <c r="U183" s="90">
        <v>8500065465</v>
      </c>
      <c r="V183" s="90">
        <v>5001372962</v>
      </c>
      <c r="W183" s="109" t="s">
        <v>2617</v>
      </c>
      <c r="X183" s="106">
        <f>500+27+2000+1793+180</f>
        <v>4500</v>
      </c>
      <c r="Y183" s="106">
        <f>5000+270+20000+17930+1800</f>
        <v>45000</v>
      </c>
      <c r="Z183" s="106" t="s">
        <v>2618</v>
      </c>
      <c r="AA183" s="106">
        <f>J183-X183</f>
        <v>0</v>
      </c>
      <c r="AB183" s="106">
        <f t="shared" si="15"/>
        <v>0</v>
      </c>
      <c r="AC183" s="94"/>
      <c r="AD183" s="94"/>
      <c r="AE183" s="110"/>
      <c r="AF183" s="110"/>
      <c r="AG183" s="110"/>
      <c r="AH183" s="99"/>
    </row>
    <row r="184" spans="1:34" ht="26.25" customHeight="1">
      <c r="A184" s="83" t="s">
        <v>525</v>
      </c>
      <c r="B184" s="88">
        <v>6000024133</v>
      </c>
      <c r="C184" s="2" t="s">
        <v>526</v>
      </c>
      <c r="D184" s="2">
        <v>6000024133</v>
      </c>
      <c r="E184" s="94">
        <v>8</v>
      </c>
      <c r="F184" s="74">
        <v>150</v>
      </c>
      <c r="G184" s="45">
        <f t="shared" si="13"/>
        <v>1200</v>
      </c>
      <c r="H184" s="119" t="s">
        <v>27</v>
      </c>
      <c r="I184" s="128">
        <v>45301</v>
      </c>
      <c r="J184" s="74">
        <v>150</v>
      </c>
      <c r="K184" s="74">
        <f>3+4</f>
        <v>7</v>
      </c>
      <c r="L184" s="156">
        <v>45287</v>
      </c>
      <c r="M184" s="90">
        <v>1200</v>
      </c>
      <c r="N184" s="90">
        <v>6</v>
      </c>
      <c r="O184" s="90" t="s">
        <v>734</v>
      </c>
      <c r="P184" s="94" t="s">
        <v>160</v>
      </c>
      <c r="Q184" s="94">
        <v>8500065598</v>
      </c>
      <c r="R184" s="94">
        <v>5000038695</v>
      </c>
      <c r="S184" s="74">
        <v>150</v>
      </c>
      <c r="T184" s="90" t="s">
        <v>152</v>
      </c>
      <c r="U184" s="90">
        <v>8500065597</v>
      </c>
      <c r="V184" s="90">
        <v>5001384602</v>
      </c>
      <c r="W184" s="109">
        <v>45303</v>
      </c>
      <c r="X184" s="106">
        <v>150</v>
      </c>
      <c r="Y184" s="106">
        <v>1200</v>
      </c>
      <c r="Z184" s="106" t="s">
        <v>800</v>
      </c>
      <c r="AA184" s="106">
        <f t="shared" si="14"/>
        <v>0</v>
      </c>
      <c r="AB184" s="106">
        <f t="shared" si="15"/>
        <v>0</v>
      </c>
      <c r="AC184" s="94"/>
      <c r="AD184" s="94"/>
      <c r="AE184" s="110"/>
      <c r="AF184" s="110"/>
      <c r="AG184" s="110"/>
      <c r="AH184" s="99"/>
    </row>
    <row r="185" spans="1:34" ht="26.25" customHeight="1">
      <c r="A185" s="90"/>
      <c r="B185" s="88"/>
      <c r="C185" s="94"/>
      <c r="D185" s="95"/>
      <c r="E185" s="94">
        <v>8</v>
      </c>
      <c r="F185" s="74">
        <v>600</v>
      </c>
      <c r="G185" s="45">
        <f t="shared" si="13"/>
        <v>4800</v>
      </c>
      <c r="H185" s="119" t="s">
        <v>46</v>
      </c>
      <c r="I185" s="128">
        <v>45301</v>
      </c>
      <c r="J185" s="74">
        <v>600</v>
      </c>
      <c r="K185" s="74">
        <f>8+6</f>
        <v>14</v>
      </c>
      <c r="L185" s="156">
        <v>45286</v>
      </c>
      <c r="M185" s="90">
        <v>4800</v>
      </c>
      <c r="N185" s="90">
        <v>24</v>
      </c>
      <c r="O185" s="90" t="s">
        <v>791</v>
      </c>
      <c r="P185" s="94" t="s">
        <v>160</v>
      </c>
      <c r="Q185" s="94">
        <v>8500065598</v>
      </c>
      <c r="R185" s="94">
        <v>5000038695</v>
      </c>
      <c r="S185" s="74">
        <v>600</v>
      </c>
      <c r="T185" s="90" t="s">
        <v>152</v>
      </c>
      <c r="U185" s="90">
        <v>8500065597</v>
      </c>
      <c r="V185" s="90">
        <v>5001377193</v>
      </c>
      <c r="W185" s="109">
        <v>45303</v>
      </c>
      <c r="X185" s="106">
        <v>600</v>
      </c>
      <c r="Y185" s="106">
        <v>4800</v>
      </c>
      <c r="Z185" s="106" t="s">
        <v>800</v>
      </c>
      <c r="AA185" s="106">
        <f t="shared" si="14"/>
        <v>0</v>
      </c>
      <c r="AB185" s="106">
        <f t="shared" si="15"/>
        <v>0</v>
      </c>
      <c r="AC185" s="94"/>
      <c r="AD185" s="94"/>
      <c r="AE185" s="110"/>
      <c r="AF185" s="110"/>
      <c r="AG185" s="110"/>
      <c r="AH185" s="99"/>
    </row>
    <row r="186" spans="1:34" ht="26.25" customHeight="1">
      <c r="A186" s="90"/>
      <c r="B186" s="88"/>
      <c r="C186" s="44"/>
      <c r="D186" s="44"/>
      <c r="E186" s="94">
        <v>8</v>
      </c>
      <c r="F186" s="74">
        <v>350</v>
      </c>
      <c r="G186" s="45">
        <f t="shared" si="13"/>
        <v>2800</v>
      </c>
      <c r="H186" s="119" t="s">
        <v>37</v>
      </c>
      <c r="I186" s="128">
        <v>45300</v>
      </c>
      <c r="J186" s="158">
        <v>350</v>
      </c>
      <c r="K186" s="74">
        <f>5+5</f>
        <v>10</v>
      </c>
      <c r="L186" s="156">
        <v>45287</v>
      </c>
      <c r="M186" s="90">
        <v>2800</v>
      </c>
      <c r="N186" s="90">
        <v>14</v>
      </c>
      <c r="O186" s="90" t="s">
        <v>734</v>
      </c>
      <c r="P186" s="94" t="s">
        <v>160</v>
      </c>
      <c r="Q186" s="94">
        <v>8500065598</v>
      </c>
      <c r="R186" s="94">
        <v>5000033909</v>
      </c>
      <c r="S186" s="158">
        <v>350</v>
      </c>
      <c r="T186" s="90" t="s">
        <v>152</v>
      </c>
      <c r="U186" s="90">
        <v>8500065597</v>
      </c>
      <c r="V186" s="90">
        <v>5001384602</v>
      </c>
      <c r="W186" s="109">
        <v>45307</v>
      </c>
      <c r="X186" s="106">
        <v>350</v>
      </c>
      <c r="Y186" s="106">
        <v>2800</v>
      </c>
      <c r="Z186" s="106" t="s">
        <v>800</v>
      </c>
      <c r="AA186" s="106">
        <f t="shared" si="14"/>
        <v>0</v>
      </c>
      <c r="AB186" s="106">
        <f t="shared" si="15"/>
        <v>0</v>
      </c>
      <c r="AC186" s="94"/>
      <c r="AD186" s="94"/>
      <c r="AE186" s="110"/>
      <c r="AF186" s="110"/>
      <c r="AG186" s="110"/>
      <c r="AH186" s="99"/>
    </row>
    <row r="187" spans="1:34" ht="26.25" customHeight="1">
      <c r="A187" s="90"/>
      <c r="B187" s="88"/>
      <c r="C187" s="86"/>
      <c r="D187" s="87"/>
      <c r="E187" s="94">
        <v>8</v>
      </c>
      <c r="F187" s="74">
        <v>300</v>
      </c>
      <c r="G187" s="45">
        <f t="shared" si="13"/>
        <v>2400</v>
      </c>
      <c r="H187" s="119" t="s">
        <v>146</v>
      </c>
      <c r="I187" s="128" t="s">
        <v>2452</v>
      </c>
      <c r="J187" s="158">
        <f>180+120</f>
        <v>300</v>
      </c>
      <c r="K187" s="74">
        <f>5+3</f>
        <v>8</v>
      </c>
      <c r="L187" s="156">
        <v>45287</v>
      </c>
      <c r="M187" s="90">
        <v>2400</v>
      </c>
      <c r="N187" s="90">
        <v>12</v>
      </c>
      <c r="O187" s="90" t="s">
        <v>734</v>
      </c>
      <c r="P187" s="94" t="s">
        <v>160</v>
      </c>
      <c r="Q187" s="94">
        <v>8500065600</v>
      </c>
      <c r="R187" s="94">
        <v>5000034021</v>
      </c>
      <c r="S187" s="158">
        <f>180+120</f>
        <v>300</v>
      </c>
      <c r="T187" s="90" t="s">
        <v>152</v>
      </c>
      <c r="U187" s="90">
        <v>8500065599</v>
      </c>
      <c r="V187" s="90">
        <v>5001384604</v>
      </c>
      <c r="W187" s="109">
        <v>45307</v>
      </c>
      <c r="X187" s="106">
        <v>300</v>
      </c>
      <c r="Y187" s="106">
        <v>2400</v>
      </c>
      <c r="Z187" s="106" t="s">
        <v>800</v>
      </c>
      <c r="AA187" s="106">
        <f t="shared" si="14"/>
        <v>0</v>
      </c>
      <c r="AB187" s="106">
        <f t="shared" si="15"/>
        <v>0</v>
      </c>
      <c r="AC187" s="94"/>
      <c r="AD187" s="94"/>
      <c r="AE187" s="110"/>
      <c r="AF187" s="110"/>
      <c r="AG187" s="110"/>
      <c r="AH187" s="99"/>
    </row>
    <row r="188" spans="1:34" ht="26.25" customHeight="1">
      <c r="A188" s="83" t="s">
        <v>868</v>
      </c>
      <c r="B188" s="88">
        <v>6000027244</v>
      </c>
      <c r="C188" s="2" t="s">
        <v>1544</v>
      </c>
      <c r="D188" s="2">
        <v>6000027244</v>
      </c>
      <c r="E188" s="94">
        <v>20</v>
      </c>
      <c r="F188" s="74">
        <v>100</v>
      </c>
      <c r="G188" s="45">
        <f t="shared" si="13"/>
        <v>2000</v>
      </c>
      <c r="H188" s="119" t="s">
        <v>243</v>
      </c>
      <c r="I188" s="128">
        <v>45287</v>
      </c>
      <c r="J188" s="74">
        <v>100</v>
      </c>
      <c r="K188" s="74">
        <f>1+1</f>
        <v>2</v>
      </c>
      <c r="L188" s="156" t="s">
        <v>2316</v>
      </c>
      <c r="M188" s="90">
        <v>2000</v>
      </c>
      <c r="N188" s="90">
        <v>29</v>
      </c>
      <c r="O188" s="90" t="s">
        <v>898</v>
      </c>
      <c r="P188" s="94" t="s">
        <v>28</v>
      </c>
      <c r="Q188" s="94">
        <v>8500065090</v>
      </c>
      <c r="R188" s="94">
        <v>5001381976</v>
      </c>
      <c r="S188" s="74">
        <v>100</v>
      </c>
      <c r="T188" s="90" t="s">
        <v>655</v>
      </c>
      <c r="U188" s="90">
        <v>8500065089</v>
      </c>
      <c r="V188" s="90">
        <v>5001389482</v>
      </c>
      <c r="W188" s="109">
        <v>45289</v>
      </c>
      <c r="X188" s="106">
        <v>100</v>
      </c>
      <c r="Y188" s="106">
        <v>2000</v>
      </c>
      <c r="Z188" s="106" t="s">
        <v>800</v>
      </c>
      <c r="AA188" s="106">
        <f t="shared" si="14"/>
        <v>0</v>
      </c>
      <c r="AB188" s="106">
        <f t="shared" si="15"/>
        <v>0</v>
      </c>
      <c r="AC188" s="94"/>
      <c r="AD188" s="94"/>
      <c r="AE188" s="110"/>
      <c r="AF188" s="110"/>
      <c r="AG188" s="110"/>
      <c r="AH188" s="99"/>
    </row>
    <row r="189" spans="1:34" ht="26.25" customHeight="1">
      <c r="A189" s="83"/>
      <c r="B189" s="88"/>
      <c r="C189" s="2"/>
      <c r="D189" s="2"/>
      <c r="E189" s="94">
        <v>20</v>
      </c>
      <c r="F189" s="74">
        <v>500</v>
      </c>
      <c r="G189" s="45">
        <f t="shared" si="13"/>
        <v>10000</v>
      </c>
      <c r="H189" s="119" t="s">
        <v>27</v>
      </c>
      <c r="I189" s="128">
        <v>45288</v>
      </c>
      <c r="J189" s="74">
        <v>500</v>
      </c>
      <c r="K189" s="74">
        <f>5+2</f>
        <v>7</v>
      </c>
      <c r="L189" s="156" t="s">
        <v>2395</v>
      </c>
      <c r="M189" s="90">
        <f>8150+1850</f>
        <v>10000</v>
      </c>
      <c r="N189" s="90">
        <v>100</v>
      </c>
      <c r="O189" s="90" t="s">
        <v>2397</v>
      </c>
      <c r="P189" s="94" t="s">
        <v>28</v>
      </c>
      <c r="Q189" s="94">
        <v>8500065090</v>
      </c>
      <c r="R189" s="94">
        <v>5001386228</v>
      </c>
      <c r="S189" s="74">
        <v>500</v>
      </c>
      <c r="T189" s="90" t="s">
        <v>655</v>
      </c>
      <c r="U189" s="90">
        <v>8500065089</v>
      </c>
      <c r="V189" s="90">
        <v>5001386263</v>
      </c>
      <c r="W189" s="109">
        <v>45304</v>
      </c>
      <c r="X189" s="106">
        <v>500</v>
      </c>
      <c r="Y189" s="106">
        <v>10000</v>
      </c>
      <c r="Z189" s="106" t="s">
        <v>1608</v>
      </c>
      <c r="AA189" s="106">
        <f t="shared" si="14"/>
        <v>0</v>
      </c>
      <c r="AB189" s="106">
        <f t="shared" si="15"/>
        <v>0</v>
      </c>
      <c r="AC189" s="94"/>
      <c r="AD189" s="94"/>
      <c r="AE189" s="110"/>
      <c r="AF189" s="110"/>
      <c r="AG189" s="110"/>
      <c r="AH189" s="99"/>
    </row>
    <row r="190" spans="1:34" ht="26.25" customHeight="1">
      <c r="A190" s="83"/>
      <c r="B190" s="88"/>
      <c r="C190" s="2"/>
      <c r="D190" s="2"/>
      <c r="E190" s="94">
        <v>20</v>
      </c>
      <c r="F190" s="74">
        <v>800</v>
      </c>
      <c r="G190" s="45">
        <f t="shared" si="13"/>
        <v>16000</v>
      </c>
      <c r="H190" s="119" t="s">
        <v>46</v>
      </c>
      <c r="I190" s="128">
        <v>45287</v>
      </c>
      <c r="J190" s="74">
        <v>800</v>
      </c>
      <c r="K190" s="74">
        <v>8</v>
      </c>
      <c r="L190" s="156" t="s">
        <v>2396</v>
      </c>
      <c r="M190" s="90">
        <f>15200+800</f>
        <v>16000</v>
      </c>
      <c r="N190" s="90">
        <v>150</v>
      </c>
      <c r="O190" s="90" t="s">
        <v>2398</v>
      </c>
      <c r="P190" s="94" t="s">
        <v>28</v>
      </c>
      <c r="Q190" s="94">
        <v>8500065090</v>
      </c>
      <c r="R190" s="94">
        <v>5001381976</v>
      </c>
      <c r="S190" s="74">
        <v>800</v>
      </c>
      <c r="T190" s="90" t="s">
        <v>655</v>
      </c>
      <c r="U190" s="90">
        <v>8500065089</v>
      </c>
      <c r="V190" s="90">
        <v>5001389482</v>
      </c>
      <c r="W190" s="109">
        <v>45309</v>
      </c>
      <c r="X190" s="106">
        <v>800</v>
      </c>
      <c r="Y190" s="106">
        <v>16000</v>
      </c>
      <c r="Z190" s="106" t="s">
        <v>1609</v>
      </c>
      <c r="AA190" s="106">
        <f t="shared" si="14"/>
        <v>0</v>
      </c>
      <c r="AB190" s="106">
        <f t="shared" si="15"/>
        <v>0</v>
      </c>
      <c r="AC190" s="94"/>
      <c r="AD190" s="94"/>
      <c r="AE190" s="110"/>
      <c r="AF190" s="110"/>
      <c r="AG190" s="110"/>
      <c r="AH190" s="99"/>
    </row>
    <row r="191" spans="1:34" ht="26.25" customHeight="1">
      <c r="A191" s="83"/>
      <c r="B191" s="88"/>
      <c r="C191" s="2"/>
      <c r="D191" s="2"/>
      <c r="E191" s="94">
        <v>20</v>
      </c>
      <c r="F191" s="74">
        <v>250</v>
      </c>
      <c r="G191" s="45">
        <f t="shared" si="13"/>
        <v>5000</v>
      </c>
      <c r="H191" s="119" t="s">
        <v>37</v>
      </c>
      <c r="I191" s="128">
        <v>45287</v>
      </c>
      <c r="J191" s="74">
        <v>250</v>
      </c>
      <c r="K191" s="74">
        <v>1</v>
      </c>
      <c r="L191" s="156" t="s">
        <v>2396</v>
      </c>
      <c r="M191" s="90">
        <f>4697+303</f>
        <v>5000</v>
      </c>
      <c r="N191" s="90">
        <v>47</v>
      </c>
      <c r="O191" s="90" t="s">
        <v>2399</v>
      </c>
      <c r="P191" s="94" t="s">
        <v>28</v>
      </c>
      <c r="Q191" s="94">
        <v>8500065090</v>
      </c>
      <c r="R191" s="94">
        <v>5001381976</v>
      </c>
      <c r="S191" s="74">
        <v>250</v>
      </c>
      <c r="T191" s="90" t="s">
        <v>655</v>
      </c>
      <c r="U191" s="90">
        <v>8500065089</v>
      </c>
      <c r="V191" s="90">
        <v>5001389482</v>
      </c>
      <c r="W191" s="109">
        <v>45304</v>
      </c>
      <c r="X191" s="106">
        <v>250</v>
      </c>
      <c r="Y191" s="106">
        <v>5000</v>
      </c>
      <c r="Z191" s="106" t="s">
        <v>1434</v>
      </c>
      <c r="AA191" s="106">
        <f t="shared" si="14"/>
        <v>0</v>
      </c>
      <c r="AB191" s="106">
        <f t="shared" si="15"/>
        <v>0</v>
      </c>
      <c r="AC191" s="94"/>
      <c r="AD191" s="94"/>
      <c r="AE191" s="110"/>
      <c r="AF191" s="110"/>
      <c r="AG191" s="110"/>
      <c r="AH191" s="99"/>
    </row>
    <row r="192" spans="1:34" ht="26.25" customHeight="1">
      <c r="A192" s="83" t="s">
        <v>868</v>
      </c>
      <c r="B192" s="88">
        <v>6000027245</v>
      </c>
      <c r="C192" s="2" t="s">
        <v>869</v>
      </c>
      <c r="D192" s="2">
        <v>6000027245</v>
      </c>
      <c r="E192" s="94">
        <v>20</v>
      </c>
      <c r="F192" s="74">
        <v>100</v>
      </c>
      <c r="G192" s="45">
        <f t="shared" si="13"/>
        <v>2000</v>
      </c>
      <c r="H192" s="119" t="s">
        <v>243</v>
      </c>
      <c r="I192" s="128">
        <v>45287</v>
      </c>
      <c r="J192" s="74">
        <v>100</v>
      </c>
      <c r="K192" s="74">
        <v>2</v>
      </c>
      <c r="L192" s="156">
        <v>45287</v>
      </c>
      <c r="M192" s="90">
        <v>2000</v>
      </c>
      <c r="N192" s="90">
        <v>50</v>
      </c>
      <c r="O192" s="90" t="s">
        <v>858</v>
      </c>
      <c r="P192" s="94" t="s">
        <v>28</v>
      </c>
      <c r="Q192" s="94">
        <v>8500065084</v>
      </c>
      <c r="R192" s="94"/>
      <c r="S192" s="74">
        <v>100</v>
      </c>
      <c r="T192" s="90" t="s">
        <v>655</v>
      </c>
      <c r="U192" s="90"/>
      <c r="V192" s="90"/>
      <c r="W192" s="109">
        <v>45318</v>
      </c>
      <c r="X192" s="106">
        <v>100</v>
      </c>
      <c r="Y192" s="106">
        <v>2000</v>
      </c>
      <c r="Z192" s="106" t="s">
        <v>1980</v>
      </c>
      <c r="AA192" s="106">
        <f t="shared" si="14"/>
        <v>0</v>
      </c>
      <c r="AB192" s="106">
        <f t="shared" si="15"/>
        <v>0</v>
      </c>
      <c r="AC192" s="94"/>
      <c r="AD192" s="94"/>
      <c r="AE192" s="110"/>
      <c r="AF192" s="110"/>
      <c r="AG192" s="110"/>
      <c r="AH192" s="99"/>
    </row>
    <row r="193" spans="1:34" ht="26.25" customHeight="1">
      <c r="A193" s="90"/>
      <c r="B193" s="88"/>
      <c r="C193" s="94"/>
      <c r="D193" s="95"/>
      <c r="E193" s="94">
        <v>20</v>
      </c>
      <c r="F193" s="74">
        <v>250</v>
      </c>
      <c r="G193" s="45">
        <f t="shared" si="13"/>
        <v>5000</v>
      </c>
      <c r="H193" s="119" t="s">
        <v>27</v>
      </c>
      <c r="I193" s="128">
        <v>45287</v>
      </c>
      <c r="J193" s="74">
        <v>250</v>
      </c>
      <c r="K193" s="74">
        <v>5</v>
      </c>
      <c r="L193" s="156">
        <v>45287</v>
      </c>
      <c r="M193" s="90">
        <v>5000</v>
      </c>
      <c r="N193" s="90">
        <v>100</v>
      </c>
      <c r="O193" s="90" t="s">
        <v>2296</v>
      </c>
      <c r="P193" s="94" t="s">
        <v>28</v>
      </c>
      <c r="Q193" s="94">
        <v>8500065084</v>
      </c>
      <c r="R193" s="94"/>
      <c r="S193" s="74">
        <v>250</v>
      </c>
      <c r="T193" s="90" t="s">
        <v>655</v>
      </c>
      <c r="U193" s="90"/>
      <c r="V193" s="90"/>
      <c r="W193" s="109">
        <v>45318</v>
      </c>
      <c r="X193" s="106">
        <v>250</v>
      </c>
      <c r="Y193" s="106">
        <v>5000</v>
      </c>
      <c r="Z193" s="106" t="s">
        <v>1980</v>
      </c>
      <c r="AA193" s="106">
        <f t="shared" si="14"/>
        <v>0</v>
      </c>
      <c r="AB193" s="106">
        <f t="shared" si="15"/>
        <v>0</v>
      </c>
      <c r="AC193" s="94"/>
      <c r="AD193" s="94"/>
      <c r="AE193" s="110"/>
      <c r="AF193" s="110"/>
      <c r="AG193" s="110"/>
      <c r="AH193" s="99"/>
    </row>
    <row r="194" spans="1:34" ht="26.25" customHeight="1">
      <c r="A194" s="90"/>
      <c r="B194" s="88"/>
      <c r="C194" s="94"/>
      <c r="D194" s="95"/>
      <c r="E194" s="94">
        <v>20</v>
      </c>
      <c r="F194" s="74">
        <v>180</v>
      </c>
      <c r="G194" s="45">
        <f t="shared" si="13"/>
        <v>3600</v>
      </c>
      <c r="H194" s="119" t="s">
        <v>46</v>
      </c>
      <c r="I194" s="128">
        <v>45287</v>
      </c>
      <c r="J194" s="74">
        <v>180</v>
      </c>
      <c r="K194" s="74">
        <v>4</v>
      </c>
      <c r="L194" s="156" t="s">
        <v>2400</v>
      </c>
      <c r="M194" s="90">
        <f>3450+150</f>
        <v>3600</v>
      </c>
      <c r="N194" s="90">
        <v>50</v>
      </c>
      <c r="O194" s="90" t="s">
        <v>2401</v>
      </c>
      <c r="P194" s="94" t="s">
        <v>28</v>
      </c>
      <c r="Q194" s="94">
        <v>8500065084</v>
      </c>
      <c r="R194" s="94"/>
      <c r="S194" s="74">
        <v>180</v>
      </c>
      <c r="T194" s="90" t="s">
        <v>655</v>
      </c>
      <c r="U194" s="90"/>
      <c r="V194" s="90"/>
      <c r="W194" s="109">
        <v>45318</v>
      </c>
      <c r="X194" s="106">
        <v>180</v>
      </c>
      <c r="Y194" s="106">
        <v>3600</v>
      </c>
      <c r="Z194" s="106" t="s">
        <v>1980</v>
      </c>
      <c r="AA194" s="106">
        <f t="shared" si="14"/>
        <v>0</v>
      </c>
      <c r="AB194" s="106">
        <f t="shared" si="15"/>
        <v>0</v>
      </c>
      <c r="AC194" s="94"/>
      <c r="AD194" s="94"/>
      <c r="AE194" s="110"/>
      <c r="AF194" s="110"/>
      <c r="AG194" s="110"/>
      <c r="AH194" s="99"/>
    </row>
    <row r="195" spans="1:34" ht="26.25" customHeight="1">
      <c r="A195" s="83"/>
      <c r="B195" s="88"/>
      <c r="C195" s="86"/>
      <c r="D195" s="87"/>
      <c r="E195" s="94">
        <v>20</v>
      </c>
      <c r="F195" s="74">
        <v>100</v>
      </c>
      <c r="G195" s="45">
        <f t="shared" si="13"/>
        <v>2000</v>
      </c>
      <c r="H195" s="119" t="s">
        <v>37</v>
      </c>
      <c r="I195" s="128">
        <v>45287</v>
      </c>
      <c r="J195" s="74">
        <v>100</v>
      </c>
      <c r="K195" s="74">
        <v>2</v>
      </c>
      <c r="L195" s="156">
        <v>45287</v>
      </c>
      <c r="M195" s="90">
        <v>2000</v>
      </c>
      <c r="N195" s="90">
        <v>50</v>
      </c>
      <c r="O195" s="90" t="s">
        <v>1344</v>
      </c>
      <c r="P195" s="94" t="s">
        <v>28</v>
      </c>
      <c r="Q195" s="94">
        <v>8500065084</v>
      </c>
      <c r="R195" s="94"/>
      <c r="S195" s="74">
        <v>100</v>
      </c>
      <c r="T195" s="90" t="s">
        <v>655</v>
      </c>
      <c r="U195" s="90"/>
      <c r="V195" s="90"/>
      <c r="W195" s="109">
        <v>45318</v>
      </c>
      <c r="X195" s="106">
        <v>100</v>
      </c>
      <c r="Y195" s="106">
        <v>2000</v>
      </c>
      <c r="Z195" s="106" t="s">
        <v>1980</v>
      </c>
      <c r="AA195" s="106">
        <f t="shared" si="14"/>
        <v>0</v>
      </c>
      <c r="AB195" s="106">
        <f t="shared" si="15"/>
        <v>0</v>
      </c>
      <c r="AC195" s="94"/>
      <c r="AD195" s="94"/>
      <c r="AE195" s="110"/>
      <c r="AF195" s="110"/>
      <c r="AG195" s="110"/>
      <c r="AH195" s="99"/>
    </row>
    <row r="196" spans="1:34" ht="26.25" customHeight="1">
      <c r="A196" s="90" t="s">
        <v>1610</v>
      </c>
      <c r="B196" s="88">
        <v>6000027470</v>
      </c>
      <c r="C196" s="2" t="s">
        <v>1752</v>
      </c>
      <c r="D196" s="2" t="s">
        <v>2304</v>
      </c>
      <c r="E196" s="94">
        <v>4</v>
      </c>
      <c r="F196" s="74">
        <v>1500</v>
      </c>
      <c r="G196" s="45">
        <f t="shared" si="13"/>
        <v>6000</v>
      </c>
      <c r="H196" s="119" t="s">
        <v>27</v>
      </c>
      <c r="I196" s="128">
        <v>45294</v>
      </c>
      <c r="J196" s="158">
        <v>1500</v>
      </c>
      <c r="K196" s="74">
        <v>20</v>
      </c>
      <c r="L196" s="156">
        <v>45288</v>
      </c>
      <c r="M196" s="90">
        <v>6000</v>
      </c>
      <c r="N196" s="90">
        <v>30</v>
      </c>
      <c r="O196" s="90"/>
      <c r="P196" s="94"/>
      <c r="Q196" s="94">
        <v>8500066757</v>
      </c>
      <c r="R196" s="94">
        <v>5000022554</v>
      </c>
      <c r="S196" s="158">
        <v>1500</v>
      </c>
      <c r="T196" s="90" t="s">
        <v>1666</v>
      </c>
      <c r="U196" s="90"/>
      <c r="V196" s="90"/>
      <c r="W196" s="109" t="s">
        <v>2307</v>
      </c>
      <c r="X196" s="106">
        <v>1500</v>
      </c>
      <c r="Y196" s="106">
        <f>1600+4400</f>
        <v>6000</v>
      </c>
      <c r="Z196" s="106" t="s">
        <v>825</v>
      </c>
      <c r="AA196" s="106">
        <f t="shared" si="14"/>
        <v>0</v>
      </c>
      <c r="AB196" s="106">
        <f t="shared" si="15"/>
        <v>0</v>
      </c>
      <c r="AC196" s="94" t="s">
        <v>2310</v>
      </c>
      <c r="AD196" s="511"/>
      <c r="AE196" s="110"/>
      <c r="AF196" s="110"/>
      <c r="AG196" s="110"/>
      <c r="AH196" s="99"/>
    </row>
    <row r="197" spans="1:34" ht="34.5" customHeight="1">
      <c r="A197" s="90"/>
      <c r="B197" s="88"/>
      <c r="C197" s="86"/>
      <c r="D197" s="95"/>
      <c r="E197" s="94">
        <v>4</v>
      </c>
      <c r="F197" s="74">
        <v>1800</v>
      </c>
      <c r="G197" s="45">
        <f t="shared" si="13"/>
        <v>7200</v>
      </c>
      <c r="H197" s="119" t="s">
        <v>46</v>
      </c>
      <c r="I197" s="128">
        <v>45288</v>
      </c>
      <c r="J197" s="158">
        <v>1800</v>
      </c>
      <c r="K197" s="74">
        <v>20</v>
      </c>
      <c r="L197" s="156">
        <v>45288</v>
      </c>
      <c r="M197" s="90">
        <v>7200</v>
      </c>
      <c r="N197" s="90">
        <v>36</v>
      </c>
      <c r="O197" s="90"/>
      <c r="P197" s="94" t="s">
        <v>2311</v>
      </c>
      <c r="Q197" s="94">
        <v>8500066757</v>
      </c>
      <c r="R197" s="94"/>
      <c r="S197" s="158">
        <v>1800</v>
      </c>
      <c r="T197" s="90" t="s">
        <v>1666</v>
      </c>
      <c r="U197" s="90"/>
      <c r="V197" s="90"/>
      <c r="W197" s="109" t="s">
        <v>2320</v>
      </c>
      <c r="X197" s="106">
        <f>1400+384+16</f>
        <v>1800</v>
      </c>
      <c r="Y197" s="106">
        <f>1600+5600</f>
        <v>7200</v>
      </c>
      <c r="Z197" s="106" t="s">
        <v>1380</v>
      </c>
      <c r="AA197" s="106">
        <f t="shared" si="14"/>
        <v>0</v>
      </c>
      <c r="AB197" s="106">
        <f t="shared" si="15"/>
        <v>0</v>
      </c>
      <c r="AC197" s="94"/>
      <c r="AD197" s="509"/>
      <c r="AE197" s="110"/>
      <c r="AF197" s="110"/>
      <c r="AG197" s="110"/>
      <c r="AH197" s="99"/>
    </row>
    <row r="198" spans="1:34" ht="33" customHeight="1">
      <c r="A198" s="90"/>
      <c r="B198" s="88"/>
      <c r="C198" s="94"/>
      <c r="D198" s="95"/>
      <c r="E198" s="94">
        <v>4</v>
      </c>
      <c r="F198" s="74">
        <v>1800</v>
      </c>
      <c r="G198" s="45">
        <f t="shared" si="13"/>
        <v>7200</v>
      </c>
      <c r="H198" s="119" t="s">
        <v>146</v>
      </c>
      <c r="I198" s="128">
        <v>48576</v>
      </c>
      <c r="J198" s="158">
        <v>1800</v>
      </c>
      <c r="K198" s="74">
        <v>20</v>
      </c>
      <c r="L198" s="156">
        <v>45288</v>
      </c>
      <c r="M198" s="90">
        <v>7200</v>
      </c>
      <c r="N198" s="90">
        <v>36</v>
      </c>
      <c r="O198" s="90"/>
      <c r="P198" s="94" t="s">
        <v>160</v>
      </c>
      <c r="Q198" s="94">
        <v>8500066757</v>
      </c>
      <c r="R198" s="94"/>
      <c r="S198" s="158">
        <v>1800</v>
      </c>
      <c r="T198" s="90" t="s">
        <v>1666</v>
      </c>
      <c r="U198" s="90"/>
      <c r="V198" s="90"/>
      <c r="W198" s="109" t="s">
        <v>2320</v>
      </c>
      <c r="X198" s="106">
        <f>1400+400</f>
        <v>1800</v>
      </c>
      <c r="Y198" s="106">
        <f>1600+5600</f>
        <v>7200</v>
      </c>
      <c r="Z198" s="106" t="s">
        <v>759</v>
      </c>
      <c r="AA198" s="106">
        <f t="shared" si="14"/>
        <v>0</v>
      </c>
      <c r="AB198" s="106">
        <f t="shared" si="15"/>
        <v>0</v>
      </c>
      <c r="AC198" s="94"/>
      <c r="AD198" s="510"/>
      <c r="AE198" s="110"/>
      <c r="AF198" s="110"/>
      <c r="AG198" s="110"/>
      <c r="AH198" s="99"/>
    </row>
    <row r="199" spans="1:34" ht="26.25" customHeight="1">
      <c r="A199" s="90" t="s">
        <v>1610</v>
      </c>
      <c r="B199" s="88">
        <v>6000027471</v>
      </c>
      <c r="C199" s="2" t="s">
        <v>1752</v>
      </c>
      <c r="D199" s="2" t="s">
        <v>2305</v>
      </c>
      <c r="E199" s="94">
        <v>4</v>
      </c>
      <c r="F199" s="74">
        <v>5100</v>
      </c>
      <c r="G199" s="45">
        <f t="shared" si="13"/>
        <v>20400</v>
      </c>
      <c r="H199" s="119" t="s">
        <v>37</v>
      </c>
      <c r="I199" s="128">
        <v>48576</v>
      </c>
      <c r="J199" s="158">
        <v>5100</v>
      </c>
      <c r="K199" s="74">
        <f>53+7</f>
        <v>60</v>
      </c>
      <c r="L199" s="156">
        <v>45288</v>
      </c>
      <c r="M199" s="90">
        <v>20400</v>
      </c>
      <c r="N199" s="90">
        <v>102</v>
      </c>
      <c r="O199" s="90"/>
      <c r="P199" s="94" t="s">
        <v>160</v>
      </c>
      <c r="Q199" s="94">
        <v>8500066318</v>
      </c>
      <c r="R199" s="94">
        <v>5000013365</v>
      </c>
      <c r="S199" s="158">
        <v>5100</v>
      </c>
      <c r="T199" s="90" t="s">
        <v>1666</v>
      </c>
      <c r="U199" s="90">
        <v>8500066317</v>
      </c>
      <c r="V199" s="90">
        <v>5000013364</v>
      </c>
      <c r="W199" s="109" t="s">
        <v>2402</v>
      </c>
      <c r="X199" s="106">
        <f>3000+750+1350</f>
        <v>5100</v>
      </c>
      <c r="Y199" s="106">
        <f>12000+3000+5400</f>
        <v>20400</v>
      </c>
      <c r="Z199" s="106" t="s">
        <v>2403</v>
      </c>
      <c r="AA199" s="106">
        <f t="shared" si="14"/>
        <v>0</v>
      </c>
      <c r="AB199" s="106">
        <f t="shared" si="15"/>
        <v>0</v>
      </c>
      <c r="AC199" s="94"/>
      <c r="AD199" s="94"/>
      <c r="AE199" s="110"/>
      <c r="AF199" s="110"/>
      <c r="AG199" s="110"/>
      <c r="AH199" s="99"/>
    </row>
    <row r="200" spans="1:34" ht="26.25" customHeight="1">
      <c r="A200" s="90" t="s">
        <v>1610</v>
      </c>
      <c r="B200" s="88">
        <v>6000027472</v>
      </c>
      <c r="C200" s="2" t="s">
        <v>1752</v>
      </c>
      <c r="D200" s="2" t="s">
        <v>2306</v>
      </c>
      <c r="E200" s="94">
        <v>4</v>
      </c>
      <c r="F200" s="74">
        <v>2200</v>
      </c>
      <c r="G200" s="45">
        <f t="shared" si="13"/>
        <v>8800</v>
      </c>
      <c r="H200" s="119" t="s">
        <v>46</v>
      </c>
      <c r="I200" s="133" t="s">
        <v>2327</v>
      </c>
      <c r="J200" s="158">
        <v>2200</v>
      </c>
      <c r="K200" s="74">
        <v>24</v>
      </c>
      <c r="L200" s="233" t="s">
        <v>2327</v>
      </c>
      <c r="M200" s="45">
        <v>8800</v>
      </c>
      <c r="N200" s="90">
        <v>44</v>
      </c>
      <c r="O200" s="90"/>
      <c r="P200" s="94" t="s">
        <v>2311</v>
      </c>
      <c r="Q200" s="94">
        <v>8500066440</v>
      </c>
      <c r="R200" s="94">
        <v>5000022474</v>
      </c>
      <c r="S200" s="158">
        <v>2200</v>
      </c>
      <c r="T200" s="90" t="s">
        <v>1666</v>
      </c>
      <c r="U200" s="90">
        <v>8500066439</v>
      </c>
      <c r="V200" s="90">
        <v>5000022472</v>
      </c>
      <c r="W200" s="109">
        <v>45290</v>
      </c>
      <c r="X200" s="106">
        <v>2200</v>
      </c>
      <c r="Y200" s="106">
        <v>8800</v>
      </c>
      <c r="Z200" s="106" t="s">
        <v>197</v>
      </c>
      <c r="AA200" s="106">
        <f t="shared" si="14"/>
        <v>0</v>
      </c>
      <c r="AB200" s="106">
        <f t="shared" si="15"/>
        <v>0</v>
      </c>
      <c r="AC200" s="94"/>
      <c r="AD200" s="94"/>
      <c r="AE200" s="110"/>
      <c r="AF200" s="110"/>
      <c r="AG200" s="110"/>
      <c r="AH200" s="99"/>
    </row>
    <row r="201" spans="1:34" ht="26.25" customHeight="1">
      <c r="A201" s="90"/>
      <c r="B201" s="88"/>
      <c r="C201" s="94"/>
      <c r="D201" s="95"/>
      <c r="E201" s="94">
        <v>4</v>
      </c>
      <c r="F201" s="74">
        <v>2900</v>
      </c>
      <c r="G201" s="45">
        <f t="shared" si="13"/>
        <v>11600</v>
      </c>
      <c r="H201" s="119" t="s">
        <v>37</v>
      </c>
      <c r="I201" s="133" t="s">
        <v>2327</v>
      </c>
      <c r="J201" s="158">
        <v>2900</v>
      </c>
      <c r="K201" s="74">
        <v>31</v>
      </c>
      <c r="L201" s="233" t="s">
        <v>2327</v>
      </c>
      <c r="M201" s="90">
        <v>11600</v>
      </c>
      <c r="N201" s="90">
        <v>58</v>
      </c>
      <c r="O201" s="90"/>
      <c r="P201" s="94" t="s">
        <v>2311</v>
      </c>
      <c r="Q201" s="94">
        <v>8500066440</v>
      </c>
      <c r="R201" s="94">
        <v>5000022474</v>
      </c>
      <c r="S201" s="158">
        <v>2900</v>
      </c>
      <c r="T201" s="90" t="s">
        <v>1666</v>
      </c>
      <c r="U201" s="90">
        <v>8500066439</v>
      </c>
      <c r="V201" s="90">
        <v>5000022472</v>
      </c>
      <c r="W201" s="109">
        <v>45296</v>
      </c>
      <c r="X201" s="106">
        <v>2900</v>
      </c>
      <c r="Y201" s="106">
        <v>11600</v>
      </c>
      <c r="Z201" s="106" t="s">
        <v>1980</v>
      </c>
      <c r="AA201" s="106">
        <f t="shared" si="14"/>
        <v>0</v>
      </c>
      <c r="AB201" s="106">
        <f t="shared" si="15"/>
        <v>0</v>
      </c>
      <c r="AC201" s="94">
        <v>80041416</v>
      </c>
      <c r="AD201" s="94"/>
      <c r="AE201" s="110"/>
      <c r="AF201" s="110"/>
      <c r="AG201" s="110"/>
      <c r="AH201" s="99"/>
    </row>
    <row r="202" spans="1:34" ht="26.25" customHeight="1">
      <c r="A202" s="90" t="s">
        <v>652</v>
      </c>
      <c r="B202" s="88">
        <v>6000027216</v>
      </c>
      <c r="C202" s="2" t="s">
        <v>2060</v>
      </c>
      <c r="D202" s="2">
        <v>2342507</v>
      </c>
      <c r="E202" s="94">
        <v>10</v>
      </c>
      <c r="F202" s="74">
        <v>550</v>
      </c>
      <c r="G202" s="45">
        <f t="shared" si="13"/>
        <v>5500</v>
      </c>
      <c r="H202" s="119" t="s">
        <v>27</v>
      </c>
      <c r="I202" s="128">
        <v>45299</v>
      </c>
      <c r="J202" s="158">
        <v>550</v>
      </c>
      <c r="K202" s="74">
        <f>6+4</f>
        <v>10</v>
      </c>
      <c r="L202" s="237">
        <v>45294</v>
      </c>
      <c r="M202" s="90">
        <v>5500</v>
      </c>
      <c r="N202" s="90">
        <v>50</v>
      </c>
      <c r="O202" s="90" t="s">
        <v>735</v>
      </c>
      <c r="P202" s="94" t="s">
        <v>160</v>
      </c>
      <c r="Q202" s="94">
        <v>8500065135</v>
      </c>
      <c r="R202" s="94">
        <v>5000030791</v>
      </c>
      <c r="S202" s="158">
        <v>550</v>
      </c>
      <c r="T202" s="90" t="s">
        <v>655</v>
      </c>
      <c r="U202" s="90">
        <v>8500065131</v>
      </c>
      <c r="V202" s="90">
        <v>5000013231</v>
      </c>
      <c r="W202" s="109">
        <v>45317</v>
      </c>
      <c r="X202" s="106">
        <v>550</v>
      </c>
      <c r="Y202" s="106">
        <v>5500</v>
      </c>
      <c r="Z202" s="106" t="s">
        <v>2112</v>
      </c>
      <c r="AA202" s="106">
        <f>J202-X202</f>
        <v>0</v>
      </c>
      <c r="AB202" s="106">
        <f>M202-Y202</f>
        <v>0</v>
      </c>
      <c r="AC202" s="485" t="s">
        <v>2512</v>
      </c>
      <c r="AD202" s="94"/>
      <c r="AE202" s="110"/>
      <c r="AF202" s="110"/>
      <c r="AG202" s="110"/>
      <c r="AH202" s="99"/>
    </row>
    <row r="203" spans="1:34" ht="26.25" customHeight="1">
      <c r="A203" s="90"/>
      <c r="B203" s="88"/>
      <c r="C203" s="2"/>
      <c r="D203" s="95"/>
      <c r="E203" s="94">
        <v>10</v>
      </c>
      <c r="F203" s="74">
        <v>1334</v>
      </c>
      <c r="G203" s="45">
        <f t="shared" si="13"/>
        <v>13340</v>
      </c>
      <c r="H203" s="119" t="s">
        <v>46</v>
      </c>
      <c r="I203" s="128" t="s">
        <v>2477</v>
      </c>
      <c r="J203" s="158">
        <f>568+766</f>
        <v>1334</v>
      </c>
      <c r="K203" s="74">
        <f>4+14</f>
        <v>18</v>
      </c>
      <c r="L203" s="237">
        <v>45294</v>
      </c>
      <c r="M203" s="90">
        <v>13340</v>
      </c>
      <c r="N203" s="90">
        <v>110</v>
      </c>
      <c r="O203" s="90"/>
      <c r="P203" s="94" t="s">
        <v>160</v>
      </c>
      <c r="Q203" s="94">
        <v>8500065135</v>
      </c>
      <c r="R203" s="94">
        <v>5000038692</v>
      </c>
      <c r="S203" s="158">
        <f>568+766</f>
        <v>1334</v>
      </c>
      <c r="T203" s="90" t="s">
        <v>655</v>
      </c>
      <c r="U203" s="90">
        <v>8500065131</v>
      </c>
      <c r="V203" s="90">
        <v>5000013231</v>
      </c>
      <c r="W203" s="109">
        <v>45317</v>
      </c>
      <c r="X203" s="106">
        <v>1334</v>
      </c>
      <c r="Y203" s="106">
        <v>13340</v>
      </c>
      <c r="Z203" s="106" t="s">
        <v>2112</v>
      </c>
      <c r="AA203" s="106">
        <f>J203-X203</f>
        <v>0</v>
      </c>
      <c r="AB203" s="106">
        <f>M203-Y203</f>
        <v>0</v>
      </c>
      <c r="AC203" s="486"/>
      <c r="AD203" s="94"/>
      <c r="AE203" s="110"/>
      <c r="AF203" s="110"/>
      <c r="AG203" s="110"/>
      <c r="AH203" s="99"/>
    </row>
    <row r="204" spans="1:34" ht="26.25" customHeight="1">
      <c r="A204" s="90"/>
      <c r="B204" s="88"/>
      <c r="C204" s="2"/>
      <c r="D204" s="95"/>
      <c r="E204" s="94">
        <v>10</v>
      </c>
      <c r="F204" s="74">
        <v>1334</v>
      </c>
      <c r="G204" s="45">
        <f t="shared" si="13"/>
        <v>13340</v>
      </c>
      <c r="H204" s="119" t="s">
        <v>37</v>
      </c>
      <c r="I204" s="128" t="s">
        <v>2446</v>
      </c>
      <c r="J204" s="158">
        <f>630+704</f>
        <v>1334</v>
      </c>
      <c r="K204" s="74">
        <f>14+25</f>
        <v>39</v>
      </c>
      <c r="L204" s="237">
        <v>45294</v>
      </c>
      <c r="M204" s="90">
        <v>13340</v>
      </c>
      <c r="N204" s="90">
        <v>110</v>
      </c>
      <c r="O204" s="90"/>
      <c r="P204" s="94" t="s">
        <v>160</v>
      </c>
      <c r="Q204" s="94">
        <v>8500065135</v>
      </c>
      <c r="R204" s="94">
        <v>5000030791</v>
      </c>
      <c r="S204" s="158">
        <f>630+704</f>
        <v>1334</v>
      </c>
      <c r="T204" s="90" t="s">
        <v>655</v>
      </c>
      <c r="U204" s="90">
        <v>8500065131</v>
      </c>
      <c r="V204" s="90">
        <v>5000013231</v>
      </c>
      <c r="W204" s="109">
        <v>45317</v>
      </c>
      <c r="X204" s="106">
        <v>1334</v>
      </c>
      <c r="Y204" s="106">
        <v>13340</v>
      </c>
      <c r="Z204" s="106" t="s">
        <v>2112</v>
      </c>
      <c r="AA204" s="106">
        <f>J204-X204</f>
        <v>0</v>
      </c>
      <c r="AB204" s="106">
        <f>M204-Y204</f>
        <v>0</v>
      </c>
      <c r="AC204" s="486"/>
      <c r="AD204" s="94"/>
      <c r="AE204" s="110"/>
      <c r="AF204" s="110"/>
      <c r="AG204" s="110"/>
      <c r="AH204" s="99"/>
    </row>
    <row r="205" spans="1:34" ht="26.25" customHeight="1">
      <c r="A205" s="90"/>
      <c r="B205" s="88"/>
      <c r="C205" s="2"/>
      <c r="D205" s="95"/>
      <c r="E205" s="94">
        <v>10</v>
      </c>
      <c r="F205" s="74">
        <v>432</v>
      </c>
      <c r="G205" s="45">
        <f t="shared" si="13"/>
        <v>4320</v>
      </c>
      <c r="H205" s="119" t="s">
        <v>146</v>
      </c>
      <c r="I205" s="128" t="s">
        <v>2477</v>
      </c>
      <c r="J205" s="158">
        <f>317+115</f>
        <v>432</v>
      </c>
      <c r="K205" s="74">
        <f>14+6</f>
        <v>20</v>
      </c>
      <c r="L205" s="237">
        <v>45294</v>
      </c>
      <c r="M205" s="90">
        <v>4320</v>
      </c>
      <c r="N205" s="90">
        <v>50</v>
      </c>
      <c r="O205" s="90" t="s">
        <v>736</v>
      </c>
      <c r="P205" s="94" t="s">
        <v>160</v>
      </c>
      <c r="Q205" s="94">
        <v>8500065135</v>
      </c>
      <c r="R205" s="94">
        <v>5000038692</v>
      </c>
      <c r="S205" s="158">
        <f>317+115</f>
        <v>432</v>
      </c>
      <c r="T205" s="90" t="s">
        <v>655</v>
      </c>
      <c r="U205" s="90">
        <v>8500065131</v>
      </c>
      <c r="V205" s="90">
        <v>5000013231</v>
      </c>
      <c r="W205" s="109" t="s">
        <v>2734</v>
      </c>
      <c r="X205" s="106">
        <f>262+170</f>
        <v>432</v>
      </c>
      <c r="Y205" s="106">
        <f>2620+1700</f>
        <v>4320</v>
      </c>
      <c r="Z205" s="106" t="s">
        <v>2735</v>
      </c>
      <c r="AA205" s="106">
        <f>J205-X205</f>
        <v>0</v>
      </c>
      <c r="AB205" s="106">
        <f>M205-Y205</f>
        <v>0</v>
      </c>
      <c r="AC205" s="486"/>
      <c r="AD205" s="94"/>
      <c r="AE205" s="110"/>
      <c r="AF205" s="110"/>
      <c r="AG205" s="110"/>
      <c r="AH205" s="99"/>
    </row>
    <row r="206" spans="1:34" ht="26.25" customHeight="1">
      <c r="A206" s="246" t="s">
        <v>652</v>
      </c>
      <c r="B206" s="247">
        <v>6000027216</v>
      </c>
      <c r="C206" s="248" t="s">
        <v>2119</v>
      </c>
      <c r="D206" s="249"/>
      <c r="E206" s="94"/>
      <c r="F206" s="74"/>
      <c r="G206" s="45">
        <f t="shared" si="13"/>
        <v>0</v>
      </c>
      <c r="H206" s="119"/>
      <c r="I206" s="133"/>
      <c r="J206" s="158"/>
      <c r="K206" s="74"/>
      <c r="L206" s="156"/>
      <c r="M206" s="90"/>
      <c r="N206" s="90"/>
      <c r="O206" s="90"/>
      <c r="P206" s="94" t="s">
        <v>2073</v>
      </c>
      <c r="Q206" s="94">
        <v>8500065142</v>
      </c>
      <c r="R206" s="94">
        <v>5001376700</v>
      </c>
      <c r="S206" s="94"/>
      <c r="T206" s="90" t="s">
        <v>895</v>
      </c>
      <c r="U206" s="90"/>
      <c r="V206" s="90"/>
      <c r="W206" s="105"/>
      <c r="X206" s="106"/>
      <c r="Y206" s="106"/>
      <c r="Z206" s="106"/>
      <c r="AA206" s="106">
        <f>J206-X206</f>
        <v>0</v>
      </c>
      <c r="AB206" s="106">
        <f>M206-Y206</f>
        <v>0</v>
      </c>
      <c r="AC206" s="487"/>
      <c r="AD206" s="94"/>
      <c r="AE206" s="110"/>
      <c r="AF206" s="110"/>
      <c r="AG206" s="110"/>
      <c r="AH206" s="99"/>
    </row>
    <row r="207" spans="1:34" ht="26.25" customHeight="1">
      <c r="A207" s="246" t="s">
        <v>240</v>
      </c>
      <c r="B207" s="247">
        <v>6000027600</v>
      </c>
      <c r="C207" s="248"/>
      <c r="D207" s="249"/>
      <c r="E207" s="94"/>
      <c r="F207" s="74"/>
      <c r="G207" s="45">
        <f t="shared" ref="G207:G231" si="16">F207*E207</f>
        <v>0</v>
      </c>
      <c r="H207" s="119"/>
      <c r="I207" s="133"/>
      <c r="J207" s="158"/>
      <c r="K207" s="74"/>
      <c r="L207" s="162"/>
      <c r="M207" s="90"/>
      <c r="N207" s="90"/>
      <c r="O207" s="90"/>
      <c r="P207" s="94" t="s">
        <v>2073</v>
      </c>
      <c r="Q207" s="94">
        <v>8500065739</v>
      </c>
      <c r="R207" s="94">
        <v>5001388781</v>
      </c>
      <c r="S207" s="94"/>
      <c r="T207" s="90" t="s">
        <v>895</v>
      </c>
      <c r="U207" s="90"/>
      <c r="V207" s="90"/>
      <c r="W207" s="105"/>
      <c r="X207" s="106"/>
      <c r="Y207" s="106"/>
      <c r="Z207" s="106"/>
      <c r="AA207" s="106">
        <f t="shared" si="14"/>
        <v>0</v>
      </c>
      <c r="AB207" s="106">
        <f t="shared" si="15"/>
        <v>0</v>
      </c>
      <c r="AC207" s="94"/>
      <c r="AD207" s="94"/>
      <c r="AE207" s="110"/>
      <c r="AF207" s="110"/>
      <c r="AG207" s="110"/>
      <c r="AH207" s="99"/>
    </row>
    <row r="208" spans="1:34" ht="26.25" customHeight="1">
      <c r="A208" s="246" t="s">
        <v>240</v>
      </c>
      <c r="B208" s="247">
        <v>6000027549</v>
      </c>
      <c r="C208" s="248"/>
      <c r="D208" s="249"/>
      <c r="E208" s="94"/>
      <c r="F208" s="74"/>
      <c r="G208" s="45">
        <f t="shared" si="16"/>
        <v>0</v>
      </c>
      <c r="H208" s="119"/>
      <c r="I208" s="133"/>
      <c r="J208" s="158"/>
      <c r="K208" s="74"/>
      <c r="L208" s="156"/>
      <c r="M208" s="90"/>
      <c r="N208" s="90"/>
      <c r="O208" s="90"/>
      <c r="P208" s="94" t="s">
        <v>2073</v>
      </c>
      <c r="Q208" s="94"/>
      <c r="R208" s="94"/>
      <c r="S208" s="94"/>
      <c r="T208" s="90" t="s">
        <v>895</v>
      </c>
      <c r="U208" s="90"/>
      <c r="V208" s="90"/>
      <c r="W208" s="105"/>
      <c r="X208" s="106"/>
      <c r="Y208" s="106"/>
      <c r="Z208" s="106"/>
      <c r="AA208" s="106">
        <f t="shared" si="14"/>
        <v>0</v>
      </c>
      <c r="AB208" s="106">
        <f t="shared" si="15"/>
        <v>0</v>
      </c>
      <c r="AC208" s="94"/>
      <c r="AD208" s="94"/>
      <c r="AE208" s="110"/>
      <c r="AF208" s="110"/>
      <c r="AG208" s="110"/>
      <c r="AH208" s="99"/>
    </row>
    <row r="209" spans="1:34" ht="26.25" customHeight="1">
      <c r="A209" s="246" t="s">
        <v>240</v>
      </c>
      <c r="B209" s="247">
        <v>6000027550</v>
      </c>
      <c r="C209" s="248"/>
      <c r="D209" s="249"/>
      <c r="E209" s="94"/>
      <c r="F209" s="74"/>
      <c r="G209" s="45"/>
      <c r="H209" s="119" t="s">
        <v>243</v>
      </c>
      <c r="I209" s="128">
        <v>45303</v>
      </c>
      <c r="J209" s="158">
        <v>340</v>
      </c>
      <c r="K209" s="74"/>
      <c r="L209" s="156">
        <v>45303</v>
      </c>
      <c r="M209" s="90">
        <v>3400</v>
      </c>
      <c r="N209" s="90"/>
      <c r="O209" s="90"/>
      <c r="P209" s="94" t="s">
        <v>1666</v>
      </c>
      <c r="Q209" s="94"/>
      <c r="R209" s="94"/>
      <c r="S209" s="158">
        <v>340</v>
      </c>
      <c r="T209" s="90" t="s">
        <v>1666</v>
      </c>
      <c r="U209" s="90"/>
      <c r="V209" s="90"/>
      <c r="W209" s="109">
        <v>45310</v>
      </c>
      <c r="X209" s="106">
        <v>340</v>
      </c>
      <c r="Y209" s="106">
        <v>3400</v>
      </c>
      <c r="Z209" s="106" t="s">
        <v>800</v>
      </c>
      <c r="AA209" s="106">
        <f>J209-X209</f>
        <v>0</v>
      </c>
      <c r="AB209" s="106">
        <f>M209-Y209</f>
        <v>0</v>
      </c>
      <c r="AC209" s="94" t="s">
        <v>2536</v>
      </c>
      <c r="AD209" s="94" t="s">
        <v>2537</v>
      </c>
      <c r="AE209" s="110"/>
      <c r="AF209" s="110"/>
      <c r="AG209" s="110"/>
      <c r="AH209" s="99"/>
    </row>
    <row r="210" spans="1:34" ht="26.25" customHeight="1">
      <c r="A210" s="90" t="s">
        <v>1481</v>
      </c>
      <c r="B210" s="88">
        <v>6000027488</v>
      </c>
      <c r="C210" s="2" t="s">
        <v>1480</v>
      </c>
      <c r="D210" s="2" t="s">
        <v>2315</v>
      </c>
      <c r="E210" s="94">
        <v>10</v>
      </c>
      <c r="F210" s="74">
        <v>800</v>
      </c>
      <c r="G210" s="45">
        <f t="shared" si="16"/>
        <v>8000</v>
      </c>
      <c r="H210" s="119" t="s">
        <v>27</v>
      </c>
      <c r="I210" s="133" t="s">
        <v>2383</v>
      </c>
      <c r="J210" s="74">
        <v>800</v>
      </c>
      <c r="K210" s="74">
        <v>10</v>
      </c>
      <c r="L210" s="156" t="s">
        <v>2415</v>
      </c>
      <c r="M210" s="90">
        <f>7000+1000</f>
        <v>8000</v>
      </c>
      <c r="N210" s="90">
        <v>80</v>
      </c>
      <c r="O210" s="90" t="s">
        <v>2417</v>
      </c>
      <c r="P210" s="94" t="s">
        <v>28</v>
      </c>
      <c r="Q210" s="94">
        <v>8500065602</v>
      </c>
      <c r="R210" s="94">
        <v>5000012724</v>
      </c>
      <c r="S210" s="74">
        <v>800</v>
      </c>
      <c r="T210" s="90" t="s">
        <v>1558</v>
      </c>
      <c r="U210" s="90">
        <v>8500065601</v>
      </c>
      <c r="V210" s="90">
        <v>5001390119</v>
      </c>
      <c r="W210" s="109">
        <v>45301</v>
      </c>
      <c r="X210" s="106">
        <v>800</v>
      </c>
      <c r="Y210" s="106">
        <v>8000</v>
      </c>
      <c r="Z210" s="106" t="s">
        <v>727</v>
      </c>
      <c r="AA210" s="106">
        <f t="shared" si="14"/>
        <v>0</v>
      </c>
      <c r="AB210" s="106">
        <f t="shared" si="15"/>
        <v>0</v>
      </c>
      <c r="AC210" s="94"/>
      <c r="AD210" s="94"/>
      <c r="AE210" s="110"/>
      <c r="AF210" s="110"/>
      <c r="AG210" s="110"/>
      <c r="AH210" s="99"/>
    </row>
    <row r="211" spans="1:34" ht="26.25" customHeight="1">
      <c r="A211" s="90"/>
      <c r="B211" s="88"/>
      <c r="C211" s="94"/>
      <c r="D211" s="95"/>
      <c r="E211" s="94">
        <v>10</v>
      </c>
      <c r="F211" s="74">
        <v>1050</v>
      </c>
      <c r="G211" s="45">
        <f t="shared" si="16"/>
        <v>10500</v>
      </c>
      <c r="H211" s="119" t="s">
        <v>46</v>
      </c>
      <c r="I211" s="133" t="s">
        <v>2383</v>
      </c>
      <c r="J211" s="74">
        <v>1050</v>
      </c>
      <c r="K211" s="74">
        <v>5</v>
      </c>
      <c r="L211" s="156" t="s">
        <v>2415</v>
      </c>
      <c r="M211" s="90">
        <f>10200+300</f>
        <v>10500</v>
      </c>
      <c r="N211" s="90">
        <v>105</v>
      </c>
      <c r="O211" s="90" t="s">
        <v>2416</v>
      </c>
      <c r="P211" s="94" t="s">
        <v>28</v>
      </c>
      <c r="Q211" s="94">
        <v>8500065602</v>
      </c>
      <c r="R211" s="94">
        <v>5000012724</v>
      </c>
      <c r="S211" s="74">
        <v>1050</v>
      </c>
      <c r="T211" s="90" t="s">
        <v>1558</v>
      </c>
      <c r="U211" s="90">
        <v>8500065601</v>
      </c>
      <c r="V211" s="90">
        <v>5001390119</v>
      </c>
      <c r="W211" s="109" t="s">
        <v>2454</v>
      </c>
      <c r="X211" s="106">
        <f>500+550</f>
        <v>1050</v>
      </c>
      <c r="Y211" s="106">
        <f>5000+5500</f>
        <v>10500</v>
      </c>
      <c r="Z211" s="106" t="s">
        <v>1785</v>
      </c>
      <c r="AA211" s="106">
        <f t="shared" si="14"/>
        <v>0</v>
      </c>
      <c r="AB211" s="106">
        <f t="shared" si="15"/>
        <v>0</v>
      </c>
      <c r="AC211" s="94"/>
      <c r="AD211" s="94"/>
      <c r="AE211" s="110"/>
      <c r="AF211" s="110"/>
      <c r="AG211" s="110"/>
      <c r="AH211" s="99"/>
    </row>
    <row r="212" spans="1:34" ht="26.25" customHeight="1">
      <c r="A212" s="90"/>
      <c r="B212" s="88"/>
      <c r="C212" s="94"/>
      <c r="D212" s="95"/>
      <c r="E212" s="94">
        <v>10</v>
      </c>
      <c r="F212" s="74">
        <v>630</v>
      </c>
      <c r="G212" s="45">
        <f t="shared" si="16"/>
        <v>6300</v>
      </c>
      <c r="H212" s="119" t="s">
        <v>37</v>
      </c>
      <c r="I212" s="133" t="s">
        <v>2383</v>
      </c>
      <c r="J212" s="74">
        <v>630</v>
      </c>
      <c r="K212" s="74">
        <v>9</v>
      </c>
      <c r="L212" s="156">
        <v>45289</v>
      </c>
      <c r="M212" s="90">
        <v>6300</v>
      </c>
      <c r="N212" s="90">
        <v>63</v>
      </c>
      <c r="O212" s="90" t="s">
        <v>1591</v>
      </c>
      <c r="P212" s="94" t="s">
        <v>28</v>
      </c>
      <c r="Q212" s="94">
        <v>8500065602</v>
      </c>
      <c r="R212" s="94">
        <v>5000012724</v>
      </c>
      <c r="S212" s="74">
        <v>630</v>
      </c>
      <c r="T212" s="90" t="s">
        <v>1558</v>
      </c>
      <c r="U212" s="90">
        <v>8500065601</v>
      </c>
      <c r="V212" s="90">
        <v>5001390119</v>
      </c>
      <c r="W212" s="109">
        <v>45307</v>
      </c>
      <c r="X212" s="106">
        <v>630</v>
      </c>
      <c r="Y212" s="106">
        <v>6300</v>
      </c>
      <c r="Z212" s="106" t="s">
        <v>927</v>
      </c>
      <c r="AA212" s="106">
        <f t="shared" si="14"/>
        <v>0</v>
      </c>
      <c r="AB212" s="106">
        <f t="shared" si="15"/>
        <v>0</v>
      </c>
      <c r="AC212" s="94"/>
      <c r="AD212" s="94"/>
      <c r="AE212" s="110"/>
      <c r="AF212" s="110"/>
      <c r="AG212" s="110"/>
      <c r="AH212" s="99"/>
    </row>
    <row r="213" spans="1:34" ht="26.25" customHeight="1">
      <c r="A213" s="90"/>
      <c r="B213" s="88"/>
      <c r="C213" s="94"/>
      <c r="D213" s="95"/>
      <c r="E213" s="94">
        <v>10</v>
      </c>
      <c r="F213" s="74">
        <v>180</v>
      </c>
      <c r="G213" s="45">
        <f t="shared" si="16"/>
        <v>1800</v>
      </c>
      <c r="H213" s="119" t="s">
        <v>146</v>
      </c>
      <c r="I213" s="133" t="s">
        <v>2383</v>
      </c>
      <c r="J213" s="74">
        <v>180</v>
      </c>
      <c r="K213" s="74">
        <v>2</v>
      </c>
      <c r="L213" s="156">
        <v>45289</v>
      </c>
      <c r="M213" s="90">
        <v>1800</v>
      </c>
      <c r="N213" s="90">
        <v>18</v>
      </c>
      <c r="O213" s="90" t="s">
        <v>1591</v>
      </c>
      <c r="P213" s="94" t="s">
        <v>28</v>
      </c>
      <c r="Q213" s="94">
        <v>8500065606</v>
      </c>
      <c r="R213" s="94">
        <v>5000012725</v>
      </c>
      <c r="S213" s="74">
        <v>180</v>
      </c>
      <c r="T213" s="90" t="s">
        <v>1558</v>
      </c>
      <c r="U213" s="90">
        <v>8500065604</v>
      </c>
      <c r="V213" s="90">
        <v>5001390130</v>
      </c>
      <c r="W213" s="109">
        <v>45314</v>
      </c>
      <c r="X213" s="106">
        <v>180</v>
      </c>
      <c r="Y213" s="106">
        <v>1800</v>
      </c>
      <c r="Z213" s="106" t="s">
        <v>759</v>
      </c>
      <c r="AA213" s="106">
        <f t="shared" si="14"/>
        <v>0</v>
      </c>
      <c r="AB213" s="106">
        <f t="shared" si="15"/>
        <v>0</v>
      </c>
      <c r="AC213" s="94"/>
      <c r="AD213" s="94"/>
      <c r="AE213" s="110"/>
      <c r="AF213" s="110"/>
      <c r="AG213" s="110"/>
      <c r="AH213" s="99"/>
    </row>
    <row r="214" spans="1:34" ht="26.25" customHeight="1">
      <c r="A214" s="265" t="s">
        <v>868</v>
      </c>
      <c r="B214" s="266">
        <v>6000027245</v>
      </c>
      <c r="C214" s="267" t="s">
        <v>1544</v>
      </c>
      <c r="D214" s="267">
        <v>6000027245</v>
      </c>
      <c r="E214" s="94">
        <v>20</v>
      </c>
      <c r="F214" s="74">
        <v>450</v>
      </c>
      <c r="G214" s="45">
        <f t="shared" si="16"/>
        <v>9000</v>
      </c>
      <c r="H214" s="119" t="s">
        <v>46</v>
      </c>
      <c r="I214" s="133" t="s">
        <v>2345</v>
      </c>
      <c r="J214" s="74">
        <f>220+230</f>
        <v>450</v>
      </c>
      <c r="K214" s="45"/>
      <c r="L214" s="156" t="s">
        <v>2624</v>
      </c>
      <c r="M214" s="90">
        <f>6800+2200</f>
        <v>9000</v>
      </c>
      <c r="N214" s="90"/>
      <c r="O214" s="90"/>
      <c r="P214" s="94" t="s">
        <v>2311</v>
      </c>
      <c r="Q214" s="94"/>
      <c r="R214" s="94"/>
      <c r="S214" s="94"/>
      <c r="T214" s="90"/>
      <c r="U214" s="90"/>
      <c r="V214" s="90"/>
      <c r="W214" s="109">
        <v>45314</v>
      </c>
      <c r="X214" s="106">
        <f>150+300</f>
        <v>450</v>
      </c>
      <c r="Y214" s="106">
        <f>3000+6000</f>
        <v>9000</v>
      </c>
      <c r="Z214" s="106" t="s">
        <v>2441</v>
      </c>
      <c r="AA214" s="106">
        <f t="shared" si="14"/>
        <v>0</v>
      </c>
      <c r="AB214" s="106">
        <f t="shared" si="15"/>
        <v>0</v>
      </c>
      <c r="AC214" s="94" t="s">
        <v>2641</v>
      </c>
      <c r="AD214" s="94"/>
      <c r="AE214" s="110"/>
      <c r="AF214" s="110"/>
      <c r="AG214" s="110"/>
      <c r="AH214" s="99"/>
    </row>
    <row r="215" spans="1:34" ht="26.25" customHeight="1">
      <c r="A215" s="268"/>
      <c r="B215" s="266"/>
      <c r="C215" s="269"/>
      <c r="D215" s="270"/>
      <c r="E215" s="94">
        <v>20</v>
      </c>
      <c r="F215" s="74">
        <v>250</v>
      </c>
      <c r="G215" s="45">
        <f t="shared" si="16"/>
        <v>5000</v>
      </c>
      <c r="H215" s="119" t="s">
        <v>37</v>
      </c>
      <c r="I215" s="128">
        <v>45290</v>
      </c>
      <c r="J215" s="74">
        <v>250</v>
      </c>
      <c r="K215" s="45"/>
      <c r="L215" s="156" t="s">
        <v>2624</v>
      </c>
      <c r="M215" s="90">
        <f>4100+900</f>
        <v>5000</v>
      </c>
      <c r="N215" s="90"/>
      <c r="O215" s="90"/>
      <c r="P215" s="94" t="s">
        <v>2311</v>
      </c>
      <c r="Q215" s="94"/>
      <c r="R215" s="94"/>
      <c r="S215" s="94"/>
      <c r="T215" s="90"/>
      <c r="U215" s="90"/>
      <c r="V215" s="90"/>
      <c r="W215" s="109">
        <v>45310</v>
      </c>
      <c r="X215" s="106">
        <v>250</v>
      </c>
      <c r="Y215" s="106">
        <v>5000</v>
      </c>
      <c r="Z215" s="106" t="s">
        <v>1607</v>
      </c>
      <c r="AA215" s="106">
        <f t="shared" si="14"/>
        <v>0</v>
      </c>
      <c r="AB215" s="106">
        <f t="shared" si="15"/>
        <v>0</v>
      </c>
      <c r="AC215" s="94"/>
      <c r="AD215" s="94"/>
      <c r="AE215" s="110"/>
      <c r="AF215" s="110"/>
      <c r="AG215" s="110"/>
      <c r="AH215" s="99"/>
    </row>
    <row r="216" spans="1:34" ht="26.25" customHeight="1">
      <c r="A216" s="83" t="s">
        <v>652</v>
      </c>
      <c r="B216" s="88">
        <v>6000027585</v>
      </c>
      <c r="C216" s="2" t="s">
        <v>1338</v>
      </c>
      <c r="D216" s="2">
        <v>6000027585</v>
      </c>
      <c r="E216" s="94">
        <v>10</v>
      </c>
      <c r="F216" s="74">
        <v>410</v>
      </c>
      <c r="G216" s="45">
        <f t="shared" si="16"/>
        <v>4100</v>
      </c>
      <c r="H216" s="119" t="s">
        <v>46</v>
      </c>
      <c r="I216" s="128">
        <v>45303</v>
      </c>
      <c r="J216" s="158">
        <v>410</v>
      </c>
      <c r="K216" s="74">
        <v>6</v>
      </c>
      <c r="L216" s="156">
        <v>45290</v>
      </c>
      <c r="M216" s="90">
        <v>4100</v>
      </c>
      <c r="N216" s="90">
        <v>41</v>
      </c>
      <c r="O216" s="90" t="s">
        <v>922</v>
      </c>
      <c r="P216" s="94" t="s">
        <v>160</v>
      </c>
      <c r="Q216" s="94">
        <v>8500065931</v>
      </c>
      <c r="R216" s="94">
        <v>5000051519</v>
      </c>
      <c r="S216" s="158">
        <v>410</v>
      </c>
      <c r="T216" s="90" t="s">
        <v>1558</v>
      </c>
      <c r="U216" s="90">
        <v>8500065930</v>
      </c>
      <c r="V216" s="90">
        <v>5001394166</v>
      </c>
      <c r="W216" s="109">
        <v>45320</v>
      </c>
      <c r="X216" s="106">
        <v>410</v>
      </c>
      <c r="Y216" s="106">
        <v>4100</v>
      </c>
      <c r="Z216" s="106" t="s">
        <v>1841</v>
      </c>
      <c r="AA216" s="106">
        <f t="shared" si="14"/>
        <v>0</v>
      </c>
      <c r="AB216" s="106">
        <f t="shared" si="15"/>
        <v>0</v>
      </c>
      <c r="AC216" s="94"/>
      <c r="AD216" s="94"/>
      <c r="AE216" s="110"/>
      <c r="AF216" s="110"/>
      <c r="AG216" s="110"/>
      <c r="AH216" s="99"/>
    </row>
    <row r="217" spans="1:34" ht="26.25" customHeight="1">
      <c r="A217" s="90"/>
      <c r="B217" s="88"/>
      <c r="C217" s="94"/>
      <c r="D217" s="95"/>
      <c r="E217" s="94">
        <v>10</v>
      </c>
      <c r="F217" s="74">
        <v>720</v>
      </c>
      <c r="G217" s="45">
        <f t="shared" si="16"/>
        <v>7200</v>
      </c>
      <c r="H217" s="119" t="s">
        <v>37</v>
      </c>
      <c r="I217" s="128">
        <v>45299</v>
      </c>
      <c r="J217" s="158">
        <v>720</v>
      </c>
      <c r="K217" s="74">
        <f>9+2</f>
        <v>11</v>
      </c>
      <c r="L217" s="156">
        <v>45290</v>
      </c>
      <c r="M217" s="90">
        <v>7200</v>
      </c>
      <c r="N217" s="90">
        <v>72</v>
      </c>
      <c r="O217" s="90"/>
      <c r="P217" s="94" t="s">
        <v>160</v>
      </c>
      <c r="Q217" s="94">
        <v>8500065931</v>
      </c>
      <c r="R217" s="94">
        <v>5000030792</v>
      </c>
      <c r="S217" s="158">
        <v>720</v>
      </c>
      <c r="T217" s="90" t="s">
        <v>1558</v>
      </c>
      <c r="U217" s="90">
        <v>8500065930</v>
      </c>
      <c r="V217" s="90">
        <v>5001394166</v>
      </c>
      <c r="W217" s="109">
        <v>45308</v>
      </c>
      <c r="X217" s="106">
        <v>720</v>
      </c>
      <c r="Y217" s="106">
        <v>7200</v>
      </c>
      <c r="Z217" s="106" t="s">
        <v>1841</v>
      </c>
      <c r="AA217" s="106">
        <f t="shared" si="14"/>
        <v>0</v>
      </c>
      <c r="AB217" s="106">
        <f t="shared" si="15"/>
        <v>0</v>
      </c>
      <c r="AC217" s="94"/>
      <c r="AD217" s="94"/>
      <c r="AE217" s="110"/>
      <c r="AF217" s="110"/>
      <c r="AG217" s="110"/>
      <c r="AH217" s="99"/>
    </row>
    <row r="218" spans="1:34" ht="26.25" customHeight="1">
      <c r="A218" s="83"/>
      <c r="B218" s="88"/>
      <c r="C218" s="86"/>
      <c r="D218" s="86"/>
      <c r="E218" s="94">
        <v>10</v>
      </c>
      <c r="F218" s="74">
        <v>1020</v>
      </c>
      <c r="G218" s="45">
        <f t="shared" si="16"/>
        <v>10200</v>
      </c>
      <c r="H218" s="119" t="s">
        <v>146</v>
      </c>
      <c r="I218" s="128" t="s">
        <v>2523</v>
      </c>
      <c r="J218" s="158">
        <f>960+60</f>
        <v>1020</v>
      </c>
      <c r="K218" s="74">
        <f>12+1</f>
        <v>13</v>
      </c>
      <c r="L218" s="156">
        <v>45290</v>
      </c>
      <c r="M218" s="90">
        <v>10200</v>
      </c>
      <c r="N218" s="90">
        <v>102</v>
      </c>
      <c r="O218" s="90"/>
      <c r="P218" s="94" t="s">
        <v>160</v>
      </c>
      <c r="Q218" s="94">
        <v>8500065931</v>
      </c>
      <c r="R218" s="94">
        <v>5000030792</v>
      </c>
      <c r="S218" s="158">
        <f>960+60</f>
        <v>1020</v>
      </c>
      <c r="T218" s="90" t="s">
        <v>1558</v>
      </c>
      <c r="U218" s="90">
        <v>8500065930</v>
      </c>
      <c r="V218" s="90">
        <v>5001394166</v>
      </c>
      <c r="W218" s="109">
        <v>45308</v>
      </c>
      <c r="X218" s="106">
        <v>1020</v>
      </c>
      <c r="Y218" s="106">
        <v>10200</v>
      </c>
      <c r="Z218" s="106" t="s">
        <v>1840</v>
      </c>
      <c r="AA218" s="106">
        <f t="shared" si="14"/>
        <v>0</v>
      </c>
      <c r="AB218" s="106">
        <f t="shared" si="15"/>
        <v>0</v>
      </c>
      <c r="AC218" s="94"/>
      <c r="AD218" s="94"/>
      <c r="AE218" s="110"/>
      <c r="AF218" s="110"/>
      <c r="AG218" s="110"/>
      <c r="AH218" s="99"/>
    </row>
    <row r="219" spans="1:34" ht="26.25" customHeight="1">
      <c r="A219" s="83" t="s">
        <v>692</v>
      </c>
      <c r="B219" s="88">
        <v>6000027593</v>
      </c>
      <c r="C219" s="2" t="s">
        <v>1399</v>
      </c>
      <c r="D219" s="2" t="s">
        <v>2359</v>
      </c>
      <c r="E219" s="94">
        <v>10</v>
      </c>
      <c r="F219" s="74">
        <v>800</v>
      </c>
      <c r="G219" s="45">
        <f t="shared" si="16"/>
        <v>8000</v>
      </c>
      <c r="H219" s="119" t="s">
        <v>27</v>
      </c>
      <c r="I219" s="128">
        <v>45294</v>
      </c>
      <c r="J219" s="74">
        <v>800</v>
      </c>
      <c r="K219" s="74">
        <f>16+2</f>
        <v>18</v>
      </c>
      <c r="L219" s="156">
        <v>45296</v>
      </c>
      <c r="M219" s="90">
        <v>8000</v>
      </c>
      <c r="N219" s="90">
        <v>80</v>
      </c>
      <c r="O219" s="90" t="s">
        <v>1784</v>
      </c>
      <c r="P219" s="94" t="s">
        <v>160</v>
      </c>
      <c r="Q219" s="94">
        <v>8500065717</v>
      </c>
      <c r="R219" s="94">
        <v>5000012382</v>
      </c>
      <c r="S219" s="74">
        <v>800</v>
      </c>
      <c r="T219" s="90" t="s">
        <v>1558</v>
      </c>
      <c r="U219" s="90">
        <v>8500065716</v>
      </c>
      <c r="V219" s="90">
        <v>5000017054</v>
      </c>
      <c r="W219" s="109">
        <v>45302</v>
      </c>
      <c r="X219" s="106">
        <v>800</v>
      </c>
      <c r="Y219" s="106">
        <v>8000</v>
      </c>
      <c r="Z219" s="106" t="s">
        <v>800</v>
      </c>
      <c r="AA219" s="106">
        <f t="shared" si="14"/>
        <v>0</v>
      </c>
      <c r="AB219" s="106">
        <f t="shared" si="15"/>
        <v>0</v>
      </c>
      <c r="AC219" s="94"/>
      <c r="AD219" s="94"/>
      <c r="AE219" s="110"/>
      <c r="AF219" s="110"/>
      <c r="AG219" s="110"/>
      <c r="AH219" s="99"/>
    </row>
    <row r="220" spans="1:34" ht="26.25" customHeight="1">
      <c r="A220" s="83"/>
      <c r="B220" s="88"/>
      <c r="C220" s="2"/>
      <c r="D220" s="2" t="s">
        <v>2360</v>
      </c>
      <c r="E220" s="94">
        <v>10</v>
      </c>
      <c r="F220" s="74">
        <v>1122</v>
      </c>
      <c r="G220" s="45">
        <f t="shared" si="16"/>
        <v>11220</v>
      </c>
      <c r="H220" s="119" t="s">
        <v>46</v>
      </c>
      <c r="I220" s="128">
        <v>45294</v>
      </c>
      <c r="J220" s="74">
        <v>1122</v>
      </c>
      <c r="K220" s="74">
        <f>22+6</f>
        <v>28</v>
      </c>
      <c r="L220" s="156">
        <v>45296</v>
      </c>
      <c r="M220" s="90">
        <v>11220</v>
      </c>
      <c r="N220" s="90">
        <v>112</v>
      </c>
      <c r="O220" s="90" t="s">
        <v>1743</v>
      </c>
      <c r="P220" s="94" t="s">
        <v>160</v>
      </c>
      <c r="Q220" s="94">
        <v>8500065715</v>
      </c>
      <c r="R220" s="94">
        <v>5000012383</v>
      </c>
      <c r="S220" s="74">
        <v>1122</v>
      </c>
      <c r="T220" s="90" t="s">
        <v>1558</v>
      </c>
      <c r="U220" s="90">
        <v>8500065714</v>
      </c>
      <c r="V220" s="90">
        <v>5000017055</v>
      </c>
      <c r="W220" s="109">
        <v>45303</v>
      </c>
      <c r="X220" s="106">
        <v>1122</v>
      </c>
      <c r="Y220" s="106">
        <v>11220</v>
      </c>
      <c r="Z220" s="106" t="s">
        <v>800</v>
      </c>
      <c r="AA220" s="106">
        <f t="shared" si="14"/>
        <v>0</v>
      </c>
      <c r="AB220" s="106">
        <f t="shared" si="15"/>
        <v>0</v>
      </c>
      <c r="AC220" s="94"/>
      <c r="AD220" s="94"/>
      <c r="AE220" s="110"/>
      <c r="AF220" s="110"/>
      <c r="AG220" s="110"/>
      <c r="AH220" s="99"/>
    </row>
    <row r="221" spans="1:34" ht="26.25" customHeight="1">
      <c r="A221" s="83"/>
      <c r="B221" s="88"/>
      <c r="C221" s="2"/>
      <c r="D221" s="2" t="s">
        <v>2361</v>
      </c>
      <c r="E221" s="94">
        <v>10</v>
      </c>
      <c r="F221" s="74">
        <v>750</v>
      </c>
      <c r="G221" s="45">
        <f t="shared" si="16"/>
        <v>7500</v>
      </c>
      <c r="H221" s="119" t="s">
        <v>37</v>
      </c>
      <c r="I221" s="128">
        <v>45294</v>
      </c>
      <c r="J221" s="74">
        <v>750</v>
      </c>
      <c r="K221" s="74">
        <f>15+3</f>
        <v>18</v>
      </c>
      <c r="L221" s="156">
        <v>45296</v>
      </c>
      <c r="M221" s="90">
        <v>7500</v>
      </c>
      <c r="N221" s="90">
        <v>75</v>
      </c>
      <c r="O221" s="90" t="s">
        <v>1784</v>
      </c>
      <c r="P221" s="94" t="s">
        <v>160</v>
      </c>
      <c r="Q221" s="94">
        <v>8500065713</v>
      </c>
      <c r="R221" s="94">
        <v>5000012384</v>
      </c>
      <c r="S221" s="74">
        <v>750</v>
      </c>
      <c r="T221" s="90" t="s">
        <v>1558</v>
      </c>
      <c r="U221" s="90">
        <v>8500065712</v>
      </c>
      <c r="V221" s="90">
        <v>5000017056</v>
      </c>
      <c r="W221" s="109">
        <v>45303</v>
      </c>
      <c r="X221" s="106">
        <v>750</v>
      </c>
      <c r="Y221" s="106">
        <v>7500</v>
      </c>
      <c r="Z221" s="106" t="s">
        <v>800</v>
      </c>
      <c r="AA221" s="106">
        <f t="shared" si="14"/>
        <v>0</v>
      </c>
      <c r="AB221" s="106">
        <f t="shared" si="15"/>
        <v>0</v>
      </c>
      <c r="AC221" s="94"/>
      <c r="AD221" s="94"/>
      <c r="AE221" s="110"/>
      <c r="AF221" s="110"/>
      <c r="AG221" s="110"/>
      <c r="AH221" s="99"/>
    </row>
    <row r="222" spans="1:34" ht="26.25" customHeight="1">
      <c r="A222" s="83"/>
      <c r="B222" s="88"/>
      <c r="C222" s="2"/>
      <c r="D222" s="2" t="s">
        <v>2362</v>
      </c>
      <c r="E222" s="94">
        <v>10</v>
      </c>
      <c r="F222" s="74">
        <v>100</v>
      </c>
      <c r="G222" s="45">
        <f t="shared" si="16"/>
        <v>1000</v>
      </c>
      <c r="H222" s="119" t="s">
        <v>146</v>
      </c>
      <c r="I222" s="128">
        <v>45294</v>
      </c>
      <c r="J222" s="74">
        <v>100</v>
      </c>
      <c r="K222" s="74">
        <f>2+3</f>
        <v>5</v>
      </c>
      <c r="L222" s="156">
        <v>45296</v>
      </c>
      <c r="M222" s="90">
        <v>1000</v>
      </c>
      <c r="N222" s="90">
        <v>10</v>
      </c>
      <c r="O222" s="90" t="s">
        <v>2107</v>
      </c>
      <c r="P222" s="94" t="s">
        <v>160</v>
      </c>
      <c r="Q222" s="94">
        <v>8500065719</v>
      </c>
      <c r="R222" s="94">
        <v>5000012385</v>
      </c>
      <c r="S222" s="74">
        <v>100</v>
      </c>
      <c r="T222" s="90" t="s">
        <v>1558</v>
      </c>
      <c r="U222" s="90">
        <v>8500065718</v>
      </c>
      <c r="V222" s="90">
        <v>5000017057</v>
      </c>
      <c r="W222" s="109">
        <v>45308</v>
      </c>
      <c r="X222" s="106">
        <v>100</v>
      </c>
      <c r="Y222" s="106">
        <v>1000</v>
      </c>
      <c r="Z222" s="106" t="s">
        <v>800</v>
      </c>
      <c r="AA222" s="106">
        <f t="shared" si="14"/>
        <v>0</v>
      </c>
      <c r="AB222" s="106">
        <f t="shared" si="15"/>
        <v>0</v>
      </c>
      <c r="AC222" s="94"/>
      <c r="AD222" s="94"/>
      <c r="AE222" s="110"/>
      <c r="AF222" s="110"/>
      <c r="AG222" s="110"/>
      <c r="AH222" s="99"/>
    </row>
    <row r="223" spans="1:34" ht="26.25" customHeight="1">
      <c r="A223" s="83" t="s">
        <v>1727</v>
      </c>
      <c r="B223" s="88">
        <v>6000027422</v>
      </c>
      <c r="C223" s="2" t="s">
        <v>2299</v>
      </c>
      <c r="D223" s="2" t="s">
        <v>2363</v>
      </c>
      <c r="E223" s="94">
        <v>10</v>
      </c>
      <c r="F223" s="74">
        <v>560</v>
      </c>
      <c r="G223" s="45">
        <f t="shared" si="16"/>
        <v>5600</v>
      </c>
      <c r="H223" s="119" t="s">
        <v>27</v>
      </c>
      <c r="I223" s="128">
        <v>45296</v>
      </c>
      <c r="J223" s="74">
        <v>560</v>
      </c>
      <c r="K223" s="74">
        <v>5</v>
      </c>
      <c r="L223" s="156">
        <v>45294</v>
      </c>
      <c r="M223" s="90">
        <v>5600</v>
      </c>
      <c r="N223" s="90">
        <v>28</v>
      </c>
      <c r="O223" s="90" t="s">
        <v>1548</v>
      </c>
      <c r="P223" s="94" t="s">
        <v>1557</v>
      </c>
      <c r="Q223" s="94">
        <v>8500065531</v>
      </c>
      <c r="R223" s="94">
        <v>5000017032</v>
      </c>
      <c r="S223" s="74">
        <v>560</v>
      </c>
      <c r="T223" s="90" t="s">
        <v>152</v>
      </c>
      <c r="U223" s="90">
        <v>8500065530</v>
      </c>
      <c r="V223" s="90">
        <v>5000012506</v>
      </c>
      <c r="W223" s="109">
        <v>45317</v>
      </c>
      <c r="X223" s="106">
        <v>560</v>
      </c>
      <c r="Y223" s="106">
        <v>5600</v>
      </c>
      <c r="Z223" s="106" t="s">
        <v>727</v>
      </c>
      <c r="AA223" s="106">
        <f t="shared" si="14"/>
        <v>0</v>
      </c>
      <c r="AB223" s="106">
        <f t="shared" si="15"/>
        <v>0</v>
      </c>
      <c r="AC223" s="94"/>
      <c r="AD223" s="94"/>
      <c r="AE223" s="110"/>
      <c r="AF223" s="110"/>
      <c r="AG223" s="110"/>
      <c r="AH223" s="99"/>
    </row>
    <row r="224" spans="1:34" ht="26.25" customHeight="1">
      <c r="A224" s="83"/>
      <c r="B224" s="88"/>
      <c r="C224" s="2"/>
      <c r="D224" s="2"/>
      <c r="E224" s="94">
        <v>10</v>
      </c>
      <c r="F224" s="74">
        <v>350</v>
      </c>
      <c r="G224" s="45">
        <f t="shared" si="16"/>
        <v>3500</v>
      </c>
      <c r="H224" s="119" t="s">
        <v>46</v>
      </c>
      <c r="I224" s="128">
        <v>45296</v>
      </c>
      <c r="J224" s="74">
        <v>350</v>
      </c>
      <c r="K224" s="74">
        <v>3</v>
      </c>
      <c r="L224" s="156">
        <v>45294</v>
      </c>
      <c r="M224" s="90">
        <v>3500</v>
      </c>
      <c r="N224" s="90">
        <v>18</v>
      </c>
      <c r="O224" s="90" t="s">
        <v>1547</v>
      </c>
      <c r="P224" s="94" t="s">
        <v>1557</v>
      </c>
      <c r="Q224" s="94">
        <v>8500065531</v>
      </c>
      <c r="R224" s="94">
        <v>5000017032</v>
      </c>
      <c r="S224" s="74">
        <v>350</v>
      </c>
      <c r="T224" s="90" t="s">
        <v>152</v>
      </c>
      <c r="U224" s="90">
        <v>8500065530</v>
      </c>
      <c r="V224" s="90">
        <v>5000012506</v>
      </c>
      <c r="W224" s="109">
        <v>45315</v>
      </c>
      <c r="X224" s="106">
        <v>350</v>
      </c>
      <c r="Y224" s="106">
        <v>3500</v>
      </c>
      <c r="Z224" s="106" t="s">
        <v>2532</v>
      </c>
      <c r="AA224" s="106">
        <f t="shared" si="14"/>
        <v>0</v>
      </c>
      <c r="AB224" s="106">
        <f t="shared" si="15"/>
        <v>0</v>
      </c>
      <c r="AC224" s="94" t="s">
        <v>3137</v>
      </c>
      <c r="AD224" s="94"/>
      <c r="AE224" s="110"/>
      <c r="AF224" s="110"/>
      <c r="AG224" s="110"/>
      <c r="AH224" s="99"/>
    </row>
    <row r="225" spans="1:34" ht="26.25" customHeight="1">
      <c r="A225" s="83"/>
      <c r="B225" s="88"/>
      <c r="C225" s="2"/>
      <c r="D225" s="2"/>
      <c r="E225" s="94">
        <v>10</v>
      </c>
      <c r="F225" s="74">
        <v>1800</v>
      </c>
      <c r="G225" s="45">
        <f t="shared" si="16"/>
        <v>18000</v>
      </c>
      <c r="H225" s="119" t="s">
        <v>37</v>
      </c>
      <c r="I225" s="128">
        <v>45296</v>
      </c>
      <c r="J225" s="74">
        <v>1800</v>
      </c>
      <c r="K225" s="74">
        <v>18</v>
      </c>
      <c r="L225" s="156">
        <v>45294</v>
      </c>
      <c r="M225" s="90">
        <v>18000</v>
      </c>
      <c r="N225" s="90">
        <v>90</v>
      </c>
      <c r="O225" s="90" t="s">
        <v>1791</v>
      </c>
      <c r="P225" s="94" t="s">
        <v>1557</v>
      </c>
      <c r="Q225" s="94">
        <v>8500065531</v>
      </c>
      <c r="R225" s="94">
        <v>5000017032</v>
      </c>
      <c r="S225" s="74">
        <v>1800</v>
      </c>
      <c r="T225" s="90" t="s">
        <v>152</v>
      </c>
      <c r="U225" s="90">
        <v>8500065530</v>
      </c>
      <c r="V225" s="90">
        <v>5000012506</v>
      </c>
      <c r="W225" s="109">
        <v>45313</v>
      </c>
      <c r="X225" s="106">
        <v>1800</v>
      </c>
      <c r="Y225" s="106">
        <v>18000</v>
      </c>
      <c r="Z225" s="106" t="s">
        <v>2619</v>
      </c>
      <c r="AA225" s="106">
        <f t="shared" si="14"/>
        <v>0</v>
      </c>
      <c r="AB225" s="106">
        <f t="shared" si="15"/>
        <v>0</v>
      </c>
      <c r="AC225" s="94"/>
      <c r="AD225" s="94"/>
      <c r="AE225" s="110"/>
      <c r="AF225" s="110"/>
      <c r="AG225" s="110"/>
      <c r="AH225" s="99"/>
    </row>
    <row r="226" spans="1:34" ht="26.25" customHeight="1">
      <c r="A226" s="83"/>
      <c r="B226" s="88"/>
      <c r="C226" s="228" t="s">
        <v>2469</v>
      </c>
      <c r="D226" s="2"/>
      <c r="E226" s="94">
        <v>10</v>
      </c>
      <c r="F226" s="74">
        <v>980</v>
      </c>
      <c r="G226" s="45">
        <f t="shared" si="16"/>
        <v>9800</v>
      </c>
      <c r="H226" s="119" t="s">
        <v>146</v>
      </c>
      <c r="I226" s="128">
        <v>45296</v>
      </c>
      <c r="J226" s="74">
        <v>980</v>
      </c>
      <c r="K226" s="74">
        <v>9</v>
      </c>
      <c r="L226" s="156">
        <v>45294</v>
      </c>
      <c r="M226" s="90">
        <v>9800</v>
      </c>
      <c r="N226" s="90">
        <v>49</v>
      </c>
      <c r="O226" s="90" t="s">
        <v>1791</v>
      </c>
      <c r="P226" s="94" t="s">
        <v>1557</v>
      </c>
      <c r="Q226" s="94">
        <v>8500065531</v>
      </c>
      <c r="R226" s="94">
        <v>5000017032</v>
      </c>
      <c r="S226" s="74">
        <v>980</v>
      </c>
      <c r="T226" s="90" t="s">
        <v>152</v>
      </c>
      <c r="U226" s="90">
        <v>8500065530</v>
      </c>
      <c r="V226" s="90">
        <v>5000012506</v>
      </c>
      <c r="W226" s="109">
        <v>45320</v>
      </c>
      <c r="X226" s="106">
        <v>980</v>
      </c>
      <c r="Y226" s="106">
        <v>9800</v>
      </c>
      <c r="Z226" s="106" t="s">
        <v>759</v>
      </c>
      <c r="AA226" s="106">
        <f t="shared" si="14"/>
        <v>0</v>
      </c>
      <c r="AB226" s="106">
        <f t="shared" si="15"/>
        <v>0</v>
      </c>
      <c r="AC226" s="94"/>
      <c r="AD226" s="94"/>
      <c r="AE226" s="110"/>
      <c r="AF226" s="110"/>
      <c r="AG226" s="110"/>
      <c r="AH226" s="99"/>
    </row>
    <row r="227" spans="1:34" ht="26.25" customHeight="1">
      <c r="A227" s="83" t="s">
        <v>1727</v>
      </c>
      <c r="B227" s="88">
        <v>6000027423</v>
      </c>
      <c r="C227" s="2" t="s">
        <v>2299</v>
      </c>
      <c r="D227" s="2" t="s">
        <v>2364</v>
      </c>
      <c r="E227" s="94">
        <v>10</v>
      </c>
      <c r="F227" s="74">
        <v>1000</v>
      </c>
      <c r="G227" s="45">
        <f t="shared" si="16"/>
        <v>10000</v>
      </c>
      <c r="H227" s="119" t="s">
        <v>27</v>
      </c>
      <c r="I227" s="128">
        <v>45296</v>
      </c>
      <c r="J227" s="74">
        <v>1000</v>
      </c>
      <c r="K227" s="74">
        <v>10</v>
      </c>
      <c r="L227" s="156">
        <v>45294</v>
      </c>
      <c r="M227" s="90">
        <v>10000</v>
      </c>
      <c r="N227" s="90">
        <v>50</v>
      </c>
      <c r="O227" s="90" t="s">
        <v>1784</v>
      </c>
      <c r="P227" s="94" t="s">
        <v>1557</v>
      </c>
      <c r="Q227" s="94">
        <v>8500065534</v>
      </c>
      <c r="R227" s="94">
        <v>5000017038</v>
      </c>
      <c r="S227" s="74">
        <v>1000</v>
      </c>
      <c r="T227" s="90" t="s">
        <v>152</v>
      </c>
      <c r="U227" s="90">
        <v>8500065533</v>
      </c>
      <c r="V227" s="90">
        <v>5000012524</v>
      </c>
      <c r="W227" s="109">
        <v>45316</v>
      </c>
      <c r="X227" s="106">
        <v>1000</v>
      </c>
      <c r="Y227" s="106">
        <v>10000</v>
      </c>
      <c r="Z227" s="106" t="s">
        <v>727</v>
      </c>
      <c r="AA227" s="106">
        <f t="shared" si="14"/>
        <v>0</v>
      </c>
      <c r="AB227" s="106">
        <f t="shared" si="15"/>
        <v>0</v>
      </c>
      <c r="AC227" s="94"/>
      <c r="AD227" s="94"/>
      <c r="AE227" s="110"/>
      <c r="AF227" s="110"/>
      <c r="AG227" s="110"/>
      <c r="AH227" s="99"/>
    </row>
    <row r="228" spans="1:34" ht="26.25" customHeight="1">
      <c r="A228" s="83"/>
      <c r="B228" s="88"/>
      <c r="C228" s="2"/>
      <c r="D228" s="2"/>
      <c r="E228" s="94">
        <v>10</v>
      </c>
      <c r="F228" s="74">
        <v>600</v>
      </c>
      <c r="G228" s="45">
        <f t="shared" si="16"/>
        <v>6000</v>
      </c>
      <c r="H228" s="119" t="s">
        <v>46</v>
      </c>
      <c r="I228" s="128">
        <v>45296</v>
      </c>
      <c r="J228" s="74">
        <v>600</v>
      </c>
      <c r="K228" s="74">
        <v>6</v>
      </c>
      <c r="L228" s="156">
        <v>45294</v>
      </c>
      <c r="M228" s="90">
        <v>6000</v>
      </c>
      <c r="N228" s="90">
        <v>30</v>
      </c>
      <c r="O228" s="90" t="s">
        <v>897</v>
      </c>
      <c r="P228" s="94" t="s">
        <v>1557</v>
      </c>
      <c r="Q228" s="94">
        <v>8500065534</v>
      </c>
      <c r="R228" s="94">
        <v>5000017038</v>
      </c>
      <c r="S228" s="74">
        <v>600</v>
      </c>
      <c r="T228" s="90" t="s">
        <v>152</v>
      </c>
      <c r="U228" s="90">
        <v>8500065533</v>
      </c>
      <c r="V228" s="90">
        <v>5000012524</v>
      </c>
      <c r="W228" s="109">
        <v>45314</v>
      </c>
      <c r="X228" s="106">
        <v>600</v>
      </c>
      <c r="Y228" s="106">
        <v>6000</v>
      </c>
      <c r="Z228" s="106" t="s">
        <v>2577</v>
      </c>
      <c r="AA228" s="106">
        <f t="shared" si="14"/>
        <v>0</v>
      </c>
      <c r="AB228" s="106">
        <f t="shared" si="15"/>
        <v>0</v>
      </c>
      <c r="AC228" s="94"/>
      <c r="AD228" s="94"/>
      <c r="AE228" s="110"/>
      <c r="AF228" s="110"/>
      <c r="AG228" s="110"/>
      <c r="AH228" s="99"/>
    </row>
    <row r="229" spans="1:34" ht="26.25" customHeight="1">
      <c r="A229" s="83"/>
      <c r="B229" s="88"/>
      <c r="C229" s="2"/>
      <c r="D229" s="2"/>
      <c r="E229" s="94">
        <v>10</v>
      </c>
      <c r="F229" s="74">
        <v>1200</v>
      </c>
      <c r="G229" s="45">
        <f t="shared" si="16"/>
        <v>12000</v>
      </c>
      <c r="H229" s="119" t="s">
        <v>37</v>
      </c>
      <c r="I229" s="128">
        <v>45296</v>
      </c>
      <c r="J229" s="74">
        <v>1200</v>
      </c>
      <c r="K229" s="74">
        <v>12</v>
      </c>
      <c r="L229" s="156">
        <v>45294</v>
      </c>
      <c r="M229" s="90">
        <v>12000</v>
      </c>
      <c r="N229" s="90">
        <v>60</v>
      </c>
      <c r="O229" s="90" t="s">
        <v>1791</v>
      </c>
      <c r="P229" s="94" t="s">
        <v>1557</v>
      </c>
      <c r="Q229" s="94">
        <v>8500065534</v>
      </c>
      <c r="R229" s="94">
        <v>5000017038</v>
      </c>
      <c r="S229" s="74">
        <v>1200</v>
      </c>
      <c r="T229" s="90" t="s">
        <v>152</v>
      </c>
      <c r="U229" s="90">
        <v>8500065533</v>
      </c>
      <c r="V229" s="90">
        <v>5000012524</v>
      </c>
      <c r="W229" s="109">
        <v>45311</v>
      </c>
      <c r="X229" s="106">
        <v>1200</v>
      </c>
      <c r="Y229" s="106">
        <v>12000</v>
      </c>
      <c r="Z229" s="106" t="s">
        <v>2601</v>
      </c>
      <c r="AA229" s="106">
        <f t="shared" si="14"/>
        <v>0</v>
      </c>
      <c r="AB229" s="106">
        <f t="shared" si="15"/>
        <v>0</v>
      </c>
      <c r="AC229" s="94"/>
      <c r="AD229" s="94"/>
      <c r="AE229" s="110"/>
      <c r="AF229" s="110"/>
      <c r="AG229" s="110"/>
      <c r="AH229" s="99"/>
    </row>
    <row r="230" spans="1:34" ht="26.25" customHeight="1">
      <c r="A230" s="83"/>
      <c r="B230" s="88"/>
      <c r="C230" s="228" t="s">
        <v>2469</v>
      </c>
      <c r="D230" s="2"/>
      <c r="E230" s="94">
        <v>10</v>
      </c>
      <c r="F230" s="74">
        <v>890</v>
      </c>
      <c r="G230" s="45">
        <f t="shared" si="16"/>
        <v>8900</v>
      </c>
      <c r="H230" s="119" t="s">
        <v>146</v>
      </c>
      <c r="I230" s="128">
        <v>45296</v>
      </c>
      <c r="J230" s="74">
        <v>890</v>
      </c>
      <c r="K230" s="74">
        <v>8</v>
      </c>
      <c r="L230" s="156">
        <v>45294</v>
      </c>
      <c r="M230" s="90">
        <v>8900</v>
      </c>
      <c r="N230" s="90">
        <v>45</v>
      </c>
      <c r="O230" s="90" t="s">
        <v>1791</v>
      </c>
      <c r="P230" s="94" t="s">
        <v>1557</v>
      </c>
      <c r="Q230" s="94">
        <v>8500065534</v>
      </c>
      <c r="R230" s="94">
        <v>5000017038</v>
      </c>
      <c r="S230" s="74">
        <v>890</v>
      </c>
      <c r="T230" s="90" t="s">
        <v>152</v>
      </c>
      <c r="U230" s="90">
        <v>8500065533</v>
      </c>
      <c r="V230" s="90">
        <v>5000012524</v>
      </c>
      <c r="W230" s="109">
        <v>45318</v>
      </c>
      <c r="X230" s="106">
        <v>890</v>
      </c>
      <c r="Y230" s="106">
        <v>8900</v>
      </c>
      <c r="Z230" s="106" t="s">
        <v>759</v>
      </c>
      <c r="AA230" s="106">
        <f t="shared" si="14"/>
        <v>0</v>
      </c>
      <c r="AB230" s="106">
        <f t="shared" si="15"/>
        <v>0</v>
      </c>
      <c r="AC230" s="94"/>
      <c r="AD230" s="94"/>
      <c r="AE230" s="110"/>
      <c r="AF230" s="110"/>
      <c r="AG230" s="110"/>
      <c r="AH230" s="99"/>
    </row>
    <row r="231" spans="1:34" ht="26.25" customHeight="1">
      <c r="A231" s="83" t="s">
        <v>652</v>
      </c>
      <c r="B231" s="88">
        <v>6000027204</v>
      </c>
      <c r="C231" s="2" t="s">
        <v>2060</v>
      </c>
      <c r="D231" s="2">
        <v>2342482</v>
      </c>
      <c r="E231" s="94">
        <v>10</v>
      </c>
      <c r="F231" s="74">
        <v>4050</v>
      </c>
      <c r="G231" s="45">
        <f t="shared" si="16"/>
        <v>40500</v>
      </c>
      <c r="H231" s="119" t="s">
        <v>46</v>
      </c>
      <c r="I231" s="128">
        <v>45294</v>
      </c>
      <c r="J231" s="158">
        <v>4050</v>
      </c>
      <c r="K231" s="74">
        <f>41+3</f>
        <v>44</v>
      </c>
      <c r="L231" s="156">
        <v>45297</v>
      </c>
      <c r="M231" s="90">
        <v>40500</v>
      </c>
      <c r="N231" s="90">
        <v>100</v>
      </c>
      <c r="O231" s="90"/>
      <c r="P231" s="94" t="s">
        <v>160</v>
      </c>
      <c r="Q231" s="94">
        <v>8500065182</v>
      </c>
      <c r="R231" s="94">
        <v>5000012526</v>
      </c>
      <c r="S231" s="158">
        <v>4050</v>
      </c>
      <c r="T231" s="90" t="s">
        <v>655</v>
      </c>
      <c r="U231" s="90">
        <v>8500065181</v>
      </c>
      <c r="V231" s="90">
        <v>5000021896</v>
      </c>
      <c r="W231" s="109">
        <v>45307</v>
      </c>
      <c r="X231" s="106">
        <v>4050</v>
      </c>
      <c r="Y231" s="106">
        <v>40500</v>
      </c>
      <c r="Z231" s="106" t="s">
        <v>2532</v>
      </c>
      <c r="AA231" s="106">
        <f t="shared" si="14"/>
        <v>0</v>
      </c>
      <c r="AB231" s="106">
        <f t="shared" si="15"/>
        <v>0</v>
      </c>
      <c r="AC231" s="94"/>
      <c r="AD231" s="94"/>
      <c r="AE231" s="110"/>
      <c r="AF231" s="110"/>
      <c r="AG231" s="110"/>
      <c r="AH231" s="99"/>
    </row>
    <row r="232" spans="1:34" ht="26.25" customHeight="1">
      <c r="A232" s="83" t="s">
        <v>652</v>
      </c>
      <c r="B232" s="88">
        <v>6000027206</v>
      </c>
      <c r="C232" s="2" t="s">
        <v>2060</v>
      </c>
      <c r="D232" s="2">
        <v>2342483</v>
      </c>
      <c r="E232" s="94">
        <v>10</v>
      </c>
      <c r="F232" s="74">
        <v>4050</v>
      </c>
      <c r="G232" s="45">
        <f t="shared" ref="G232:G287" si="17">F232*E232</f>
        <v>40500</v>
      </c>
      <c r="H232" s="119" t="s">
        <v>46</v>
      </c>
      <c r="I232" s="128">
        <v>45294</v>
      </c>
      <c r="J232" s="158">
        <v>4050</v>
      </c>
      <c r="K232" s="74">
        <f>41+9</f>
        <v>50</v>
      </c>
      <c r="L232" s="156" t="s">
        <v>2484</v>
      </c>
      <c r="M232" s="90">
        <f>39650+850</f>
        <v>40500</v>
      </c>
      <c r="N232" s="90">
        <v>200</v>
      </c>
      <c r="O232" s="90" t="s">
        <v>2486</v>
      </c>
      <c r="P232" s="94" t="s">
        <v>160</v>
      </c>
      <c r="Q232" s="94">
        <v>8500065184</v>
      </c>
      <c r="R232" s="94">
        <v>5000012527</v>
      </c>
      <c r="S232" s="158">
        <v>4050</v>
      </c>
      <c r="T232" s="90" t="s">
        <v>655</v>
      </c>
      <c r="U232" s="90">
        <v>8500065183</v>
      </c>
      <c r="V232" s="90">
        <v>5000021893</v>
      </c>
      <c r="W232" s="109" t="s">
        <v>2528</v>
      </c>
      <c r="X232" s="106">
        <f>500+3465+85</f>
        <v>4050</v>
      </c>
      <c r="Y232" s="106">
        <f>5000+34650+850</f>
        <v>40500</v>
      </c>
      <c r="Z232" s="106" t="s">
        <v>2529</v>
      </c>
      <c r="AA232" s="106">
        <f t="shared" si="14"/>
        <v>0</v>
      </c>
      <c r="AB232" s="106">
        <f t="shared" si="15"/>
        <v>0</v>
      </c>
      <c r="AC232" s="94"/>
      <c r="AD232" s="94"/>
      <c r="AE232" s="110"/>
      <c r="AF232" s="110"/>
      <c r="AG232" s="110"/>
      <c r="AH232" s="99"/>
    </row>
    <row r="233" spans="1:34" ht="26.25" customHeight="1">
      <c r="A233" s="83" t="s">
        <v>652</v>
      </c>
      <c r="B233" s="88">
        <v>6000027207</v>
      </c>
      <c r="C233" s="2" t="s">
        <v>2060</v>
      </c>
      <c r="D233" s="2">
        <v>2342485</v>
      </c>
      <c r="E233" s="94">
        <v>10</v>
      </c>
      <c r="F233" s="74">
        <v>3400</v>
      </c>
      <c r="G233" s="45">
        <f t="shared" si="17"/>
        <v>34000</v>
      </c>
      <c r="H233" s="119" t="s">
        <v>37</v>
      </c>
      <c r="I233" s="128">
        <v>45294</v>
      </c>
      <c r="J233" s="158">
        <v>3400</v>
      </c>
      <c r="K233" s="74">
        <f>34+6</f>
        <v>40</v>
      </c>
      <c r="L233" s="156" t="s">
        <v>2481</v>
      </c>
      <c r="M233" s="90">
        <f>33850+150</f>
        <v>34000</v>
      </c>
      <c r="N233" s="90">
        <v>200</v>
      </c>
      <c r="O233" s="90" t="s">
        <v>2486</v>
      </c>
      <c r="P233" s="94" t="s">
        <v>160</v>
      </c>
      <c r="Q233" s="94">
        <v>8500065094</v>
      </c>
      <c r="R233" s="94">
        <v>5000012707</v>
      </c>
      <c r="S233" s="158">
        <v>3400</v>
      </c>
      <c r="T233" s="90" t="s">
        <v>655</v>
      </c>
      <c r="U233" s="90">
        <v>8500065093</v>
      </c>
      <c r="V233" s="90">
        <v>5000039250</v>
      </c>
      <c r="W233" s="109">
        <v>45318</v>
      </c>
      <c r="X233" s="106">
        <v>3400</v>
      </c>
      <c r="Y233" s="106">
        <v>34000</v>
      </c>
      <c r="Z233" s="106" t="s">
        <v>2619</v>
      </c>
      <c r="AA233" s="106">
        <f t="shared" si="14"/>
        <v>0</v>
      </c>
      <c r="AB233" s="106">
        <f t="shared" si="15"/>
        <v>0</v>
      </c>
      <c r="AC233" s="94"/>
      <c r="AD233" s="94"/>
      <c r="AE233" s="110"/>
      <c r="AF233" s="110"/>
      <c r="AG233" s="110"/>
      <c r="AH233" s="99"/>
    </row>
    <row r="234" spans="1:34" ht="26.25" customHeight="1">
      <c r="A234" s="83" t="s">
        <v>652</v>
      </c>
      <c r="B234" s="88">
        <v>6000027207</v>
      </c>
      <c r="C234" s="2" t="s">
        <v>1354</v>
      </c>
      <c r="D234" s="2">
        <v>2342485</v>
      </c>
      <c r="E234" s="94">
        <v>10</v>
      </c>
      <c r="F234" s="74">
        <v>320</v>
      </c>
      <c r="G234" s="45">
        <f t="shared" si="17"/>
        <v>3200</v>
      </c>
      <c r="H234" s="119" t="s">
        <v>46</v>
      </c>
      <c r="I234" s="128">
        <v>45294</v>
      </c>
      <c r="J234" s="158">
        <v>320</v>
      </c>
      <c r="K234" s="74">
        <f>4+4</f>
        <v>8</v>
      </c>
      <c r="L234" s="156">
        <v>45294</v>
      </c>
      <c r="M234" s="90">
        <v>3200</v>
      </c>
      <c r="N234" s="90">
        <v>50</v>
      </c>
      <c r="O234" s="90" t="s">
        <v>736</v>
      </c>
      <c r="P234" s="94" t="s">
        <v>160</v>
      </c>
      <c r="Q234" s="94">
        <v>8500065096</v>
      </c>
      <c r="R234" s="94">
        <v>8500065096</v>
      </c>
      <c r="S234" s="158">
        <v>320</v>
      </c>
      <c r="T234" s="90" t="s">
        <v>655</v>
      </c>
      <c r="U234" s="90">
        <v>8500065095</v>
      </c>
      <c r="V234" s="90">
        <v>5000013235</v>
      </c>
      <c r="W234" s="109">
        <v>45318</v>
      </c>
      <c r="X234" s="106">
        <v>320</v>
      </c>
      <c r="Y234" s="106">
        <v>3200</v>
      </c>
      <c r="Z234" s="106" t="s">
        <v>1460</v>
      </c>
      <c r="AA234" s="106">
        <f t="shared" si="14"/>
        <v>0</v>
      </c>
      <c r="AB234" s="106">
        <f t="shared" si="15"/>
        <v>0</v>
      </c>
      <c r="AC234" s="94"/>
      <c r="AD234" s="94"/>
      <c r="AE234" s="110"/>
      <c r="AF234" s="110"/>
      <c r="AG234" s="110"/>
      <c r="AH234" s="99"/>
    </row>
    <row r="235" spans="1:34" ht="26.25" customHeight="1">
      <c r="A235" s="83" t="s">
        <v>652</v>
      </c>
      <c r="B235" s="88">
        <v>6000027217</v>
      </c>
      <c r="C235" s="2" t="s">
        <v>1354</v>
      </c>
      <c r="D235" s="2">
        <v>2342508</v>
      </c>
      <c r="E235" s="94">
        <v>10</v>
      </c>
      <c r="F235" s="74">
        <v>600</v>
      </c>
      <c r="G235" s="45">
        <f t="shared" si="17"/>
        <v>6000</v>
      </c>
      <c r="H235" s="119" t="s">
        <v>27</v>
      </c>
      <c r="I235" s="128">
        <v>45294</v>
      </c>
      <c r="J235" s="74">
        <v>600</v>
      </c>
      <c r="K235" s="74">
        <v>6</v>
      </c>
      <c r="L235" s="156">
        <v>45300</v>
      </c>
      <c r="M235" s="90">
        <v>6000</v>
      </c>
      <c r="N235" s="90">
        <v>60</v>
      </c>
      <c r="O235" s="90" t="s">
        <v>1403</v>
      </c>
      <c r="P235" s="94" t="s">
        <v>160</v>
      </c>
      <c r="Q235" s="94">
        <v>8500065117</v>
      </c>
      <c r="R235" s="94">
        <v>5000012673</v>
      </c>
      <c r="S235" s="74">
        <v>600</v>
      </c>
      <c r="T235" s="90" t="s">
        <v>655</v>
      </c>
      <c r="U235" s="90">
        <v>8500062115</v>
      </c>
      <c r="V235" s="90">
        <v>5000039227</v>
      </c>
      <c r="W235" s="109">
        <v>45323</v>
      </c>
      <c r="X235" s="106">
        <v>600</v>
      </c>
      <c r="Y235" s="106">
        <v>6000</v>
      </c>
      <c r="Z235" s="106" t="s">
        <v>727</v>
      </c>
      <c r="AA235" s="106">
        <f t="shared" si="14"/>
        <v>0</v>
      </c>
      <c r="AB235" s="106">
        <f t="shared" si="15"/>
        <v>0</v>
      </c>
      <c r="AC235" s="94"/>
      <c r="AD235" s="94"/>
      <c r="AE235" s="110"/>
      <c r="AF235" s="110"/>
      <c r="AG235" s="110"/>
      <c r="AH235" s="99"/>
    </row>
    <row r="236" spans="1:34" ht="26.25" customHeight="1">
      <c r="A236" s="83"/>
      <c r="B236" s="88"/>
      <c r="C236" s="2"/>
      <c r="D236" s="2"/>
      <c r="E236" s="94">
        <v>10</v>
      </c>
      <c r="F236" s="74">
        <v>600</v>
      </c>
      <c r="G236" s="45">
        <f t="shared" si="17"/>
        <v>6000</v>
      </c>
      <c r="H236" s="119" t="s">
        <v>46</v>
      </c>
      <c r="I236" s="128">
        <v>45294</v>
      </c>
      <c r="J236" s="74">
        <v>600</v>
      </c>
      <c r="K236" s="74">
        <v>3</v>
      </c>
      <c r="L236" s="156">
        <v>45300</v>
      </c>
      <c r="M236" s="90">
        <v>6000</v>
      </c>
      <c r="N236" s="90">
        <v>28</v>
      </c>
      <c r="O236" s="90" t="s">
        <v>878</v>
      </c>
      <c r="P236" s="94" t="s">
        <v>160</v>
      </c>
      <c r="Q236" s="94">
        <v>8500065117</v>
      </c>
      <c r="R236" s="94">
        <v>5000012673</v>
      </c>
      <c r="S236" s="74">
        <v>600</v>
      </c>
      <c r="T236" s="90" t="s">
        <v>655</v>
      </c>
      <c r="U236" s="90">
        <v>8500062115</v>
      </c>
      <c r="V236" s="90">
        <v>5000039227</v>
      </c>
      <c r="W236" s="109">
        <v>45320</v>
      </c>
      <c r="X236" s="106">
        <v>600</v>
      </c>
      <c r="Y236" s="106">
        <v>6000</v>
      </c>
      <c r="Z236" s="106" t="s">
        <v>1460</v>
      </c>
      <c r="AA236" s="106">
        <f t="shared" si="14"/>
        <v>0</v>
      </c>
      <c r="AB236" s="106">
        <f t="shared" si="15"/>
        <v>0</v>
      </c>
      <c r="AC236" s="94"/>
      <c r="AD236" s="94"/>
      <c r="AE236" s="110"/>
      <c r="AF236" s="110"/>
      <c r="AG236" s="110"/>
      <c r="AH236" s="99"/>
    </row>
    <row r="237" spans="1:34" ht="26.25" customHeight="1">
      <c r="A237" s="83"/>
      <c r="B237" s="88"/>
      <c r="C237" s="2"/>
      <c r="D237" s="2"/>
      <c r="E237" s="94">
        <v>10</v>
      </c>
      <c r="F237" s="74">
        <v>800</v>
      </c>
      <c r="G237" s="45">
        <f t="shared" si="17"/>
        <v>8000</v>
      </c>
      <c r="H237" s="119" t="s">
        <v>37</v>
      </c>
      <c r="I237" s="128">
        <v>45294</v>
      </c>
      <c r="J237" s="74">
        <v>800</v>
      </c>
      <c r="K237" s="74">
        <f>8+5</f>
        <v>13</v>
      </c>
      <c r="L237" s="156">
        <v>45300</v>
      </c>
      <c r="M237" s="90">
        <v>8000</v>
      </c>
      <c r="N237" s="90">
        <v>100</v>
      </c>
      <c r="O237" s="90"/>
      <c r="P237" s="94" t="s">
        <v>160</v>
      </c>
      <c r="Q237" s="94">
        <v>8500065117</v>
      </c>
      <c r="R237" s="94">
        <v>5000012673</v>
      </c>
      <c r="S237" s="74">
        <v>800</v>
      </c>
      <c r="T237" s="90" t="s">
        <v>655</v>
      </c>
      <c r="U237" s="90">
        <v>8500062115</v>
      </c>
      <c r="V237" s="90">
        <v>5000039227</v>
      </c>
      <c r="W237" s="109">
        <v>45324</v>
      </c>
      <c r="X237" s="106">
        <v>800</v>
      </c>
      <c r="Y237" s="106">
        <v>8000</v>
      </c>
      <c r="Z237" s="106" t="s">
        <v>35</v>
      </c>
      <c r="AA237" s="106">
        <f t="shared" si="14"/>
        <v>0</v>
      </c>
      <c r="AB237" s="106">
        <f t="shared" si="15"/>
        <v>0</v>
      </c>
      <c r="AC237" s="94"/>
      <c r="AD237" s="94"/>
      <c r="AE237" s="110"/>
      <c r="AF237" s="110"/>
      <c r="AG237" s="110"/>
      <c r="AH237" s="99"/>
    </row>
    <row r="238" spans="1:34" ht="26.25" customHeight="1">
      <c r="A238" s="83"/>
      <c r="B238" s="88"/>
      <c r="C238" s="2"/>
      <c r="D238" s="2"/>
      <c r="E238" s="94">
        <v>10</v>
      </c>
      <c r="F238" s="74">
        <v>50</v>
      </c>
      <c r="G238" s="45">
        <f t="shared" si="17"/>
        <v>500</v>
      </c>
      <c r="H238" s="119" t="s">
        <v>146</v>
      </c>
      <c r="I238" s="128">
        <v>45294</v>
      </c>
      <c r="J238" s="74">
        <v>50</v>
      </c>
      <c r="K238" s="74">
        <f>1+2</f>
        <v>3</v>
      </c>
      <c r="L238" s="156">
        <v>45300</v>
      </c>
      <c r="M238" s="90">
        <v>500</v>
      </c>
      <c r="N238" s="90">
        <v>10</v>
      </c>
      <c r="O238" s="90" t="s">
        <v>878</v>
      </c>
      <c r="P238" s="94" t="s">
        <v>160</v>
      </c>
      <c r="Q238" s="94">
        <v>8500065117</v>
      </c>
      <c r="R238" s="94">
        <v>5000012673</v>
      </c>
      <c r="S238" s="74">
        <v>50</v>
      </c>
      <c r="T238" s="90" t="s">
        <v>655</v>
      </c>
      <c r="U238" s="90">
        <v>8500062115</v>
      </c>
      <c r="V238" s="90">
        <v>5000039227</v>
      </c>
      <c r="W238" s="109">
        <v>45322</v>
      </c>
      <c r="X238" s="106">
        <v>50</v>
      </c>
      <c r="Y238" s="106">
        <v>500</v>
      </c>
      <c r="Z238" s="106" t="s">
        <v>800</v>
      </c>
      <c r="AA238" s="106">
        <f t="shared" si="14"/>
        <v>0</v>
      </c>
      <c r="AB238" s="106">
        <f t="shared" si="15"/>
        <v>0</v>
      </c>
      <c r="AC238" s="94"/>
      <c r="AD238" s="94"/>
      <c r="AE238" s="110"/>
      <c r="AF238" s="110"/>
      <c r="AG238" s="110"/>
      <c r="AH238" s="99"/>
    </row>
    <row r="239" spans="1:34" ht="26.25" customHeight="1">
      <c r="A239" s="83" t="s">
        <v>652</v>
      </c>
      <c r="B239" s="88">
        <v>6000027218</v>
      </c>
      <c r="C239" s="2" t="s">
        <v>2060</v>
      </c>
      <c r="D239" s="2">
        <v>2342509</v>
      </c>
      <c r="E239" s="94">
        <v>10</v>
      </c>
      <c r="F239" s="74">
        <v>100</v>
      </c>
      <c r="G239" s="45">
        <f t="shared" si="17"/>
        <v>1000</v>
      </c>
      <c r="H239" s="119" t="s">
        <v>243</v>
      </c>
      <c r="I239" s="128">
        <v>45294</v>
      </c>
      <c r="J239" s="158">
        <v>100</v>
      </c>
      <c r="K239" s="74">
        <f>1+5</f>
        <v>6</v>
      </c>
      <c r="L239" s="156">
        <v>45299</v>
      </c>
      <c r="M239" s="90">
        <v>1000</v>
      </c>
      <c r="N239" s="90">
        <v>20</v>
      </c>
      <c r="O239" s="90" t="s">
        <v>2436</v>
      </c>
      <c r="P239" s="94" t="s">
        <v>160</v>
      </c>
      <c r="Q239" s="94">
        <v>8500065109</v>
      </c>
      <c r="R239" s="94">
        <v>5000012723</v>
      </c>
      <c r="S239" s="158">
        <v>100</v>
      </c>
      <c r="T239" s="90" t="s">
        <v>655</v>
      </c>
      <c r="U239" s="90">
        <v>8500065108</v>
      </c>
      <c r="V239" s="90">
        <v>5000030612</v>
      </c>
      <c r="W239" s="109">
        <v>45303</v>
      </c>
      <c r="X239" s="106">
        <v>100</v>
      </c>
      <c r="Y239" s="106">
        <v>1000</v>
      </c>
      <c r="Z239" s="106" t="s">
        <v>800</v>
      </c>
      <c r="AA239" s="106">
        <f t="shared" ref="AA239:AA302" si="18">J239-X239</f>
        <v>0</v>
      </c>
      <c r="AB239" s="106">
        <f t="shared" ref="AB239:AB302" si="19">M239-Y239</f>
        <v>0</v>
      </c>
      <c r="AC239" s="94"/>
      <c r="AD239" s="94"/>
      <c r="AE239" s="110"/>
      <c r="AF239" s="110"/>
      <c r="AG239" s="110"/>
      <c r="AH239" s="99"/>
    </row>
    <row r="240" spans="1:34" ht="26.25" customHeight="1">
      <c r="A240" s="83"/>
      <c r="B240" s="88"/>
      <c r="C240" s="2"/>
      <c r="D240" s="2"/>
      <c r="E240" s="94">
        <v>10</v>
      </c>
      <c r="F240" s="74">
        <v>550</v>
      </c>
      <c r="G240" s="45">
        <f t="shared" si="17"/>
        <v>5500</v>
      </c>
      <c r="H240" s="119" t="s">
        <v>27</v>
      </c>
      <c r="I240" s="128">
        <v>45301</v>
      </c>
      <c r="J240" s="158">
        <v>550</v>
      </c>
      <c r="K240" s="74">
        <f>6+4</f>
        <v>10</v>
      </c>
      <c r="L240" s="156">
        <v>45299</v>
      </c>
      <c r="M240" s="90">
        <v>5500</v>
      </c>
      <c r="N240" s="90">
        <v>50</v>
      </c>
      <c r="O240" s="90" t="s">
        <v>1553</v>
      </c>
      <c r="P240" s="94" t="s">
        <v>160</v>
      </c>
      <c r="Q240" s="94">
        <v>8500065109</v>
      </c>
      <c r="R240" s="94">
        <v>5000038693</v>
      </c>
      <c r="S240" s="158">
        <v>550</v>
      </c>
      <c r="T240" s="90" t="s">
        <v>655</v>
      </c>
      <c r="U240" s="90">
        <v>8500065108</v>
      </c>
      <c r="V240" s="90">
        <v>5000030612</v>
      </c>
      <c r="W240" s="109">
        <v>45321</v>
      </c>
      <c r="X240" s="106">
        <v>550</v>
      </c>
      <c r="Y240" s="106">
        <v>5500</v>
      </c>
      <c r="Z240" s="106" t="s">
        <v>727</v>
      </c>
      <c r="AA240" s="106">
        <f t="shared" si="18"/>
        <v>0</v>
      </c>
      <c r="AB240" s="106">
        <f t="shared" si="19"/>
        <v>0</v>
      </c>
      <c r="AC240" s="94"/>
      <c r="AD240" s="94"/>
      <c r="AE240" s="110"/>
      <c r="AF240" s="110"/>
      <c r="AG240" s="110"/>
      <c r="AH240" s="99"/>
    </row>
    <row r="241" spans="1:34" ht="26.25" customHeight="1">
      <c r="A241" s="83"/>
      <c r="B241" s="88"/>
      <c r="C241" s="2"/>
      <c r="D241" s="2"/>
      <c r="E241" s="94">
        <v>10</v>
      </c>
      <c r="F241" s="74">
        <v>1634</v>
      </c>
      <c r="G241" s="45">
        <f t="shared" si="17"/>
        <v>16340</v>
      </c>
      <c r="H241" s="119" t="s">
        <v>46</v>
      </c>
      <c r="I241" s="128">
        <v>45294</v>
      </c>
      <c r="J241" s="158">
        <f>891+743</f>
        <v>1634</v>
      </c>
      <c r="K241" s="74">
        <v>17</v>
      </c>
      <c r="L241" s="156">
        <v>45297</v>
      </c>
      <c r="M241" s="90">
        <v>16340</v>
      </c>
      <c r="N241" s="90">
        <v>110</v>
      </c>
      <c r="O241" s="90" t="s">
        <v>876</v>
      </c>
      <c r="P241" s="94" t="s">
        <v>160</v>
      </c>
      <c r="Q241" s="94">
        <v>8500065109</v>
      </c>
      <c r="R241" s="94">
        <v>5000012722</v>
      </c>
      <c r="S241" s="158">
        <f>891+743</f>
        <v>1634</v>
      </c>
      <c r="T241" s="90" t="s">
        <v>655</v>
      </c>
      <c r="U241" s="90">
        <v>8500065108</v>
      </c>
      <c r="V241" s="90">
        <v>500021726</v>
      </c>
      <c r="W241" s="109">
        <v>45318</v>
      </c>
      <c r="X241" s="106">
        <v>1634</v>
      </c>
      <c r="Y241" s="106">
        <v>16340</v>
      </c>
      <c r="Z241" s="106" t="s">
        <v>2671</v>
      </c>
      <c r="AA241" s="106">
        <f t="shared" si="18"/>
        <v>0</v>
      </c>
      <c r="AB241" s="106">
        <f t="shared" si="19"/>
        <v>0</v>
      </c>
      <c r="AC241" s="94"/>
      <c r="AD241" s="94"/>
      <c r="AE241" s="110"/>
      <c r="AF241" s="110"/>
      <c r="AG241" s="110"/>
      <c r="AH241" s="99"/>
    </row>
    <row r="242" spans="1:34" ht="26.25" customHeight="1">
      <c r="A242" s="83"/>
      <c r="B242" s="88"/>
      <c r="C242" s="2"/>
      <c r="D242" s="2"/>
      <c r="E242" s="94">
        <v>10</v>
      </c>
      <c r="F242" s="74">
        <v>1482</v>
      </c>
      <c r="G242" s="45">
        <f t="shared" si="17"/>
        <v>14820</v>
      </c>
      <c r="H242" s="119" t="s">
        <v>37</v>
      </c>
      <c r="I242" s="128" t="s">
        <v>2476</v>
      </c>
      <c r="J242" s="158">
        <f>1479+3</f>
        <v>1482</v>
      </c>
      <c r="K242" s="74">
        <f>15+5</f>
        <v>20</v>
      </c>
      <c r="L242" s="156">
        <v>45299</v>
      </c>
      <c r="M242" s="90">
        <v>14820</v>
      </c>
      <c r="N242" s="90">
        <v>110</v>
      </c>
      <c r="O242" s="90" t="s">
        <v>876</v>
      </c>
      <c r="P242" s="94" t="s">
        <v>160</v>
      </c>
      <c r="Q242" s="94">
        <v>8500065109</v>
      </c>
      <c r="R242" s="94">
        <v>5000013637</v>
      </c>
      <c r="S242" s="158">
        <f>1479+3</f>
        <v>1482</v>
      </c>
      <c r="T242" s="90" t="s">
        <v>655</v>
      </c>
      <c r="U242" s="90">
        <v>8500065108</v>
      </c>
      <c r="V242" s="90">
        <v>5000030612</v>
      </c>
      <c r="W242" s="109">
        <v>45322</v>
      </c>
      <c r="X242" s="106">
        <v>1482</v>
      </c>
      <c r="Y242" s="106">
        <v>14820</v>
      </c>
      <c r="Z242" s="106" t="s">
        <v>35</v>
      </c>
      <c r="AA242" s="106">
        <f t="shared" si="18"/>
        <v>0</v>
      </c>
      <c r="AB242" s="106">
        <f t="shared" si="19"/>
        <v>0</v>
      </c>
      <c r="AC242" s="94"/>
      <c r="AD242" s="94"/>
      <c r="AE242" s="110"/>
      <c r="AF242" s="110"/>
      <c r="AG242" s="110"/>
      <c r="AH242" s="99"/>
    </row>
    <row r="243" spans="1:34" ht="26.25" customHeight="1">
      <c r="A243" s="83"/>
      <c r="B243" s="88"/>
      <c r="C243" s="2"/>
      <c r="D243" s="2"/>
      <c r="E243" s="94">
        <v>10</v>
      </c>
      <c r="F243" s="74">
        <v>284</v>
      </c>
      <c r="G243" s="45">
        <f t="shared" si="17"/>
        <v>2840</v>
      </c>
      <c r="H243" s="119" t="s">
        <v>146</v>
      </c>
      <c r="I243" s="128">
        <v>45294</v>
      </c>
      <c r="J243" s="158">
        <v>284</v>
      </c>
      <c r="K243" s="74">
        <v>3</v>
      </c>
      <c r="L243" s="156">
        <v>45299</v>
      </c>
      <c r="M243" s="90">
        <v>2840</v>
      </c>
      <c r="N243" s="90">
        <v>30</v>
      </c>
      <c r="O243" s="90" t="s">
        <v>1389</v>
      </c>
      <c r="P243" s="94" t="s">
        <v>160</v>
      </c>
      <c r="Q243" s="94">
        <v>8500065109</v>
      </c>
      <c r="R243" s="94">
        <v>5000013637</v>
      </c>
      <c r="S243" s="158">
        <v>284</v>
      </c>
      <c r="T243" s="90" t="s">
        <v>655</v>
      </c>
      <c r="U243" s="90">
        <v>8500065108</v>
      </c>
      <c r="V243" s="90">
        <v>5000030612</v>
      </c>
      <c r="W243" s="109">
        <v>45310</v>
      </c>
      <c r="X243" s="106">
        <v>284</v>
      </c>
      <c r="Y243" s="106">
        <v>2840</v>
      </c>
      <c r="Z243" s="106" t="s">
        <v>800</v>
      </c>
      <c r="AA243" s="106">
        <f t="shared" si="18"/>
        <v>0</v>
      </c>
      <c r="AB243" s="106">
        <f t="shared" si="19"/>
        <v>0</v>
      </c>
      <c r="AC243" s="94"/>
      <c r="AD243" s="94"/>
      <c r="AE243" s="110"/>
      <c r="AF243" s="110"/>
      <c r="AG243" s="110"/>
      <c r="AH243" s="99"/>
    </row>
    <row r="244" spans="1:34" ht="26.25" customHeight="1">
      <c r="A244" s="83" t="s">
        <v>652</v>
      </c>
      <c r="B244" s="88">
        <v>6000027219</v>
      </c>
      <c r="C244" s="2" t="s">
        <v>2060</v>
      </c>
      <c r="D244" s="2">
        <v>2342510</v>
      </c>
      <c r="E244" s="94">
        <v>10</v>
      </c>
      <c r="F244" s="74">
        <v>600</v>
      </c>
      <c r="G244" s="45">
        <f>F244*E244</f>
        <v>6000</v>
      </c>
      <c r="H244" s="119" t="s">
        <v>27</v>
      </c>
      <c r="I244" s="128">
        <v>45294</v>
      </c>
      <c r="J244" s="74">
        <v>600</v>
      </c>
      <c r="K244" s="74">
        <f>6+2</f>
        <v>8</v>
      </c>
      <c r="L244" s="156">
        <v>45296</v>
      </c>
      <c r="M244" s="90">
        <v>6000</v>
      </c>
      <c r="N244" s="90">
        <v>100</v>
      </c>
      <c r="O244" s="90" t="s">
        <v>1575</v>
      </c>
      <c r="P244" s="94" t="s">
        <v>160</v>
      </c>
      <c r="Q244" s="94">
        <v>8500065114</v>
      </c>
      <c r="R244" s="94">
        <v>5000013632</v>
      </c>
      <c r="S244" s="74">
        <v>600</v>
      </c>
      <c r="T244" s="90" t="s">
        <v>655</v>
      </c>
      <c r="U244" s="90">
        <v>8500065113</v>
      </c>
      <c r="V244" s="90">
        <v>5000017623</v>
      </c>
      <c r="W244" s="109">
        <v>45323</v>
      </c>
      <c r="X244" s="106">
        <v>600</v>
      </c>
      <c r="Y244" s="106">
        <v>6000</v>
      </c>
      <c r="Z244" s="106" t="s">
        <v>727</v>
      </c>
      <c r="AA244" s="106">
        <f>J244-X244</f>
        <v>0</v>
      </c>
      <c r="AB244" s="106">
        <f>M244-Y244</f>
        <v>0</v>
      </c>
      <c r="AC244" s="94"/>
      <c r="AD244" s="94"/>
      <c r="AE244" s="110"/>
      <c r="AF244" s="110"/>
      <c r="AG244" s="110"/>
      <c r="AH244" s="99"/>
    </row>
    <row r="245" spans="1:34" ht="26.25" customHeight="1">
      <c r="A245" s="83"/>
      <c r="B245" s="88"/>
      <c r="C245" s="2"/>
      <c r="D245" s="2"/>
      <c r="E245" s="94">
        <v>10</v>
      </c>
      <c r="F245" s="74">
        <v>1582</v>
      </c>
      <c r="G245" s="45">
        <f>F245*E245</f>
        <v>15820</v>
      </c>
      <c r="H245" s="119" t="s">
        <v>46</v>
      </c>
      <c r="I245" s="128">
        <v>45294</v>
      </c>
      <c r="J245" s="74">
        <v>1582</v>
      </c>
      <c r="K245" s="74">
        <f>16+2</f>
        <v>18</v>
      </c>
      <c r="L245" s="156" t="s">
        <v>2487</v>
      </c>
      <c r="M245" s="90">
        <f>7500+8000+320</f>
        <v>15820</v>
      </c>
      <c r="N245" s="90">
        <v>801</v>
      </c>
      <c r="O245" s="90" t="s">
        <v>2488</v>
      </c>
      <c r="P245" s="94" t="s">
        <v>160</v>
      </c>
      <c r="Q245" s="94">
        <v>8500065114</v>
      </c>
      <c r="R245" s="94">
        <v>5000013632</v>
      </c>
      <c r="S245" s="74">
        <v>1582</v>
      </c>
      <c r="T245" s="90" t="s">
        <v>655</v>
      </c>
      <c r="U245" s="90">
        <v>8500065113</v>
      </c>
      <c r="V245" s="90">
        <v>5000017623</v>
      </c>
      <c r="W245" s="109">
        <v>45318</v>
      </c>
      <c r="X245" s="106">
        <v>1582</v>
      </c>
      <c r="Y245" s="106">
        <v>15820</v>
      </c>
      <c r="Z245" s="106" t="s">
        <v>2670</v>
      </c>
      <c r="AA245" s="106">
        <f>J245-X245</f>
        <v>0</v>
      </c>
      <c r="AB245" s="106">
        <f>M245-Y245</f>
        <v>0</v>
      </c>
      <c r="AC245" s="94"/>
      <c r="AD245" s="94"/>
      <c r="AE245" s="110"/>
      <c r="AF245" s="110"/>
      <c r="AG245" s="110"/>
      <c r="AH245" s="99"/>
    </row>
    <row r="246" spans="1:34" ht="26.25" customHeight="1">
      <c r="A246" s="83"/>
      <c r="B246" s="88"/>
      <c r="C246" s="2"/>
      <c r="D246" s="2"/>
      <c r="E246" s="94">
        <v>10</v>
      </c>
      <c r="F246" s="74">
        <v>1584</v>
      </c>
      <c r="G246" s="45">
        <f>F246*E246</f>
        <v>15840</v>
      </c>
      <c r="H246" s="119" t="s">
        <v>37</v>
      </c>
      <c r="I246" s="128">
        <v>45294</v>
      </c>
      <c r="J246" s="74">
        <v>1584</v>
      </c>
      <c r="K246" s="74">
        <f>16+5</f>
        <v>21</v>
      </c>
      <c r="L246" s="156">
        <v>45296</v>
      </c>
      <c r="M246" s="90">
        <v>15840</v>
      </c>
      <c r="N246" s="90">
        <v>110</v>
      </c>
      <c r="O246" s="90" t="s">
        <v>876</v>
      </c>
      <c r="P246" s="94" t="s">
        <v>160</v>
      </c>
      <c r="Q246" s="94">
        <v>8500065114</v>
      </c>
      <c r="R246" s="94">
        <v>5000013632</v>
      </c>
      <c r="S246" s="74">
        <v>1584</v>
      </c>
      <c r="T246" s="90" t="s">
        <v>655</v>
      </c>
      <c r="U246" s="90">
        <v>8500065113</v>
      </c>
      <c r="V246" s="90">
        <v>5000017623</v>
      </c>
      <c r="W246" s="109">
        <v>45322</v>
      </c>
      <c r="X246" s="106">
        <v>1584</v>
      </c>
      <c r="Y246" s="106">
        <v>15840</v>
      </c>
      <c r="Z246" s="106" t="s">
        <v>35</v>
      </c>
      <c r="AA246" s="106">
        <f>J246-X246</f>
        <v>0</v>
      </c>
      <c r="AB246" s="106">
        <f>M246-Y246</f>
        <v>0</v>
      </c>
      <c r="AC246" s="94"/>
      <c r="AD246" s="94"/>
      <c r="AE246" s="110"/>
      <c r="AF246" s="110"/>
      <c r="AG246" s="110"/>
      <c r="AH246" s="99"/>
    </row>
    <row r="247" spans="1:34" ht="26.25" customHeight="1">
      <c r="A247" s="83"/>
      <c r="B247" s="88"/>
      <c r="C247" s="2"/>
      <c r="D247" s="2"/>
      <c r="E247" s="94">
        <v>10</v>
      </c>
      <c r="F247" s="74">
        <v>284</v>
      </c>
      <c r="G247" s="45">
        <f>F247*E247</f>
        <v>2840</v>
      </c>
      <c r="H247" s="119" t="s">
        <v>146</v>
      </c>
      <c r="I247" s="128">
        <v>45294</v>
      </c>
      <c r="J247" s="74">
        <v>284</v>
      </c>
      <c r="K247" s="74">
        <f>3+3</f>
        <v>6</v>
      </c>
      <c r="L247" s="156">
        <v>45299</v>
      </c>
      <c r="M247" s="90">
        <v>2840</v>
      </c>
      <c r="N247" s="90">
        <v>30</v>
      </c>
      <c r="O247" s="90" t="s">
        <v>1554</v>
      </c>
      <c r="P247" s="94" t="s">
        <v>160</v>
      </c>
      <c r="Q247" s="94">
        <v>8500065114</v>
      </c>
      <c r="R247" s="94">
        <v>5000013632</v>
      </c>
      <c r="S247" s="74">
        <v>284</v>
      </c>
      <c r="T247" s="90" t="s">
        <v>655</v>
      </c>
      <c r="U247" s="90">
        <v>8500065113</v>
      </c>
      <c r="V247" s="90">
        <v>5000030614</v>
      </c>
      <c r="W247" s="109">
        <v>45322</v>
      </c>
      <c r="X247" s="106">
        <v>284</v>
      </c>
      <c r="Y247" s="106">
        <v>2840</v>
      </c>
      <c r="Z247" s="106" t="s">
        <v>759</v>
      </c>
      <c r="AA247" s="106">
        <f>J247-X247</f>
        <v>0</v>
      </c>
      <c r="AB247" s="106">
        <f>M247-Y247</f>
        <v>0</v>
      </c>
      <c r="AC247" s="94"/>
      <c r="AD247" s="94"/>
      <c r="AE247" s="110"/>
      <c r="AF247" s="110"/>
      <c r="AG247" s="110"/>
      <c r="AH247" s="99"/>
    </row>
    <row r="248" spans="1:34" ht="26.25" customHeight="1">
      <c r="A248" s="83" t="s">
        <v>868</v>
      </c>
      <c r="B248" s="88">
        <v>6000027243</v>
      </c>
      <c r="C248" s="2" t="s">
        <v>869</v>
      </c>
      <c r="D248" s="2">
        <v>6000027243</v>
      </c>
      <c r="E248" s="94">
        <v>20</v>
      </c>
      <c r="F248" s="74">
        <v>900</v>
      </c>
      <c r="G248" s="45">
        <f t="shared" si="17"/>
        <v>18000</v>
      </c>
      <c r="H248" s="119" t="s">
        <v>27</v>
      </c>
      <c r="I248" s="128" t="s">
        <v>2407</v>
      </c>
      <c r="J248" s="158">
        <f>461+439</f>
        <v>900</v>
      </c>
      <c r="K248" s="74">
        <v>11</v>
      </c>
      <c r="L248" s="156">
        <v>45294</v>
      </c>
      <c r="M248" s="90">
        <v>18000</v>
      </c>
      <c r="N248" s="90">
        <v>150</v>
      </c>
      <c r="O248" s="90"/>
      <c r="P248" s="94" t="s">
        <v>28</v>
      </c>
      <c r="Q248" s="94">
        <v>8500065092</v>
      </c>
      <c r="R248" s="94">
        <v>5000012997</v>
      </c>
      <c r="S248" s="158">
        <f>461+439</f>
        <v>900</v>
      </c>
      <c r="T248" s="90" t="s">
        <v>655</v>
      </c>
      <c r="U248" s="90">
        <v>8500065091</v>
      </c>
      <c r="V248" s="90">
        <v>5000013275</v>
      </c>
      <c r="W248" s="109">
        <v>45314</v>
      </c>
      <c r="X248" s="106">
        <v>900</v>
      </c>
      <c r="Y248" s="106">
        <v>18000</v>
      </c>
      <c r="Z248" s="106" t="s">
        <v>727</v>
      </c>
      <c r="AA248" s="106">
        <f t="shared" si="18"/>
        <v>0</v>
      </c>
      <c r="AB248" s="106">
        <f t="shared" si="19"/>
        <v>0</v>
      </c>
      <c r="AC248" s="94"/>
      <c r="AD248" s="94"/>
      <c r="AE248" s="110"/>
      <c r="AF248" s="110"/>
      <c r="AG248" s="110"/>
      <c r="AH248" s="99"/>
    </row>
    <row r="249" spans="1:34" ht="26.25" customHeight="1">
      <c r="A249" s="83"/>
      <c r="B249" s="88"/>
      <c r="C249" s="2"/>
      <c r="D249" s="2"/>
      <c r="E249" s="94">
        <v>20</v>
      </c>
      <c r="F249" s="74">
        <v>430</v>
      </c>
      <c r="G249" s="45">
        <f t="shared" si="17"/>
        <v>8600</v>
      </c>
      <c r="H249" s="119" t="s">
        <v>46</v>
      </c>
      <c r="I249" s="128">
        <v>45294</v>
      </c>
      <c r="J249" s="158">
        <v>430</v>
      </c>
      <c r="K249" s="74">
        <v>4</v>
      </c>
      <c r="L249" s="156">
        <v>45294</v>
      </c>
      <c r="M249" s="90">
        <v>8600</v>
      </c>
      <c r="N249" s="90">
        <v>100</v>
      </c>
      <c r="O249" s="90"/>
      <c r="P249" s="94" t="s">
        <v>28</v>
      </c>
      <c r="Q249" s="94">
        <v>8500065092</v>
      </c>
      <c r="R249" s="94">
        <v>5000012728</v>
      </c>
      <c r="S249" s="158">
        <v>430</v>
      </c>
      <c r="T249" s="90" t="s">
        <v>655</v>
      </c>
      <c r="U249" s="90">
        <v>8500065091</v>
      </c>
      <c r="V249" s="90">
        <v>5000013275</v>
      </c>
      <c r="W249" s="109">
        <v>45313</v>
      </c>
      <c r="X249" s="106">
        <f>77+353</f>
        <v>430</v>
      </c>
      <c r="Y249" s="106">
        <f>1540+7060</f>
        <v>8600</v>
      </c>
      <c r="Z249" s="106" t="s">
        <v>2616</v>
      </c>
      <c r="AA249" s="106">
        <f t="shared" si="18"/>
        <v>0</v>
      </c>
      <c r="AB249" s="106">
        <f t="shared" si="19"/>
        <v>0</v>
      </c>
      <c r="AC249" s="94"/>
      <c r="AD249" s="94"/>
      <c r="AE249" s="110"/>
      <c r="AF249" s="110"/>
      <c r="AG249" s="110"/>
      <c r="AH249" s="99"/>
    </row>
    <row r="250" spans="1:34" ht="26.25" customHeight="1">
      <c r="A250" s="83"/>
      <c r="B250" s="88"/>
      <c r="C250" s="2"/>
      <c r="D250" s="2"/>
      <c r="E250" s="94">
        <v>20</v>
      </c>
      <c r="F250" s="74">
        <v>250</v>
      </c>
      <c r="G250" s="45">
        <f t="shared" si="17"/>
        <v>5000</v>
      </c>
      <c r="H250" s="119" t="s">
        <v>37</v>
      </c>
      <c r="I250" s="128">
        <v>45295</v>
      </c>
      <c r="J250" s="158">
        <v>250</v>
      </c>
      <c r="K250" s="74">
        <v>4</v>
      </c>
      <c r="L250" s="156">
        <v>45294</v>
      </c>
      <c r="M250" s="90">
        <v>5000</v>
      </c>
      <c r="N250" s="90">
        <v>50</v>
      </c>
      <c r="O250" s="90" t="s">
        <v>1679</v>
      </c>
      <c r="P250" s="94" t="s">
        <v>28</v>
      </c>
      <c r="Q250" s="94">
        <v>8500065092</v>
      </c>
      <c r="R250" s="94">
        <v>5000012997</v>
      </c>
      <c r="S250" s="158">
        <v>250</v>
      </c>
      <c r="T250" s="90" t="s">
        <v>655</v>
      </c>
      <c r="U250" s="90">
        <v>8500065091</v>
      </c>
      <c r="V250" s="90">
        <v>5000013275</v>
      </c>
      <c r="W250" s="109">
        <v>45311</v>
      </c>
      <c r="X250" s="106">
        <v>250</v>
      </c>
      <c r="Y250" s="106">
        <v>5000</v>
      </c>
      <c r="Z250" s="106" t="s">
        <v>35</v>
      </c>
      <c r="AA250" s="106">
        <f t="shared" si="18"/>
        <v>0</v>
      </c>
      <c r="AB250" s="106">
        <f t="shared" si="19"/>
        <v>0</v>
      </c>
      <c r="AC250" s="94"/>
      <c r="AD250" s="94"/>
      <c r="AE250" s="110"/>
      <c r="AF250" s="110"/>
      <c r="AG250" s="110"/>
      <c r="AH250" s="99"/>
    </row>
    <row r="251" spans="1:34" ht="26.25" customHeight="1">
      <c r="A251" s="83" t="s">
        <v>868</v>
      </c>
      <c r="B251" s="88">
        <v>6000027246</v>
      </c>
      <c r="C251" s="2" t="s">
        <v>869</v>
      </c>
      <c r="D251" s="2">
        <v>6000027246</v>
      </c>
      <c r="E251" s="94">
        <v>20</v>
      </c>
      <c r="F251" s="74">
        <v>300</v>
      </c>
      <c r="G251" s="45">
        <f t="shared" si="17"/>
        <v>6000</v>
      </c>
      <c r="H251" s="119" t="s">
        <v>27</v>
      </c>
      <c r="I251" s="128">
        <v>45295</v>
      </c>
      <c r="J251" s="158">
        <v>300</v>
      </c>
      <c r="K251" s="74">
        <v>5</v>
      </c>
      <c r="L251" s="156" t="s">
        <v>2484</v>
      </c>
      <c r="M251" s="90">
        <f>5750+250</f>
        <v>6000</v>
      </c>
      <c r="N251" s="90">
        <v>100</v>
      </c>
      <c r="O251" s="90" t="s">
        <v>2489</v>
      </c>
      <c r="P251" s="94" t="s">
        <v>28</v>
      </c>
      <c r="Q251" s="94">
        <v>8500065078</v>
      </c>
      <c r="R251" s="94">
        <v>5000012963</v>
      </c>
      <c r="S251" s="74">
        <v>300</v>
      </c>
      <c r="T251" s="90" t="s">
        <v>655</v>
      </c>
      <c r="U251" s="90">
        <v>8500065077</v>
      </c>
      <c r="V251" s="90">
        <v>5000021860</v>
      </c>
      <c r="W251" s="109">
        <v>45307</v>
      </c>
      <c r="X251" s="106">
        <v>300</v>
      </c>
      <c r="Y251" s="106">
        <v>6000</v>
      </c>
      <c r="Z251" s="106" t="s">
        <v>800</v>
      </c>
      <c r="AA251" s="106">
        <f t="shared" si="18"/>
        <v>0</v>
      </c>
      <c r="AB251" s="106">
        <f t="shared" si="19"/>
        <v>0</v>
      </c>
      <c r="AC251" s="94"/>
      <c r="AD251" s="94"/>
      <c r="AE251" s="110"/>
      <c r="AF251" s="110"/>
      <c r="AG251" s="110"/>
      <c r="AH251" s="99"/>
    </row>
    <row r="252" spans="1:34" ht="26.25" customHeight="1">
      <c r="A252" s="83"/>
      <c r="B252" s="88"/>
      <c r="C252" s="2"/>
      <c r="D252" s="2"/>
      <c r="E252" s="94">
        <v>20</v>
      </c>
      <c r="F252" s="74">
        <v>950</v>
      </c>
      <c r="G252" s="45">
        <f>F252*E252</f>
        <v>19000</v>
      </c>
      <c r="H252" s="119" t="s">
        <v>46</v>
      </c>
      <c r="I252" s="128">
        <v>45294</v>
      </c>
      <c r="J252" s="158">
        <v>950</v>
      </c>
      <c r="K252" s="74">
        <v>10</v>
      </c>
      <c r="L252" s="156" t="s">
        <v>2484</v>
      </c>
      <c r="M252" s="90">
        <f>3750+14140+1110</f>
        <v>19000</v>
      </c>
      <c r="N252" s="90">
        <v>87</v>
      </c>
      <c r="O252" s="90" t="s">
        <v>2490</v>
      </c>
      <c r="P252" s="94" t="s">
        <v>28</v>
      </c>
      <c r="Q252" s="94">
        <v>8500065078</v>
      </c>
      <c r="R252" s="94">
        <v>5000012923</v>
      </c>
      <c r="S252" s="74">
        <v>950</v>
      </c>
      <c r="T252" s="90" t="s">
        <v>655</v>
      </c>
      <c r="U252" s="90">
        <v>8500065077</v>
      </c>
      <c r="V252" s="90">
        <v>5000021860</v>
      </c>
      <c r="W252" s="109" t="s">
        <v>2599</v>
      </c>
      <c r="X252" s="106">
        <f>80+870</f>
        <v>950</v>
      </c>
      <c r="Y252" s="106">
        <f>1600+17400</f>
        <v>19000</v>
      </c>
      <c r="Z252" s="106" t="s">
        <v>2600</v>
      </c>
      <c r="AA252" s="106">
        <f t="shared" si="18"/>
        <v>0</v>
      </c>
      <c r="AB252" s="106">
        <f t="shared" si="19"/>
        <v>0</v>
      </c>
      <c r="AC252" s="94"/>
      <c r="AD252" s="94"/>
      <c r="AE252" s="110"/>
      <c r="AF252" s="110"/>
      <c r="AG252" s="110"/>
      <c r="AH252" s="99"/>
    </row>
    <row r="253" spans="1:34" ht="26.25" customHeight="1">
      <c r="A253" s="83"/>
      <c r="B253" s="88"/>
      <c r="C253" s="2"/>
      <c r="D253" s="2"/>
      <c r="E253" s="94">
        <v>20</v>
      </c>
      <c r="F253" s="74">
        <v>400</v>
      </c>
      <c r="G253" s="45">
        <f t="shared" si="17"/>
        <v>8000</v>
      </c>
      <c r="H253" s="119" t="s">
        <v>37</v>
      </c>
      <c r="I253" s="128" t="s">
        <v>2384</v>
      </c>
      <c r="J253" s="158">
        <f>135+265</f>
        <v>400</v>
      </c>
      <c r="K253" s="74">
        <v>5</v>
      </c>
      <c r="L253" s="156" t="s">
        <v>2484</v>
      </c>
      <c r="M253" s="90">
        <f>7400+600</f>
        <v>8000</v>
      </c>
      <c r="N253" s="90">
        <v>100</v>
      </c>
      <c r="O253" s="90" t="s">
        <v>2488</v>
      </c>
      <c r="P253" s="94" t="s">
        <v>28</v>
      </c>
      <c r="Q253" s="94">
        <v>8500065078</v>
      </c>
      <c r="R253" s="94">
        <v>5000012923</v>
      </c>
      <c r="S253" s="74">
        <v>400</v>
      </c>
      <c r="T253" s="90" t="s">
        <v>655</v>
      </c>
      <c r="U253" s="90">
        <v>8500065077</v>
      </c>
      <c r="V253" s="90">
        <v>5000021860</v>
      </c>
      <c r="W253" s="109" t="s">
        <v>2578</v>
      </c>
      <c r="X253" s="106">
        <f>280+120</f>
        <v>400</v>
      </c>
      <c r="Y253" s="106">
        <f>5600+2400</f>
        <v>8000</v>
      </c>
      <c r="Z253" s="106" t="s">
        <v>2579</v>
      </c>
      <c r="AA253" s="106">
        <f t="shared" si="18"/>
        <v>0</v>
      </c>
      <c r="AB253" s="106">
        <f t="shared" si="19"/>
        <v>0</v>
      </c>
      <c r="AC253" s="94"/>
      <c r="AD253" s="94"/>
      <c r="AE253" s="110"/>
      <c r="AF253" s="110"/>
      <c r="AG253" s="110"/>
      <c r="AH253" s="99"/>
    </row>
    <row r="254" spans="1:34" ht="26.25" customHeight="1">
      <c r="A254" s="83" t="s">
        <v>868</v>
      </c>
      <c r="B254" s="88">
        <v>6000027246</v>
      </c>
      <c r="C254" s="2" t="s">
        <v>1545</v>
      </c>
      <c r="D254" s="2">
        <v>6000027246</v>
      </c>
      <c r="E254" s="94">
        <v>20</v>
      </c>
      <c r="F254" s="74">
        <v>100</v>
      </c>
      <c r="G254" s="45">
        <f t="shared" si="17"/>
        <v>2000</v>
      </c>
      <c r="H254" s="119" t="s">
        <v>46</v>
      </c>
      <c r="I254" s="128">
        <v>45295</v>
      </c>
      <c r="J254" s="158">
        <v>100</v>
      </c>
      <c r="K254" s="74">
        <v>2</v>
      </c>
      <c r="L254" s="156">
        <v>45297</v>
      </c>
      <c r="M254" s="90">
        <v>2000</v>
      </c>
      <c r="N254" s="90">
        <v>50</v>
      </c>
      <c r="O254" s="90" t="s">
        <v>1658</v>
      </c>
      <c r="P254" s="94" t="s">
        <v>28</v>
      </c>
      <c r="Q254" s="94">
        <v>8500065080</v>
      </c>
      <c r="R254" s="94">
        <v>5000012992</v>
      </c>
      <c r="S254" s="158">
        <v>100</v>
      </c>
      <c r="T254" s="90" t="s">
        <v>655</v>
      </c>
      <c r="U254" s="90">
        <v>8500065079</v>
      </c>
      <c r="V254" s="90">
        <v>5000021668</v>
      </c>
      <c r="W254" s="109">
        <v>45300</v>
      </c>
      <c r="X254" s="106">
        <v>100</v>
      </c>
      <c r="Y254" s="106">
        <v>2000</v>
      </c>
      <c r="Z254" s="106" t="s">
        <v>800</v>
      </c>
      <c r="AA254" s="106">
        <f t="shared" si="18"/>
        <v>0</v>
      </c>
      <c r="AB254" s="106">
        <f t="shared" si="19"/>
        <v>0</v>
      </c>
      <c r="AC254" s="94"/>
      <c r="AD254" s="94"/>
      <c r="AE254" s="110"/>
      <c r="AF254" s="110"/>
      <c r="AG254" s="110"/>
      <c r="AH254" s="99"/>
    </row>
    <row r="255" spans="1:34" ht="26.25" customHeight="1">
      <c r="A255" s="83" t="s">
        <v>1563</v>
      </c>
      <c r="B255" s="88">
        <v>6000027295</v>
      </c>
      <c r="C255" s="2" t="s">
        <v>1564</v>
      </c>
      <c r="D255" s="2" t="s">
        <v>2411</v>
      </c>
      <c r="E255" s="94">
        <v>10</v>
      </c>
      <c r="F255" s="74">
        <v>800</v>
      </c>
      <c r="G255" s="45">
        <f t="shared" si="17"/>
        <v>8000</v>
      </c>
      <c r="H255" s="119" t="s">
        <v>27</v>
      </c>
      <c r="I255" s="128">
        <v>45301</v>
      </c>
      <c r="J255" s="74">
        <v>800</v>
      </c>
      <c r="K255" s="74">
        <v>20</v>
      </c>
      <c r="L255" s="156">
        <v>45306</v>
      </c>
      <c r="M255" s="90">
        <f>3300+4700</f>
        <v>8000</v>
      </c>
      <c r="N255" s="90">
        <f>10+100</f>
        <v>110</v>
      </c>
      <c r="O255" s="90" t="s">
        <v>1547</v>
      </c>
      <c r="P255" s="94" t="s">
        <v>924</v>
      </c>
      <c r="Q255" s="94">
        <v>8500067545</v>
      </c>
      <c r="R255" s="94">
        <v>5000039258</v>
      </c>
      <c r="S255" s="74">
        <v>800</v>
      </c>
      <c r="T255" s="90" t="s">
        <v>655</v>
      </c>
      <c r="U255" s="90">
        <v>8500065766</v>
      </c>
      <c r="V255" s="90">
        <v>5000061144</v>
      </c>
      <c r="W255" s="109">
        <v>45320</v>
      </c>
      <c r="X255" s="106">
        <v>800</v>
      </c>
      <c r="Y255" s="106">
        <v>8000</v>
      </c>
      <c r="Z255" s="106" t="s">
        <v>727</v>
      </c>
      <c r="AA255" s="106">
        <f t="shared" si="18"/>
        <v>0</v>
      </c>
      <c r="AB255" s="106">
        <f t="shared" si="19"/>
        <v>0</v>
      </c>
      <c r="AC255" s="111" t="s">
        <v>2510</v>
      </c>
      <c r="AD255" s="94" t="s">
        <v>2610</v>
      </c>
      <c r="AE255" s="152">
        <v>800</v>
      </c>
      <c r="AF255" s="152">
        <v>15</v>
      </c>
      <c r="AG255" s="110"/>
      <c r="AH255" s="99"/>
    </row>
    <row r="256" spans="1:34" ht="26.25" customHeight="1">
      <c r="A256" s="83"/>
      <c r="B256" s="88"/>
      <c r="C256" s="2"/>
      <c r="D256" s="2"/>
      <c r="E256" s="94">
        <v>10</v>
      </c>
      <c r="F256" s="74">
        <v>1800</v>
      </c>
      <c r="G256" s="45">
        <f t="shared" si="17"/>
        <v>18000</v>
      </c>
      <c r="H256" s="119" t="s">
        <v>46</v>
      </c>
      <c r="I256" s="128">
        <v>45302</v>
      </c>
      <c r="J256" s="74">
        <v>1800</v>
      </c>
      <c r="K256" s="74">
        <v>20</v>
      </c>
      <c r="L256" s="156">
        <v>45308</v>
      </c>
      <c r="M256" s="90">
        <v>18000</v>
      </c>
      <c r="N256" s="90">
        <v>120</v>
      </c>
      <c r="O256" s="90" t="s">
        <v>862</v>
      </c>
      <c r="P256" s="94" t="s">
        <v>924</v>
      </c>
      <c r="Q256" s="94">
        <v>8500067545</v>
      </c>
      <c r="R256" s="94">
        <v>5000043291</v>
      </c>
      <c r="S256" s="74">
        <v>1800</v>
      </c>
      <c r="T256" s="90" t="s">
        <v>655</v>
      </c>
      <c r="U256" s="90">
        <v>8500065766</v>
      </c>
      <c r="V256" s="90">
        <v>5000073112</v>
      </c>
      <c r="W256" s="109" t="s">
        <v>2646</v>
      </c>
      <c r="X256" s="106">
        <f>124+1676</f>
        <v>1800</v>
      </c>
      <c r="Y256" s="106">
        <f>1240+16760</f>
        <v>18000</v>
      </c>
      <c r="Z256" s="106" t="s">
        <v>2653</v>
      </c>
      <c r="AA256" s="106">
        <f t="shared" si="18"/>
        <v>0</v>
      </c>
      <c r="AB256" s="106">
        <f t="shared" si="19"/>
        <v>0</v>
      </c>
      <c r="AC256" s="94"/>
      <c r="AD256" s="286" t="s">
        <v>2629</v>
      </c>
      <c r="AE256" s="152">
        <v>1800</v>
      </c>
      <c r="AF256" s="152">
        <v>20</v>
      </c>
      <c r="AG256" s="110"/>
      <c r="AH256" s="99"/>
    </row>
    <row r="257" spans="1:34" ht="26.25" customHeight="1">
      <c r="A257" s="83"/>
      <c r="B257" s="88"/>
      <c r="C257" s="2"/>
      <c r="D257" s="2"/>
      <c r="E257" s="94">
        <v>10</v>
      </c>
      <c r="F257" s="74">
        <v>1300</v>
      </c>
      <c r="G257" s="45">
        <f t="shared" si="17"/>
        <v>13000</v>
      </c>
      <c r="H257" s="119" t="s">
        <v>37</v>
      </c>
      <c r="I257" s="128">
        <v>45301</v>
      </c>
      <c r="J257" s="74">
        <v>1300</v>
      </c>
      <c r="K257" s="74">
        <v>20</v>
      </c>
      <c r="L257" s="156" t="s">
        <v>2565</v>
      </c>
      <c r="M257" s="90">
        <f>3500+9500</f>
        <v>13000</v>
      </c>
      <c r="N257" s="90">
        <v>100</v>
      </c>
      <c r="O257" s="90" t="s">
        <v>734</v>
      </c>
      <c r="P257" s="94" t="s">
        <v>924</v>
      </c>
      <c r="Q257" s="94">
        <v>8500067545</v>
      </c>
      <c r="R257" s="94">
        <v>5000039258</v>
      </c>
      <c r="S257" s="74">
        <v>1300</v>
      </c>
      <c r="T257" s="90" t="s">
        <v>655</v>
      </c>
      <c r="U257" s="90">
        <v>8500065766</v>
      </c>
      <c r="V257" s="90">
        <v>5000073112</v>
      </c>
      <c r="W257" s="109">
        <v>45315</v>
      </c>
      <c r="X257" s="106">
        <v>1300</v>
      </c>
      <c r="Y257" s="106">
        <v>13000</v>
      </c>
      <c r="Z257" s="106" t="s">
        <v>2619</v>
      </c>
      <c r="AA257" s="106">
        <f t="shared" si="18"/>
        <v>0</v>
      </c>
      <c r="AB257" s="106">
        <f t="shared" si="19"/>
        <v>0</v>
      </c>
      <c r="AC257" s="94"/>
      <c r="AD257" s="94" t="s">
        <v>2625</v>
      </c>
      <c r="AE257" s="152">
        <v>1300</v>
      </c>
      <c r="AF257" s="152">
        <v>20</v>
      </c>
      <c r="AG257" s="110"/>
      <c r="AH257" s="99"/>
    </row>
    <row r="258" spans="1:34" ht="26.25" customHeight="1">
      <c r="A258" s="83" t="s">
        <v>1563</v>
      </c>
      <c r="B258" s="88">
        <v>6000027296</v>
      </c>
      <c r="C258" s="2" t="s">
        <v>1564</v>
      </c>
      <c r="D258" s="2" t="s">
        <v>2412</v>
      </c>
      <c r="E258" s="94">
        <v>10</v>
      </c>
      <c r="F258" s="74">
        <v>700</v>
      </c>
      <c r="G258" s="45">
        <f t="shared" si="17"/>
        <v>7000</v>
      </c>
      <c r="H258" s="119" t="s">
        <v>27</v>
      </c>
      <c r="I258" s="128">
        <v>45301</v>
      </c>
      <c r="J258" s="74">
        <v>700</v>
      </c>
      <c r="K258" s="74">
        <v>20</v>
      </c>
      <c r="L258" s="156">
        <v>45306</v>
      </c>
      <c r="M258" s="90">
        <v>7000</v>
      </c>
      <c r="N258" s="90">
        <v>100</v>
      </c>
      <c r="O258" s="90" t="s">
        <v>2527</v>
      </c>
      <c r="P258" s="94" t="s">
        <v>924</v>
      </c>
      <c r="Q258" s="94">
        <v>8500065741</v>
      </c>
      <c r="R258" s="94">
        <v>5000039284</v>
      </c>
      <c r="S258" s="74">
        <v>700</v>
      </c>
      <c r="T258" s="90" t="s">
        <v>655</v>
      </c>
      <c r="U258" s="90">
        <v>8500065767</v>
      </c>
      <c r="V258" s="90">
        <v>5000061147</v>
      </c>
      <c r="W258" s="109">
        <v>45318</v>
      </c>
      <c r="X258" s="106">
        <v>700</v>
      </c>
      <c r="Y258" s="106">
        <v>7000</v>
      </c>
      <c r="Z258" s="106" t="s">
        <v>727</v>
      </c>
      <c r="AA258" s="106">
        <f t="shared" si="18"/>
        <v>0</v>
      </c>
      <c r="AB258" s="106">
        <f t="shared" si="19"/>
        <v>0</v>
      </c>
      <c r="AC258" s="111" t="s">
        <v>2510</v>
      </c>
      <c r="AD258" s="94" t="s">
        <v>2611</v>
      </c>
      <c r="AE258" s="152">
        <v>700</v>
      </c>
      <c r="AF258" s="152">
        <v>20</v>
      </c>
      <c r="AG258" s="110"/>
      <c r="AH258" s="99"/>
    </row>
    <row r="259" spans="1:34" ht="26.25" customHeight="1">
      <c r="A259" s="83"/>
      <c r="B259" s="88"/>
      <c r="C259" s="2"/>
      <c r="D259" s="2"/>
      <c r="E259" s="94">
        <v>10</v>
      </c>
      <c r="F259" s="74">
        <v>1500</v>
      </c>
      <c r="G259" s="45">
        <f t="shared" si="17"/>
        <v>15000</v>
      </c>
      <c r="H259" s="119" t="s">
        <v>46</v>
      </c>
      <c r="I259" s="128">
        <v>45301</v>
      </c>
      <c r="J259" s="74">
        <v>1500</v>
      </c>
      <c r="K259" s="74">
        <v>20</v>
      </c>
      <c r="L259" s="156">
        <v>45307</v>
      </c>
      <c r="M259" s="90">
        <v>15000</v>
      </c>
      <c r="N259" s="90">
        <v>150</v>
      </c>
      <c r="O259" s="90" t="s">
        <v>1848</v>
      </c>
      <c r="P259" s="94" t="s">
        <v>924</v>
      </c>
      <c r="Q259" s="94">
        <v>8500065741</v>
      </c>
      <c r="R259" s="94">
        <v>5000039284</v>
      </c>
      <c r="S259" s="74">
        <v>1500</v>
      </c>
      <c r="T259" s="90" t="s">
        <v>655</v>
      </c>
      <c r="U259" s="90">
        <v>8500065767</v>
      </c>
      <c r="V259" s="90">
        <v>5000065665</v>
      </c>
      <c r="W259" s="109">
        <v>45315</v>
      </c>
      <c r="X259" s="106">
        <v>1500</v>
      </c>
      <c r="Y259" s="106">
        <v>15000</v>
      </c>
      <c r="Z259" s="106" t="s">
        <v>1460</v>
      </c>
      <c r="AA259" s="106">
        <f t="shared" si="18"/>
        <v>0</v>
      </c>
      <c r="AB259" s="106">
        <f t="shared" si="19"/>
        <v>0</v>
      </c>
      <c r="AC259" s="94"/>
      <c r="AD259" s="94" t="s">
        <v>2612</v>
      </c>
      <c r="AE259" s="152">
        <v>1500</v>
      </c>
      <c r="AF259" s="152">
        <v>20</v>
      </c>
      <c r="AG259" s="110"/>
      <c r="AH259" s="99"/>
    </row>
    <row r="260" spans="1:34" ht="26.25" customHeight="1">
      <c r="A260" s="83"/>
      <c r="B260" s="88"/>
      <c r="C260" s="2"/>
      <c r="D260" s="2"/>
      <c r="E260" s="94">
        <v>10</v>
      </c>
      <c r="F260" s="74">
        <v>1400</v>
      </c>
      <c r="G260" s="45">
        <f t="shared" si="17"/>
        <v>14000</v>
      </c>
      <c r="H260" s="119" t="s">
        <v>37</v>
      </c>
      <c r="I260" s="128">
        <v>45301</v>
      </c>
      <c r="J260" s="74">
        <v>1400</v>
      </c>
      <c r="K260" s="74">
        <v>20</v>
      </c>
      <c r="L260" s="156">
        <v>45309</v>
      </c>
      <c r="M260" s="90">
        <v>14000</v>
      </c>
      <c r="N260" s="90">
        <v>100</v>
      </c>
      <c r="O260" s="90"/>
      <c r="P260" s="94" t="s">
        <v>924</v>
      </c>
      <c r="Q260" s="94">
        <v>8500065741</v>
      </c>
      <c r="R260" s="94">
        <v>5000039284</v>
      </c>
      <c r="S260" s="74">
        <v>1400</v>
      </c>
      <c r="T260" s="90" t="s">
        <v>655</v>
      </c>
      <c r="U260" s="90">
        <v>8500065767</v>
      </c>
      <c r="V260" s="90">
        <v>5000074486</v>
      </c>
      <c r="W260" s="109">
        <v>45315</v>
      </c>
      <c r="X260" s="106">
        <v>1400</v>
      </c>
      <c r="Y260" s="106">
        <v>14000</v>
      </c>
      <c r="Z260" s="106" t="s">
        <v>2619</v>
      </c>
      <c r="AA260" s="106">
        <f t="shared" si="18"/>
        <v>0</v>
      </c>
      <c r="AB260" s="106">
        <f t="shared" si="19"/>
        <v>0</v>
      </c>
      <c r="AC260" s="94"/>
      <c r="AD260" s="94" t="s">
        <v>2626</v>
      </c>
      <c r="AE260" s="152">
        <v>1400</v>
      </c>
      <c r="AF260" s="152">
        <v>10</v>
      </c>
      <c r="AG260" s="110"/>
      <c r="AH260" s="99"/>
    </row>
    <row r="261" spans="1:34" ht="26.25" customHeight="1">
      <c r="A261" s="83"/>
      <c r="B261" s="88"/>
      <c r="C261" s="2"/>
      <c r="D261" s="2"/>
      <c r="E261" s="94">
        <v>10</v>
      </c>
      <c r="F261" s="74">
        <v>300</v>
      </c>
      <c r="G261" s="45">
        <f t="shared" si="17"/>
        <v>3000</v>
      </c>
      <c r="H261" s="119" t="s">
        <v>146</v>
      </c>
      <c r="I261" s="128">
        <v>45301</v>
      </c>
      <c r="J261" s="74">
        <v>300</v>
      </c>
      <c r="K261" s="74">
        <v>20</v>
      </c>
      <c r="L261" s="156">
        <v>45309</v>
      </c>
      <c r="M261" s="90">
        <v>3000</v>
      </c>
      <c r="N261" s="90">
        <v>50</v>
      </c>
      <c r="O261" s="90" t="s">
        <v>1746</v>
      </c>
      <c r="P261" s="94" t="s">
        <v>924</v>
      </c>
      <c r="Q261" s="94">
        <v>8500065741</v>
      </c>
      <c r="R261" s="94">
        <v>5000039284</v>
      </c>
      <c r="S261" s="74">
        <v>300</v>
      </c>
      <c r="T261" s="90" t="s">
        <v>655</v>
      </c>
      <c r="U261" s="90">
        <v>8500065767</v>
      </c>
      <c r="V261" s="90">
        <v>5000074486</v>
      </c>
      <c r="W261" s="109">
        <v>45321</v>
      </c>
      <c r="X261" s="106">
        <v>300</v>
      </c>
      <c r="Y261" s="106">
        <v>3000</v>
      </c>
      <c r="Z261" s="106" t="s">
        <v>759</v>
      </c>
      <c r="AA261" s="106">
        <f t="shared" si="18"/>
        <v>0</v>
      </c>
      <c r="AB261" s="106">
        <f t="shared" si="19"/>
        <v>0</v>
      </c>
      <c r="AC261" s="94"/>
      <c r="AD261" s="94" t="s">
        <v>2613</v>
      </c>
      <c r="AE261" s="152">
        <v>300</v>
      </c>
      <c r="AF261" s="152">
        <v>10</v>
      </c>
      <c r="AG261" s="110"/>
      <c r="AH261" s="99"/>
    </row>
    <row r="262" spans="1:34" ht="26.25" customHeight="1">
      <c r="A262" s="83" t="s">
        <v>1563</v>
      </c>
      <c r="B262" s="88">
        <v>6000027297</v>
      </c>
      <c r="C262" s="2" t="s">
        <v>2413</v>
      </c>
      <c r="D262" s="2">
        <v>6000027297</v>
      </c>
      <c r="E262" s="94">
        <v>10</v>
      </c>
      <c r="F262" s="74">
        <v>500</v>
      </c>
      <c r="G262" s="45">
        <f t="shared" si="17"/>
        <v>5000</v>
      </c>
      <c r="H262" s="119" t="s">
        <v>27</v>
      </c>
      <c r="I262" s="128">
        <v>45311</v>
      </c>
      <c r="J262" s="158">
        <v>500</v>
      </c>
      <c r="K262" s="74">
        <v>20</v>
      </c>
      <c r="L262" s="156">
        <v>45316</v>
      </c>
      <c r="M262" s="90">
        <v>5000</v>
      </c>
      <c r="N262" s="90">
        <v>50</v>
      </c>
      <c r="O262" s="90" t="s">
        <v>1813</v>
      </c>
      <c r="P262" s="94" t="s">
        <v>924</v>
      </c>
      <c r="Q262" s="94">
        <v>8500065871</v>
      </c>
      <c r="R262" s="94">
        <v>5000090504</v>
      </c>
      <c r="S262" s="74">
        <v>500</v>
      </c>
      <c r="T262" s="90" t="s">
        <v>655</v>
      </c>
      <c r="U262" s="90">
        <v>8500065870</v>
      </c>
      <c r="V262" s="90">
        <v>5000105435</v>
      </c>
      <c r="W262" s="109">
        <v>45320</v>
      </c>
      <c r="X262" s="106">
        <v>500</v>
      </c>
      <c r="Y262" s="106">
        <v>5000</v>
      </c>
      <c r="Z262" s="106" t="s">
        <v>727</v>
      </c>
      <c r="AA262" s="106">
        <f t="shared" si="18"/>
        <v>0</v>
      </c>
      <c r="AB262" s="106">
        <f t="shared" si="19"/>
        <v>0</v>
      </c>
      <c r="AC262" s="94"/>
      <c r="AD262" s="94"/>
      <c r="AE262" s="110"/>
      <c r="AF262" s="110"/>
      <c r="AG262" s="110"/>
      <c r="AH262" s="99"/>
    </row>
    <row r="263" spans="1:34" ht="26.25" customHeight="1">
      <c r="A263" s="83"/>
      <c r="B263" s="88"/>
      <c r="C263" s="2"/>
      <c r="D263" s="2"/>
      <c r="E263" s="94">
        <v>10</v>
      </c>
      <c r="F263" s="74">
        <v>1700</v>
      </c>
      <c r="G263" s="45">
        <f t="shared" si="17"/>
        <v>17000</v>
      </c>
      <c r="H263" s="119" t="s">
        <v>46</v>
      </c>
      <c r="I263" s="128">
        <v>45310</v>
      </c>
      <c r="J263" s="74">
        <v>1700</v>
      </c>
      <c r="K263" s="74">
        <v>20</v>
      </c>
      <c r="L263" s="156">
        <v>45315</v>
      </c>
      <c r="M263" s="90">
        <v>17000</v>
      </c>
      <c r="N263" s="90">
        <v>150</v>
      </c>
      <c r="O263" s="90"/>
      <c r="P263" s="94" t="s">
        <v>924</v>
      </c>
      <c r="Q263" s="94">
        <v>8500065871</v>
      </c>
      <c r="R263" s="94">
        <v>5000082046</v>
      </c>
      <c r="S263" s="74">
        <v>1700</v>
      </c>
      <c r="T263" s="90" t="s">
        <v>655</v>
      </c>
      <c r="U263" s="90">
        <v>8500065870</v>
      </c>
      <c r="V263" s="90">
        <v>5000100849</v>
      </c>
      <c r="W263" s="109">
        <v>45317</v>
      </c>
      <c r="X263" s="106">
        <v>1700</v>
      </c>
      <c r="Y263" s="106">
        <v>17000</v>
      </c>
      <c r="Z263" s="106" t="s">
        <v>1460</v>
      </c>
      <c r="AA263" s="106">
        <f t="shared" si="18"/>
        <v>0</v>
      </c>
      <c r="AB263" s="106">
        <f t="shared" si="19"/>
        <v>0</v>
      </c>
      <c r="AC263" s="94"/>
      <c r="AD263" s="94"/>
      <c r="AE263" s="110"/>
      <c r="AF263" s="110"/>
      <c r="AG263" s="110"/>
      <c r="AH263" s="99"/>
    </row>
    <row r="264" spans="1:34" ht="26.25" customHeight="1">
      <c r="A264" s="83"/>
      <c r="B264" s="88"/>
      <c r="C264" s="2"/>
      <c r="D264" s="2"/>
      <c r="E264" s="94">
        <v>10</v>
      </c>
      <c r="F264" s="74">
        <v>1400</v>
      </c>
      <c r="G264" s="45">
        <f t="shared" si="17"/>
        <v>14000</v>
      </c>
      <c r="H264" s="119" t="s">
        <v>37</v>
      </c>
      <c r="I264" s="128">
        <v>45310</v>
      </c>
      <c r="J264" s="74">
        <v>1400</v>
      </c>
      <c r="K264" s="74">
        <v>20</v>
      </c>
      <c r="L264" s="156" t="s">
        <v>2630</v>
      </c>
      <c r="M264" s="90">
        <f>3700+10300</f>
        <v>14000</v>
      </c>
      <c r="N264" s="90">
        <v>100</v>
      </c>
      <c r="O264" s="90" t="s">
        <v>897</v>
      </c>
      <c r="P264" s="94" t="s">
        <v>924</v>
      </c>
      <c r="Q264" s="94">
        <v>8500065871</v>
      </c>
      <c r="R264" s="94">
        <v>5000082046</v>
      </c>
      <c r="S264" s="74">
        <v>1400</v>
      </c>
      <c r="T264" s="90" t="s">
        <v>655</v>
      </c>
      <c r="U264" s="90">
        <v>8500065870</v>
      </c>
      <c r="V264" s="90">
        <v>5000099725</v>
      </c>
      <c r="W264" s="109">
        <v>45316</v>
      </c>
      <c r="X264" s="106">
        <v>1400</v>
      </c>
      <c r="Y264" s="106">
        <v>14000</v>
      </c>
      <c r="Z264" s="106" t="s">
        <v>2619</v>
      </c>
      <c r="AA264" s="106">
        <f t="shared" si="18"/>
        <v>0</v>
      </c>
      <c r="AB264" s="106">
        <f t="shared" si="19"/>
        <v>0</v>
      </c>
      <c r="AC264" s="94"/>
      <c r="AD264" s="94"/>
      <c r="AE264" s="110"/>
      <c r="AF264" s="110"/>
      <c r="AG264" s="110"/>
      <c r="AH264" s="99"/>
    </row>
    <row r="265" spans="1:34" ht="26.25" customHeight="1">
      <c r="A265" s="83"/>
      <c r="B265" s="88"/>
      <c r="D265" s="2"/>
      <c r="E265" s="94">
        <v>10</v>
      </c>
      <c r="F265" s="74">
        <v>300</v>
      </c>
      <c r="G265" s="45">
        <f t="shared" si="17"/>
        <v>3000</v>
      </c>
      <c r="H265" s="119" t="s">
        <v>146</v>
      </c>
      <c r="I265" s="128">
        <v>45311</v>
      </c>
      <c r="J265" s="158">
        <v>300</v>
      </c>
      <c r="K265" s="74">
        <v>20</v>
      </c>
      <c r="L265" s="156">
        <v>45316</v>
      </c>
      <c r="M265" s="90">
        <v>3000</v>
      </c>
      <c r="N265" s="90">
        <v>30</v>
      </c>
      <c r="O265" s="90" t="s">
        <v>1340</v>
      </c>
      <c r="P265" s="94" t="s">
        <v>924</v>
      </c>
      <c r="Q265" s="94">
        <v>8500065871</v>
      </c>
      <c r="R265" s="94">
        <v>5000090504</v>
      </c>
      <c r="S265" s="74">
        <v>300</v>
      </c>
      <c r="T265" s="90" t="s">
        <v>655</v>
      </c>
      <c r="U265" s="90">
        <v>8500065870</v>
      </c>
      <c r="V265" s="90">
        <v>5000105435</v>
      </c>
      <c r="W265" s="109">
        <v>45321</v>
      </c>
      <c r="X265" s="106">
        <v>300</v>
      </c>
      <c r="Y265" s="106">
        <v>3000</v>
      </c>
      <c r="Z265" s="106" t="s">
        <v>759</v>
      </c>
      <c r="AA265" s="106">
        <f t="shared" si="18"/>
        <v>0</v>
      </c>
      <c r="AB265" s="106">
        <f t="shared" si="19"/>
        <v>0</v>
      </c>
      <c r="AC265" s="94"/>
      <c r="AD265" s="94"/>
      <c r="AE265" s="110"/>
      <c r="AF265" s="110"/>
      <c r="AG265" s="110"/>
      <c r="AH265" s="99"/>
    </row>
    <row r="266" spans="1:34" ht="26.25" customHeight="1">
      <c r="A266" s="83" t="s">
        <v>1563</v>
      </c>
      <c r="B266" s="88">
        <v>6000027298</v>
      </c>
      <c r="C266" s="2" t="s">
        <v>2413</v>
      </c>
      <c r="D266" s="2">
        <v>6000027298</v>
      </c>
      <c r="E266" s="94">
        <v>10</v>
      </c>
      <c r="F266" s="74">
        <v>1000</v>
      </c>
      <c r="G266" s="45">
        <f t="shared" si="17"/>
        <v>10000</v>
      </c>
      <c r="H266" s="119" t="s">
        <v>27</v>
      </c>
      <c r="I266" s="128">
        <v>45313</v>
      </c>
      <c r="J266" s="158">
        <v>1000</v>
      </c>
      <c r="K266" s="74">
        <v>20</v>
      </c>
      <c r="L266" s="156">
        <v>45314</v>
      </c>
      <c r="M266" s="90">
        <v>10000</v>
      </c>
      <c r="N266" s="90">
        <v>100</v>
      </c>
      <c r="O266" s="90" t="s">
        <v>1784</v>
      </c>
      <c r="P266" s="94" t="s">
        <v>924</v>
      </c>
      <c r="Q266" s="94">
        <v>8500065873</v>
      </c>
      <c r="R266" s="94">
        <v>5000095205</v>
      </c>
      <c r="S266" s="158">
        <v>1000</v>
      </c>
      <c r="T266" s="90" t="s">
        <v>655</v>
      </c>
      <c r="U266" s="90">
        <v>8500065872</v>
      </c>
      <c r="V266" s="90">
        <v>5000099793</v>
      </c>
      <c r="W266" s="109">
        <v>45321</v>
      </c>
      <c r="X266" s="106">
        <v>1000</v>
      </c>
      <c r="Y266" s="106">
        <v>10000</v>
      </c>
      <c r="Z266" s="106" t="s">
        <v>727</v>
      </c>
      <c r="AA266" s="106">
        <f t="shared" si="18"/>
        <v>0</v>
      </c>
      <c r="AB266" s="106">
        <f t="shared" si="19"/>
        <v>0</v>
      </c>
      <c r="AC266" s="94"/>
      <c r="AD266" s="94"/>
      <c r="AE266" s="110"/>
      <c r="AF266" s="110"/>
      <c r="AG266" s="110"/>
      <c r="AH266" s="99"/>
    </row>
    <row r="267" spans="1:34" ht="26.25" customHeight="1">
      <c r="A267" s="83" t="s">
        <v>343</v>
      </c>
      <c r="B267" s="88"/>
      <c r="C267" s="2"/>
      <c r="D267" s="2"/>
      <c r="E267" s="94">
        <v>10</v>
      </c>
      <c r="F267" s="74">
        <v>1800</v>
      </c>
      <c r="G267" s="45">
        <f t="shared" si="17"/>
        <v>18000</v>
      </c>
      <c r="H267" s="119" t="s">
        <v>46</v>
      </c>
      <c r="I267" s="128">
        <v>45311</v>
      </c>
      <c r="J267" s="74">
        <v>1800</v>
      </c>
      <c r="K267" s="74">
        <v>20</v>
      </c>
      <c r="L267" s="156" t="s">
        <v>2646</v>
      </c>
      <c r="M267" s="90">
        <f>11200+6800</f>
        <v>18000</v>
      </c>
      <c r="N267" s="90">
        <v>65</v>
      </c>
      <c r="O267" s="90" t="s">
        <v>2647</v>
      </c>
      <c r="P267" s="94" t="s">
        <v>924</v>
      </c>
      <c r="Q267" s="94">
        <v>8500065873</v>
      </c>
      <c r="R267" s="94">
        <v>5000090509</v>
      </c>
      <c r="S267" s="74">
        <v>1800</v>
      </c>
      <c r="T267" s="90" t="s">
        <v>655</v>
      </c>
      <c r="U267" s="90">
        <v>8500065872</v>
      </c>
      <c r="V267" s="90">
        <v>5000100930</v>
      </c>
      <c r="W267" s="109">
        <v>45317</v>
      </c>
      <c r="X267" s="106">
        <v>1800</v>
      </c>
      <c r="Y267" s="106">
        <v>18000</v>
      </c>
      <c r="Z267" s="106" t="s">
        <v>2532</v>
      </c>
      <c r="AA267" s="106">
        <f t="shared" si="18"/>
        <v>0</v>
      </c>
      <c r="AB267" s="106">
        <f t="shared" si="19"/>
        <v>0</v>
      </c>
      <c r="AC267" s="94"/>
      <c r="AD267" s="94"/>
      <c r="AE267" s="110"/>
      <c r="AF267" s="110"/>
      <c r="AG267" s="110"/>
      <c r="AH267" s="99"/>
    </row>
    <row r="268" spans="1:34" ht="26.25" customHeight="1">
      <c r="A268" s="83"/>
      <c r="B268" s="88"/>
      <c r="C268" s="2"/>
      <c r="D268" s="2"/>
      <c r="E268" s="94">
        <v>10</v>
      </c>
      <c r="F268" s="74">
        <v>1100</v>
      </c>
      <c r="G268" s="45">
        <f t="shared" si="17"/>
        <v>11000</v>
      </c>
      <c r="H268" s="119" t="s">
        <v>37</v>
      </c>
      <c r="I268" s="128">
        <v>45311</v>
      </c>
      <c r="J268" s="74">
        <v>1100</v>
      </c>
      <c r="K268" s="74">
        <v>20</v>
      </c>
      <c r="L268" s="156">
        <v>45314</v>
      </c>
      <c r="M268" s="90">
        <v>11000</v>
      </c>
      <c r="N268" s="90">
        <v>100</v>
      </c>
      <c r="O268" s="90" t="s">
        <v>1791</v>
      </c>
      <c r="P268" s="94" t="s">
        <v>924</v>
      </c>
      <c r="Q268" s="94">
        <v>8500065873</v>
      </c>
      <c r="R268" s="94">
        <v>5000090509</v>
      </c>
      <c r="S268" s="74">
        <v>1100</v>
      </c>
      <c r="T268" s="90" t="s">
        <v>655</v>
      </c>
      <c r="U268" s="90">
        <v>8500065872</v>
      </c>
      <c r="V268" s="90">
        <v>5000099793</v>
      </c>
      <c r="W268" s="109">
        <v>45317</v>
      </c>
      <c r="X268" s="106">
        <v>1100</v>
      </c>
      <c r="Y268" s="106">
        <v>11000</v>
      </c>
      <c r="Z268" s="106" t="s">
        <v>2619</v>
      </c>
      <c r="AA268" s="106">
        <f t="shared" si="18"/>
        <v>0</v>
      </c>
      <c r="AB268" s="106">
        <f t="shared" si="19"/>
        <v>0</v>
      </c>
      <c r="AC268" s="94"/>
      <c r="AD268" s="94"/>
      <c r="AE268" s="110"/>
      <c r="AF268" s="110"/>
      <c r="AG268" s="110"/>
      <c r="AH268" s="99"/>
    </row>
    <row r="269" spans="1:34" ht="26.25" customHeight="1">
      <c r="A269" s="83" t="s">
        <v>1563</v>
      </c>
      <c r="B269" s="88">
        <v>6000027299</v>
      </c>
      <c r="C269" s="2" t="s">
        <v>1564</v>
      </c>
      <c r="D269" s="2" t="s">
        <v>2414</v>
      </c>
      <c r="E269" s="94">
        <v>10</v>
      </c>
      <c r="F269" s="74">
        <v>650</v>
      </c>
      <c r="G269" s="45">
        <f t="shared" si="17"/>
        <v>6500</v>
      </c>
      <c r="H269" s="119" t="s">
        <v>27</v>
      </c>
      <c r="I269" s="128">
        <v>44936</v>
      </c>
      <c r="J269" s="74">
        <v>650</v>
      </c>
      <c r="K269" s="74">
        <v>20</v>
      </c>
      <c r="L269" s="156">
        <v>45306</v>
      </c>
      <c r="M269" s="90">
        <v>6500</v>
      </c>
      <c r="N269" s="90">
        <v>100</v>
      </c>
      <c r="O269" s="90" t="s">
        <v>1663</v>
      </c>
      <c r="P269" s="94" t="s">
        <v>924</v>
      </c>
      <c r="Q269" s="94">
        <v>8500065743</v>
      </c>
      <c r="R269" s="94">
        <v>5000039362</v>
      </c>
      <c r="S269" s="74">
        <v>650</v>
      </c>
      <c r="T269" s="90" t="s">
        <v>655</v>
      </c>
      <c r="U269" s="90">
        <v>8500065768</v>
      </c>
      <c r="V269" s="90">
        <v>5000061162</v>
      </c>
      <c r="W269" s="109">
        <v>45318</v>
      </c>
      <c r="X269" s="106">
        <v>650</v>
      </c>
      <c r="Y269" s="106">
        <v>6500</v>
      </c>
      <c r="Z269" s="106" t="s">
        <v>727</v>
      </c>
      <c r="AA269" s="106">
        <f t="shared" si="18"/>
        <v>0</v>
      </c>
      <c r="AB269" s="106">
        <f t="shared" si="19"/>
        <v>0</v>
      </c>
      <c r="AC269" s="111" t="s">
        <v>2510</v>
      </c>
      <c r="AD269" s="94" t="s">
        <v>2627</v>
      </c>
      <c r="AE269" s="152">
        <v>650</v>
      </c>
      <c r="AF269" s="152">
        <v>20</v>
      </c>
      <c r="AG269" s="110"/>
      <c r="AH269" s="99"/>
    </row>
    <row r="270" spans="1:34" ht="26.25" customHeight="1">
      <c r="A270" s="83"/>
      <c r="B270" s="88"/>
      <c r="C270" s="2"/>
      <c r="D270" s="2"/>
      <c r="E270" s="94">
        <v>10</v>
      </c>
      <c r="F270" s="74">
        <v>2350</v>
      </c>
      <c r="G270" s="45">
        <f t="shared" si="17"/>
        <v>23500</v>
      </c>
      <c r="H270" s="119" t="s">
        <v>46</v>
      </c>
      <c r="I270" s="128">
        <v>44936</v>
      </c>
      <c r="J270" s="74">
        <v>2350</v>
      </c>
      <c r="K270" s="74">
        <v>20</v>
      </c>
      <c r="L270" s="156">
        <v>45307</v>
      </c>
      <c r="M270" s="90">
        <v>23500</v>
      </c>
      <c r="N270" s="90">
        <v>150</v>
      </c>
      <c r="O270" s="90"/>
      <c r="P270" s="94" t="s">
        <v>924</v>
      </c>
      <c r="Q270" s="94">
        <v>8500065743</v>
      </c>
      <c r="R270" s="94">
        <v>5000039362</v>
      </c>
      <c r="S270" s="74">
        <v>2350</v>
      </c>
      <c r="T270" s="90" t="s">
        <v>655</v>
      </c>
      <c r="U270" s="90">
        <v>8500065768</v>
      </c>
      <c r="V270" s="90">
        <v>5000065690</v>
      </c>
      <c r="W270" s="109">
        <v>45316</v>
      </c>
      <c r="X270" s="106">
        <v>2350</v>
      </c>
      <c r="Y270" s="106">
        <v>23500</v>
      </c>
      <c r="Z270" s="106" t="s">
        <v>2532</v>
      </c>
      <c r="AA270" s="106">
        <f t="shared" si="18"/>
        <v>0</v>
      </c>
      <c r="AB270" s="106">
        <f t="shared" si="19"/>
        <v>0</v>
      </c>
      <c r="AC270" s="94"/>
      <c r="AD270" s="94" t="s">
        <v>2649</v>
      </c>
      <c r="AE270" s="152">
        <v>2350</v>
      </c>
      <c r="AF270" s="152">
        <v>20</v>
      </c>
      <c r="AG270" s="110"/>
      <c r="AH270" s="99"/>
    </row>
    <row r="271" spans="1:34" ht="26.25" customHeight="1">
      <c r="A271" s="83"/>
      <c r="B271" s="88"/>
      <c r="C271" s="2"/>
      <c r="D271" s="2"/>
      <c r="E271" s="94">
        <v>10</v>
      </c>
      <c r="F271" s="74">
        <v>900</v>
      </c>
      <c r="G271" s="45">
        <f t="shared" si="17"/>
        <v>9000</v>
      </c>
      <c r="H271" s="119" t="s">
        <v>37</v>
      </c>
      <c r="I271" s="128">
        <v>44936</v>
      </c>
      <c r="J271" s="74">
        <v>900</v>
      </c>
      <c r="K271" s="74">
        <v>20</v>
      </c>
      <c r="L271" s="156">
        <v>45309</v>
      </c>
      <c r="M271" s="90">
        <v>9000</v>
      </c>
      <c r="N271" s="90">
        <v>100</v>
      </c>
      <c r="O271" s="90"/>
      <c r="P271" s="94" t="s">
        <v>924</v>
      </c>
      <c r="Q271" s="94">
        <v>8500065743</v>
      </c>
      <c r="R271" s="94">
        <v>5000039362</v>
      </c>
      <c r="S271" s="74">
        <v>900</v>
      </c>
      <c r="T271" s="90" t="s">
        <v>655</v>
      </c>
      <c r="U271" s="90">
        <v>8500065768</v>
      </c>
      <c r="V271" s="90">
        <v>5000074468</v>
      </c>
      <c r="W271" s="109">
        <v>45314</v>
      </c>
      <c r="X271" s="106">
        <v>900</v>
      </c>
      <c r="Y271" s="106">
        <v>9000</v>
      </c>
      <c r="Z271" s="106" t="s">
        <v>2601</v>
      </c>
      <c r="AA271" s="106">
        <f t="shared" si="18"/>
        <v>0</v>
      </c>
      <c r="AB271" s="106">
        <f t="shared" si="19"/>
        <v>0</v>
      </c>
      <c r="AC271" s="94"/>
      <c r="AD271" s="94" t="s">
        <v>2628</v>
      </c>
      <c r="AE271" s="152">
        <v>900</v>
      </c>
      <c r="AF271" s="152">
        <v>20</v>
      </c>
      <c r="AG271" s="110"/>
      <c r="AH271" s="99"/>
    </row>
    <row r="272" spans="1:34" ht="26.25" customHeight="1">
      <c r="A272" s="83" t="s">
        <v>525</v>
      </c>
      <c r="B272" s="88">
        <v>6000026890</v>
      </c>
      <c r="C272" s="2" t="s">
        <v>548</v>
      </c>
      <c r="D272" s="2"/>
      <c r="E272" s="94">
        <v>8</v>
      </c>
      <c r="F272" s="74">
        <v>250</v>
      </c>
      <c r="G272" s="45">
        <f t="shared" si="17"/>
        <v>2000</v>
      </c>
      <c r="H272" s="119" t="s">
        <v>27</v>
      </c>
      <c r="I272" s="128">
        <v>45299</v>
      </c>
      <c r="J272" s="158">
        <v>250</v>
      </c>
      <c r="K272" s="74">
        <v>7</v>
      </c>
      <c r="L272" s="156">
        <v>45299</v>
      </c>
      <c r="M272" s="90">
        <v>2000</v>
      </c>
      <c r="N272" s="90">
        <v>19</v>
      </c>
      <c r="O272" s="90"/>
      <c r="P272" s="94" t="s">
        <v>2435</v>
      </c>
      <c r="Q272" s="94"/>
      <c r="R272" s="94"/>
      <c r="S272" s="158">
        <v>250</v>
      </c>
      <c r="T272" s="90" t="s">
        <v>2434</v>
      </c>
      <c r="U272" s="90"/>
      <c r="V272" s="90"/>
      <c r="W272" s="109">
        <v>45310</v>
      </c>
      <c r="X272" s="106">
        <v>250</v>
      </c>
      <c r="Y272" s="106">
        <v>2000</v>
      </c>
      <c r="Z272" s="106" t="s">
        <v>800</v>
      </c>
      <c r="AA272" s="106">
        <f t="shared" si="18"/>
        <v>0</v>
      </c>
      <c r="AB272" s="106">
        <f t="shared" si="19"/>
        <v>0</v>
      </c>
      <c r="AC272" s="94"/>
      <c r="AD272" s="94"/>
      <c r="AE272" s="110"/>
      <c r="AF272" s="110"/>
      <c r="AG272" s="110"/>
      <c r="AH272" s="99"/>
    </row>
    <row r="273" spans="1:34" ht="26.25" customHeight="1">
      <c r="A273" s="90"/>
      <c r="B273" s="88"/>
      <c r="C273" s="506" t="s">
        <v>2433</v>
      </c>
      <c r="D273" s="507"/>
      <c r="E273" s="94">
        <v>8</v>
      </c>
      <c r="F273" s="74">
        <v>700</v>
      </c>
      <c r="G273" s="45">
        <f t="shared" si="17"/>
        <v>5600</v>
      </c>
      <c r="H273" s="119" t="s">
        <v>46</v>
      </c>
      <c r="I273" s="128">
        <v>45301</v>
      </c>
      <c r="J273" s="158">
        <v>700</v>
      </c>
      <c r="K273" s="74">
        <v>12</v>
      </c>
      <c r="L273" s="156">
        <v>44206</v>
      </c>
      <c r="M273" s="90">
        <v>5600</v>
      </c>
      <c r="N273" s="90">
        <v>55</v>
      </c>
      <c r="O273" s="90"/>
      <c r="P273" s="94" t="s">
        <v>2435</v>
      </c>
      <c r="Q273" s="94"/>
      <c r="R273" s="94"/>
      <c r="S273" s="158">
        <v>700</v>
      </c>
      <c r="T273" s="90" t="s">
        <v>2434</v>
      </c>
      <c r="U273" s="90"/>
      <c r="V273" s="90"/>
      <c r="W273" s="109">
        <v>45316</v>
      </c>
      <c r="X273" s="106">
        <v>700</v>
      </c>
      <c r="Y273" s="106">
        <v>5600</v>
      </c>
      <c r="Z273" s="106" t="s">
        <v>800</v>
      </c>
      <c r="AA273" s="106">
        <f t="shared" si="18"/>
        <v>0</v>
      </c>
      <c r="AB273" s="106">
        <f t="shared" si="19"/>
        <v>0</v>
      </c>
      <c r="AC273" s="94"/>
      <c r="AD273" s="94"/>
      <c r="AE273" s="110"/>
      <c r="AF273" s="110"/>
      <c r="AG273" s="110"/>
      <c r="AH273" s="99"/>
    </row>
    <row r="274" spans="1:34" ht="26.25" customHeight="1">
      <c r="A274" s="90"/>
      <c r="B274" s="88"/>
      <c r="C274" s="94"/>
      <c r="D274" s="95"/>
      <c r="E274" s="94">
        <v>8</v>
      </c>
      <c r="F274" s="74">
        <v>350</v>
      </c>
      <c r="G274" s="45">
        <f t="shared" si="17"/>
        <v>2800</v>
      </c>
      <c r="H274" s="119" t="s">
        <v>37</v>
      </c>
      <c r="I274" s="128">
        <v>45299</v>
      </c>
      <c r="J274" s="158">
        <v>350</v>
      </c>
      <c r="K274" s="74">
        <v>8</v>
      </c>
      <c r="L274" s="156">
        <v>45299</v>
      </c>
      <c r="M274" s="90">
        <v>2800</v>
      </c>
      <c r="N274" s="90">
        <v>27</v>
      </c>
      <c r="O274" s="90"/>
      <c r="P274" s="94" t="s">
        <v>2435</v>
      </c>
      <c r="Q274" s="94"/>
      <c r="R274" s="94"/>
      <c r="S274" s="158">
        <v>350</v>
      </c>
      <c r="T274" s="90" t="s">
        <v>2434</v>
      </c>
      <c r="U274" s="90"/>
      <c r="V274" s="90"/>
      <c r="W274" s="109">
        <v>45315</v>
      </c>
      <c r="X274" s="106">
        <v>350</v>
      </c>
      <c r="Y274" s="106">
        <v>2800</v>
      </c>
      <c r="Z274" s="106" t="s">
        <v>800</v>
      </c>
      <c r="AA274" s="106">
        <f t="shared" si="18"/>
        <v>0</v>
      </c>
      <c r="AB274" s="106">
        <f t="shared" si="19"/>
        <v>0</v>
      </c>
      <c r="AC274" s="94"/>
      <c r="AD274" s="94"/>
      <c r="AE274" s="110"/>
      <c r="AF274" s="110"/>
      <c r="AG274" s="110"/>
      <c r="AH274" s="99"/>
    </row>
    <row r="275" spans="1:34" ht="26.25" customHeight="1">
      <c r="A275" s="90"/>
      <c r="B275" s="88"/>
      <c r="C275" s="94"/>
      <c r="D275" s="95"/>
      <c r="E275" s="94">
        <v>8</v>
      </c>
      <c r="F275" s="74">
        <v>100</v>
      </c>
      <c r="G275" s="45">
        <f t="shared" si="17"/>
        <v>800</v>
      </c>
      <c r="H275" s="119" t="s">
        <v>146</v>
      </c>
      <c r="I275" s="128">
        <v>45299</v>
      </c>
      <c r="J275" s="158">
        <v>100</v>
      </c>
      <c r="K275" s="74">
        <v>5</v>
      </c>
      <c r="L275" s="156">
        <v>45299</v>
      </c>
      <c r="M275" s="90">
        <v>800</v>
      </c>
      <c r="N275" s="90">
        <v>7</v>
      </c>
      <c r="O275" s="90"/>
      <c r="P275" s="94" t="s">
        <v>2435</v>
      </c>
      <c r="Q275" s="94"/>
      <c r="R275" s="94"/>
      <c r="S275" s="158">
        <v>100</v>
      </c>
      <c r="T275" s="90" t="s">
        <v>2434</v>
      </c>
      <c r="U275" s="90"/>
      <c r="V275" s="90"/>
      <c r="W275" s="109">
        <v>45310</v>
      </c>
      <c r="X275" s="106">
        <v>100</v>
      </c>
      <c r="Y275" s="106">
        <v>800</v>
      </c>
      <c r="Z275" s="106" t="s">
        <v>800</v>
      </c>
      <c r="AA275" s="106">
        <f t="shared" si="18"/>
        <v>0</v>
      </c>
      <c r="AB275" s="106">
        <f t="shared" si="19"/>
        <v>0</v>
      </c>
      <c r="AC275" s="94"/>
      <c r="AD275" s="94"/>
      <c r="AE275" s="110"/>
      <c r="AF275" s="110"/>
      <c r="AG275" s="110"/>
      <c r="AH275" s="99"/>
    </row>
    <row r="276" spans="1:34" ht="26.25" customHeight="1">
      <c r="A276" s="90" t="s">
        <v>2226</v>
      </c>
      <c r="B276" s="88">
        <v>6000026888</v>
      </c>
      <c r="C276" s="2" t="s">
        <v>2535</v>
      </c>
      <c r="D276" s="2">
        <v>6000026888</v>
      </c>
      <c r="E276" s="94">
        <v>10</v>
      </c>
      <c r="F276" s="74">
        <v>100</v>
      </c>
      <c r="G276" s="45">
        <f t="shared" si="17"/>
        <v>1000</v>
      </c>
      <c r="H276" s="119" t="s">
        <v>27</v>
      </c>
      <c r="I276" s="128">
        <v>45308</v>
      </c>
      <c r="J276" s="74">
        <v>100</v>
      </c>
      <c r="K276" s="74">
        <f>6+1</f>
        <v>7</v>
      </c>
      <c r="L276" s="156" t="s">
        <v>2635</v>
      </c>
      <c r="M276" s="90">
        <f>850+150</f>
        <v>1000</v>
      </c>
      <c r="N276" s="90">
        <v>10</v>
      </c>
      <c r="O276" s="90" t="s">
        <v>1746</v>
      </c>
      <c r="P276" s="94" t="s">
        <v>28</v>
      </c>
      <c r="Q276" s="94">
        <v>8500064864</v>
      </c>
      <c r="R276" s="94">
        <v>5000069008</v>
      </c>
      <c r="S276" s="94"/>
      <c r="T276" s="90" t="s">
        <v>1558</v>
      </c>
      <c r="U276" s="90">
        <v>8500064863</v>
      </c>
      <c r="V276" s="90">
        <v>5000074237</v>
      </c>
      <c r="W276" s="109" t="s">
        <v>2931</v>
      </c>
      <c r="X276" s="106">
        <f>85+15</f>
        <v>100</v>
      </c>
      <c r="Y276" s="106">
        <f>850+150</f>
        <v>1000</v>
      </c>
      <c r="Z276" s="106" t="s">
        <v>1698</v>
      </c>
      <c r="AA276" s="106">
        <f t="shared" si="18"/>
        <v>0</v>
      </c>
      <c r="AB276" s="106">
        <f t="shared" si="19"/>
        <v>0</v>
      </c>
      <c r="AC276" s="94"/>
      <c r="AD276" s="94"/>
      <c r="AE276" s="110"/>
      <c r="AF276" s="110"/>
      <c r="AG276" s="110"/>
      <c r="AH276" s="99"/>
    </row>
    <row r="277" spans="1:34" ht="26.25" customHeight="1">
      <c r="A277" s="90"/>
      <c r="B277" s="88"/>
      <c r="C277" s="94"/>
      <c r="D277" s="95"/>
      <c r="E277" s="94">
        <v>10</v>
      </c>
      <c r="F277" s="74">
        <v>150</v>
      </c>
      <c r="G277" s="45">
        <f t="shared" si="17"/>
        <v>1500</v>
      </c>
      <c r="H277" s="119" t="s">
        <v>46</v>
      </c>
      <c r="I277" s="128">
        <v>45308</v>
      </c>
      <c r="J277" s="74">
        <v>150</v>
      </c>
      <c r="K277" s="74">
        <f>7+1</f>
        <v>8</v>
      </c>
      <c r="L277" s="156">
        <v>45308</v>
      </c>
      <c r="M277" s="90">
        <v>1500</v>
      </c>
      <c r="N277" s="90">
        <v>15</v>
      </c>
      <c r="O277" s="90" t="s">
        <v>789</v>
      </c>
      <c r="P277" s="94" t="s">
        <v>28</v>
      </c>
      <c r="Q277" s="94">
        <v>8500064864</v>
      </c>
      <c r="R277" s="94">
        <v>5000069008</v>
      </c>
      <c r="S277" s="94"/>
      <c r="T277" s="90" t="s">
        <v>1558</v>
      </c>
      <c r="U277" s="90">
        <v>8500064863</v>
      </c>
      <c r="V277" s="90">
        <v>5000069168</v>
      </c>
      <c r="W277" s="109">
        <v>45311</v>
      </c>
      <c r="X277" s="106">
        <v>150</v>
      </c>
      <c r="Y277" s="106">
        <v>1500</v>
      </c>
      <c r="Z277" s="106" t="s">
        <v>1609</v>
      </c>
      <c r="AA277" s="106">
        <f t="shared" si="18"/>
        <v>0</v>
      </c>
      <c r="AB277" s="106">
        <f t="shared" si="19"/>
        <v>0</v>
      </c>
      <c r="AC277" s="94"/>
      <c r="AD277" s="94"/>
      <c r="AE277" s="110"/>
      <c r="AF277" s="110"/>
      <c r="AG277" s="110"/>
      <c r="AH277" s="99"/>
    </row>
    <row r="278" spans="1:34" ht="26.25" customHeight="1">
      <c r="A278" s="90"/>
      <c r="B278" s="88"/>
      <c r="C278" s="94"/>
      <c r="D278" s="95"/>
      <c r="E278" s="94">
        <v>10</v>
      </c>
      <c r="F278" s="74">
        <v>150</v>
      </c>
      <c r="G278" s="45">
        <f t="shared" si="17"/>
        <v>1500</v>
      </c>
      <c r="H278" s="119" t="s">
        <v>37</v>
      </c>
      <c r="I278" s="128">
        <v>45308</v>
      </c>
      <c r="J278" s="74">
        <v>150</v>
      </c>
      <c r="K278" s="74">
        <f>7+2</f>
        <v>9</v>
      </c>
      <c r="L278" s="156">
        <v>45308</v>
      </c>
      <c r="M278" s="90">
        <v>1500</v>
      </c>
      <c r="N278" s="90">
        <v>15</v>
      </c>
      <c r="O278" s="90" t="s">
        <v>739</v>
      </c>
      <c r="P278" s="94" t="s">
        <v>28</v>
      </c>
      <c r="Q278" s="94">
        <v>8500064864</v>
      </c>
      <c r="R278" s="94">
        <v>5000069008</v>
      </c>
      <c r="S278" s="94"/>
      <c r="T278" s="90" t="s">
        <v>1558</v>
      </c>
      <c r="U278" s="90">
        <v>8500064863</v>
      </c>
      <c r="V278" s="90">
        <v>5000069168</v>
      </c>
      <c r="W278" s="109">
        <v>45308</v>
      </c>
      <c r="X278" s="106">
        <v>150</v>
      </c>
      <c r="Y278" s="106">
        <v>1500</v>
      </c>
      <c r="Z278" s="106" t="s">
        <v>1607</v>
      </c>
      <c r="AA278" s="106">
        <f t="shared" si="18"/>
        <v>0</v>
      </c>
      <c r="AB278" s="106">
        <f t="shared" si="19"/>
        <v>0</v>
      </c>
      <c r="AC278" s="94"/>
      <c r="AD278" s="94"/>
      <c r="AE278" s="110"/>
      <c r="AF278" s="110"/>
      <c r="AG278" s="110"/>
      <c r="AH278" s="99"/>
    </row>
    <row r="279" spans="1:34" ht="26.25" customHeight="1">
      <c r="A279" s="90" t="s">
        <v>2226</v>
      </c>
      <c r="B279" s="88">
        <v>6000026888</v>
      </c>
      <c r="C279" s="2" t="s">
        <v>363</v>
      </c>
      <c r="D279" s="2">
        <v>6000026888</v>
      </c>
      <c r="E279" s="94">
        <v>10</v>
      </c>
      <c r="F279" s="74">
        <v>100</v>
      </c>
      <c r="G279" s="45">
        <f t="shared" si="17"/>
        <v>1000</v>
      </c>
      <c r="H279" s="119" t="s">
        <v>46</v>
      </c>
      <c r="I279" s="128">
        <v>45308</v>
      </c>
      <c r="J279" s="74">
        <v>100</v>
      </c>
      <c r="K279" s="74">
        <v>2</v>
      </c>
      <c r="L279" s="156">
        <v>45308</v>
      </c>
      <c r="M279" s="90">
        <v>1000</v>
      </c>
      <c r="N279" s="90">
        <v>10</v>
      </c>
      <c r="O279" s="90" t="s">
        <v>1344</v>
      </c>
      <c r="P279" s="94" t="s">
        <v>28</v>
      </c>
      <c r="Q279" s="94">
        <v>8500064852</v>
      </c>
      <c r="R279" s="94">
        <v>5000069005</v>
      </c>
      <c r="S279" s="94"/>
      <c r="T279" s="90" t="s">
        <v>1558</v>
      </c>
      <c r="U279" s="90">
        <v>8500064851</v>
      </c>
      <c r="V279" s="90">
        <v>5000069169</v>
      </c>
      <c r="W279" s="109">
        <v>45318</v>
      </c>
      <c r="X279" s="106">
        <v>100</v>
      </c>
      <c r="Y279" s="106">
        <v>1000</v>
      </c>
      <c r="Z279" s="106" t="s">
        <v>1609</v>
      </c>
      <c r="AA279" s="106">
        <f t="shared" si="18"/>
        <v>0</v>
      </c>
      <c r="AB279" s="106">
        <f t="shared" si="19"/>
        <v>0</v>
      </c>
      <c r="AC279" s="94"/>
      <c r="AD279" s="94"/>
      <c r="AE279" s="110"/>
      <c r="AF279" s="110"/>
      <c r="AG279" s="110"/>
      <c r="AH279" s="99"/>
    </row>
    <row r="280" spans="1:34" ht="26.25" customHeight="1">
      <c r="A280" s="90"/>
      <c r="B280" s="88"/>
      <c r="C280" s="94"/>
      <c r="D280" s="95"/>
      <c r="E280" s="94">
        <v>10</v>
      </c>
      <c r="F280" s="74">
        <v>250</v>
      </c>
      <c r="G280" s="45">
        <f t="shared" si="17"/>
        <v>2500</v>
      </c>
      <c r="H280" s="119" t="s">
        <v>37</v>
      </c>
      <c r="I280" s="128">
        <v>45308</v>
      </c>
      <c r="J280" s="74">
        <v>250</v>
      </c>
      <c r="K280" s="74">
        <v>5</v>
      </c>
      <c r="L280" s="156">
        <v>45308</v>
      </c>
      <c r="M280" s="90">
        <v>2500</v>
      </c>
      <c r="N280" s="90">
        <v>25</v>
      </c>
      <c r="O280" s="90" t="s">
        <v>1846</v>
      </c>
      <c r="P280" s="94" t="s">
        <v>28</v>
      </c>
      <c r="Q280" s="94">
        <v>8500064852</v>
      </c>
      <c r="R280" s="94">
        <v>5000069005</v>
      </c>
      <c r="S280" s="94"/>
      <c r="T280" s="90" t="s">
        <v>1558</v>
      </c>
      <c r="U280" s="90">
        <v>8500064851</v>
      </c>
      <c r="V280" s="90">
        <v>5000069169</v>
      </c>
      <c r="W280" s="109">
        <v>45318</v>
      </c>
      <c r="X280" s="106">
        <v>250</v>
      </c>
      <c r="Y280" s="106">
        <v>2500</v>
      </c>
      <c r="Z280" s="106" t="s">
        <v>2668</v>
      </c>
      <c r="AA280" s="106">
        <f t="shared" si="18"/>
        <v>0</v>
      </c>
      <c r="AB280" s="106">
        <f t="shared" si="19"/>
        <v>0</v>
      </c>
      <c r="AC280" s="94"/>
      <c r="AD280" s="94"/>
      <c r="AE280" s="110"/>
      <c r="AF280" s="110"/>
      <c r="AG280" s="110"/>
      <c r="AH280" s="99"/>
    </row>
    <row r="281" spans="1:34" ht="26.25" customHeight="1">
      <c r="A281" s="90"/>
      <c r="B281" s="88"/>
      <c r="C281" s="94"/>
      <c r="D281" s="95"/>
      <c r="E281" s="94">
        <v>10</v>
      </c>
      <c r="F281" s="74">
        <v>250</v>
      </c>
      <c r="G281" s="45">
        <f t="shared" si="17"/>
        <v>2500</v>
      </c>
      <c r="H281" s="119" t="s">
        <v>146</v>
      </c>
      <c r="I281" s="128">
        <v>45308</v>
      </c>
      <c r="J281" s="74">
        <v>250</v>
      </c>
      <c r="K281" s="74">
        <v>4</v>
      </c>
      <c r="L281" s="156">
        <v>45308</v>
      </c>
      <c r="M281" s="90">
        <v>2500</v>
      </c>
      <c r="N281" s="90">
        <v>25</v>
      </c>
      <c r="O281" s="90" t="s">
        <v>1846</v>
      </c>
      <c r="P281" s="94" t="s">
        <v>28</v>
      </c>
      <c r="Q281" s="94">
        <v>8500064852</v>
      </c>
      <c r="R281" s="94">
        <v>5000069005</v>
      </c>
      <c r="S281" s="94"/>
      <c r="T281" s="90" t="s">
        <v>1558</v>
      </c>
      <c r="U281" s="90">
        <v>8500064851</v>
      </c>
      <c r="V281" s="90">
        <v>5000069169</v>
      </c>
      <c r="W281" s="109">
        <v>45309</v>
      </c>
      <c r="X281" s="106">
        <v>250</v>
      </c>
      <c r="Y281" s="106">
        <v>2500</v>
      </c>
      <c r="Z281" s="106" t="s">
        <v>800</v>
      </c>
      <c r="AA281" s="106">
        <f t="shared" si="18"/>
        <v>0</v>
      </c>
      <c r="AB281" s="106">
        <f t="shared" si="19"/>
        <v>0</v>
      </c>
      <c r="AC281" s="94"/>
      <c r="AD281" s="94"/>
      <c r="AE281" s="110"/>
      <c r="AF281" s="110"/>
      <c r="AG281" s="110"/>
      <c r="AH281" s="99"/>
    </row>
    <row r="282" spans="1:34" ht="26.25" customHeight="1">
      <c r="A282" s="90" t="s">
        <v>2226</v>
      </c>
      <c r="B282" s="88">
        <v>6000026888</v>
      </c>
      <c r="C282" s="2" t="s">
        <v>366</v>
      </c>
      <c r="D282" s="2">
        <v>6000026888</v>
      </c>
      <c r="E282" s="94">
        <v>10</v>
      </c>
      <c r="F282" s="74">
        <v>100</v>
      </c>
      <c r="G282" s="45">
        <f t="shared" si="17"/>
        <v>1000</v>
      </c>
      <c r="H282" s="119" t="s">
        <v>46</v>
      </c>
      <c r="I282" s="128">
        <v>45308</v>
      </c>
      <c r="J282" s="74">
        <v>100</v>
      </c>
      <c r="K282" s="74">
        <v>1</v>
      </c>
      <c r="L282" s="156">
        <v>45315</v>
      </c>
      <c r="M282" s="90">
        <v>1000</v>
      </c>
      <c r="N282" s="90">
        <v>10</v>
      </c>
      <c r="O282" s="90" t="s">
        <v>2636</v>
      </c>
      <c r="P282" s="94" t="s">
        <v>28</v>
      </c>
      <c r="Q282" s="94">
        <v>8500064854</v>
      </c>
      <c r="R282" s="94">
        <v>5000069003</v>
      </c>
      <c r="S282" s="94"/>
      <c r="T282" s="90" t="s">
        <v>1558</v>
      </c>
      <c r="U282" s="90">
        <v>8500064853</v>
      </c>
      <c r="V282" s="90">
        <v>5000104297</v>
      </c>
      <c r="W282" s="109">
        <v>45318</v>
      </c>
      <c r="X282" s="106">
        <v>100</v>
      </c>
      <c r="Y282" s="106">
        <v>1000</v>
      </c>
      <c r="Z282" s="106" t="s">
        <v>1609</v>
      </c>
      <c r="AA282" s="106">
        <f t="shared" si="18"/>
        <v>0</v>
      </c>
      <c r="AB282" s="106">
        <f t="shared" si="19"/>
        <v>0</v>
      </c>
      <c r="AC282" s="94"/>
      <c r="AD282" s="94"/>
      <c r="AE282" s="110"/>
      <c r="AF282" s="110"/>
      <c r="AG282" s="110"/>
      <c r="AH282" s="99"/>
    </row>
    <row r="283" spans="1:34" ht="26.25" customHeight="1">
      <c r="A283" s="90"/>
      <c r="B283" s="88"/>
      <c r="C283" s="94"/>
      <c r="D283" s="95"/>
      <c r="E283" s="94">
        <v>10</v>
      </c>
      <c r="F283" s="74">
        <v>100</v>
      </c>
      <c r="G283" s="45">
        <f t="shared" si="17"/>
        <v>1000</v>
      </c>
      <c r="H283" s="119" t="s">
        <v>37</v>
      </c>
      <c r="I283" s="128">
        <v>45308</v>
      </c>
      <c r="J283" s="74">
        <v>100</v>
      </c>
      <c r="K283" s="74">
        <v>1</v>
      </c>
      <c r="L283" s="156">
        <v>45308</v>
      </c>
      <c r="M283" s="90">
        <v>1000</v>
      </c>
      <c r="N283" s="90">
        <v>10</v>
      </c>
      <c r="O283" s="90" t="s">
        <v>1344</v>
      </c>
      <c r="P283" s="94" t="s">
        <v>28</v>
      </c>
      <c r="Q283" s="94">
        <v>8500064854</v>
      </c>
      <c r="R283" s="94">
        <v>5000069003</v>
      </c>
      <c r="S283" s="94"/>
      <c r="T283" s="90" t="s">
        <v>1558</v>
      </c>
      <c r="U283" s="90">
        <v>8500064853</v>
      </c>
      <c r="V283" s="90">
        <v>5000074308</v>
      </c>
      <c r="W283" s="109">
        <v>45318</v>
      </c>
      <c r="X283" s="106">
        <v>100</v>
      </c>
      <c r="Y283" s="106">
        <v>1000</v>
      </c>
      <c r="Z283" s="106" t="s">
        <v>870</v>
      </c>
      <c r="AA283" s="106">
        <f t="shared" si="18"/>
        <v>0</v>
      </c>
      <c r="AB283" s="106">
        <f t="shared" si="19"/>
        <v>0</v>
      </c>
      <c r="AC283" s="94"/>
      <c r="AD283" s="94"/>
      <c r="AE283" s="110"/>
      <c r="AF283" s="110"/>
      <c r="AG283" s="110"/>
      <c r="AH283" s="99"/>
    </row>
    <row r="284" spans="1:34" ht="26.25" customHeight="1">
      <c r="A284" s="90" t="s">
        <v>2743</v>
      </c>
      <c r="B284" s="88">
        <v>6000027954</v>
      </c>
      <c r="C284" s="94" t="s">
        <v>2744</v>
      </c>
      <c r="D284" s="2">
        <v>20240237045</v>
      </c>
      <c r="E284" s="94">
        <v>10</v>
      </c>
      <c r="F284" s="74">
        <v>695</v>
      </c>
      <c r="G284" s="45">
        <f t="shared" si="17"/>
        <v>6950</v>
      </c>
      <c r="H284" s="119" t="s">
        <v>27</v>
      </c>
      <c r="I284" s="128">
        <v>45322</v>
      </c>
      <c r="J284" s="158">
        <v>695</v>
      </c>
      <c r="K284" s="74">
        <v>13</v>
      </c>
      <c r="L284" s="156">
        <v>45328</v>
      </c>
      <c r="M284" s="90">
        <v>6950</v>
      </c>
      <c r="N284" s="90">
        <v>35</v>
      </c>
      <c r="O284" s="90" t="s">
        <v>793</v>
      </c>
      <c r="P284" s="94" t="s">
        <v>139</v>
      </c>
      <c r="Q284" s="94">
        <v>8500067286</v>
      </c>
      <c r="R284" s="94">
        <v>5000135308</v>
      </c>
      <c r="S284" s="94"/>
      <c r="T284" s="90" t="s">
        <v>152</v>
      </c>
      <c r="U284" s="90">
        <v>8500067284</v>
      </c>
      <c r="V284" s="90">
        <v>5000157297</v>
      </c>
      <c r="W284" s="109">
        <v>45338</v>
      </c>
      <c r="X284" s="106">
        <v>695</v>
      </c>
      <c r="Y284" s="106">
        <v>6950</v>
      </c>
      <c r="Z284" s="106" t="s">
        <v>1980</v>
      </c>
      <c r="AA284" s="106">
        <f t="shared" si="18"/>
        <v>0</v>
      </c>
      <c r="AB284" s="106">
        <f>M284-Y284</f>
        <v>0</v>
      </c>
      <c r="AC284" s="94"/>
      <c r="AD284" s="94"/>
      <c r="AE284" s="110"/>
      <c r="AF284" s="110"/>
      <c r="AG284" s="110"/>
      <c r="AH284" s="99"/>
    </row>
    <row r="285" spans="1:34" ht="26.25" customHeight="1">
      <c r="A285" s="90"/>
      <c r="B285" s="88"/>
      <c r="C285" s="94"/>
      <c r="D285" s="95"/>
      <c r="E285" s="94">
        <v>10</v>
      </c>
      <c r="F285" s="74">
        <v>835</v>
      </c>
      <c r="G285" s="45">
        <f t="shared" si="17"/>
        <v>8350</v>
      </c>
      <c r="H285" s="119" t="s">
        <v>46</v>
      </c>
      <c r="I285" s="128">
        <v>45322</v>
      </c>
      <c r="J285" s="158">
        <v>835</v>
      </c>
      <c r="K285" s="74">
        <v>14</v>
      </c>
      <c r="L285" s="156">
        <v>45328</v>
      </c>
      <c r="M285" s="90">
        <v>8350</v>
      </c>
      <c r="N285" s="90">
        <v>42</v>
      </c>
      <c r="O285" s="90" t="s">
        <v>1370</v>
      </c>
      <c r="P285" s="94" t="s">
        <v>139</v>
      </c>
      <c r="Q285" s="94">
        <v>8500067286</v>
      </c>
      <c r="R285" s="94">
        <v>5000135308</v>
      </c>
      <c r="S285" s="94"/>
      <c r="T285" s="90" t="s">
        <v>152</v>
      </c>
      <c r="U285" s="90">
        <v>8500067284</v>
      </c>
      <c r="V285" s="90">
        <v>5000157297</v>
      </c>
      <c r="W285" s="109">
        <v>45344</v>
      </c>
      <c r="X285" s="106">
        <v>835</v>
      </c>
      <c r="Y285" s="106">
        <v>8350</v>
      </c>
      <c r="Z285" s="106" t="s">
        <v>1980</v>
      </c>
      <c r="AA285" s="106">
        <f t="shared" si="18"/>
        <v>0</v>
      </c>
      <c r="AB285" s="106">
        <f>M285-Y285</f>
        <v>0</v>
      </c>
      <c r="AC285" s="94"/>
      <c r="AD285" s="94"/>
      <c r="AE285" s="110"/>
      <c r="AF285" s="110"/>
      <c r="AG285" s="110"/>
      <c r="AH285" s="99"/>
    </row>
    <row r="286" spans="1:34" ht="26.25" customHeight="1">
      <c r="A286" s="90"/>
      <c r="B286" s="88"/>
      <c r="C286" s="94"/>
      <c r="D286" s="95"/>
      <c r="E286" s="94">
        <v>10</v>
      </c>
      <c r="F286" s="74">
        <v>765</v>
      </c>
      <c r="G286" s="45">
        <f t="shared" si="17"/>
        <v>7650</v>
      </c>
      <c r="H286" s="119" t="s">
        <v>37</v>
      </c>
      <c r="I286" s="128">
        <v>45322</v>
      </c>
      <c r="J286" s="158">
        <v>765</v>
      </c>
      <c r="K286" s="74">
        <v>15</v>
      </c>
      <c r="L286" s="156">
        <v>45328</v>
      </c>
      <c r="M286" s="90">
        <v>7650</v>
      </c>
      <c r="N286" s="90">
        <v>38</v>
      </c>
      <c r="O286" s="90" t="s">
        <v>734</v>
      </c>
      <c r="P286" s="94" t="s">
        <v>139</v>
      </c>
      <c r="Q286" s="94">
        <v>8500067286</v>
      </c>
      <c r="R286" s="94">
        <v>5000135308</v>
      </c>
      <c r="S286" s="94"/>
      <c r="T286" s="90" t="s">
        <v>152</v>
      </c>
      <c r="U286" s="90">
        <v>8500067284</v>
      </c>
      <c r="V286" s="90">
        <v>5000157297</v>
      </c>
      <c r="W286" s="109">
        <v>45338</v>
      </c>
      <c r="X286" s="106">
        <v>765</v>
      </c>
      <c r="Y286" s="106">
        <v>7650</v>
      </c>
      <c r="Z286" s="106" t="s">
        <v>1980</v>
      </c>
      <c r="AA286" s="106">
        <f t="shared" si="18"/>
        <v>0</v>
      </c>
      <c r="AB286" s="106">
        <f t="shared" si="19"/>
        <v>0</v>
      </c>
      <c r="AC286" s="94"/>
      <c r="AD286" s="94"/>
      <c r="AE286" s="110"/>
      <c r="AF286" s="110"/>
      <c r="AG286" s="110"/>
      <c r="AH286" s="99"/>
    </row>
    <row r="287" spans="1:34" ht="26.25" customHeight="1">
      <c r="A287" s="90"/>
      <c r="B287" s="88"/>
      <c r="C287" s="94"/>
      <c r="D287" s="95"/>
      <c r="E287" s="94">
        <v>10</v>
      </c>
      <c r="F287" s="74">
        <v>695</v>
      </c>
      <c r="G287" s="45">
        <f t="shared" si="17"/>
        <v>6950</v>
      </c>
      <c r="H287" s="119" t="s">
        <v>146</v>
      </c>
      <c r="I287" s="128">
        <v>45322</v>
      </c>
      <c r="J287" s="158">
        <v>695</v>
      </c>
      <c r="K287" s="74">
        <v>13</v>
      </c>
      <c r="L287" s="156">
        <v>45328</v>
      </c>
      <c r="M287" s="90">
        <v>6950</v>
      </c>
      <c r="N287" s="90">
        <v>35</v>
      </c>
      <c r="O287" s="90" t="s">
        <v>921</v>
      </c>
      <c r="P287" s="94" t="s">
        <v>139</v>
      </c>
      <c r="Q287" s="94">
        <v>8500067286</v>
      </c>
      <c r="R287" s="94">
        <v>5000135308</v>
      </c>
      <c r="S287" s="94"/>
      <c r="T287" s="90" t="s">
        <v>152</v>
      </c>
      <c r="U287" s="90">
        <v>8500067284</v>
      </c>
      <c r="V287" s="90">
        <v>5000157297</v>
      </c>
      <c r="W287" s="109">
        <v>45352</v>
      </c>
      <c r="X287" s="106">
        <v>695</v>
      </c>
      <c r="Y287" s="106">
        <v>6950</v>
      </c>
      <c r="Z287" s="106" t="s">
        <v>1609</v>
      </c>
      <c r="AA287" s="106">
        <f t="shared" si="18"/>
        <v>0</v>
      </c>
      <c r="AB287" s="106">
        <f t="shared" si="19"/>
        <v>0</v>
      </c>
      <c r="AC287" s="94"/>
      <c r="AD287" s="94"/>
      <c r="AE287" s="110"/>
      <c r="AF287" s="110"/>
      <c r="AG287" s="110"/>
      <c r="AH287" s="99"/>
    </row>
    <row r="288" spans="1:34" ht="26.25" customHeight="1">
      <c r="A288" s="319" t="s">
        <v>2743</v>
      </c>
      <c r="B288" s="320">
        <v>6000027954</v>
      </c>
      <c r="C288" s="321" t="s">
        <v>2825</v>
      </c>
      <c r="D288" s="95" t="s">
        <v>2826</v>
      </c>
      <c r="E288" s="94"/>
      <c r="F288" s="74"/>
      <c r="G288" s="45"/>
      <c r="H288" s="119"/>
      <c r="I288" s="133"/>
      <c r="J288" s="158"/>
      <c r="K288" s="74"/>
      <c r="L288" s="162"/>
      <c r="M288" s="90"/>
      <c r="N288" s="90"/>
      <c r="O288" s="90"/>
      <c r="P288" s="94"/>
      <c r="Q288" s="94"/>
      <c r="R288" s="94"/>
      <c r="S288" s="94"/>
      <c r="T288" s="90"/>
      <c r="U288" s="90"/>
      <c r="V288" s="90"/>
      <c r="W288" s="105"/>
      <c r="X288" s="106"/>
      <c r="Y288" s="106"/>
      <c r="Z288" s="106"/>
      <c r="AA288" s="106">
        <f t="shared" si="18"/>
        <v>0</v>
      </c>
      <c r="AB288" s="106">
        <f t="shared" si="19"/>
        <v>0</v>
      </c>
      <c r="AC288" s="94"/>
      <c r="AD288" s="94"/>
      <c r="AE288" s="110"/>
      <c r="AF288" s="110"/>
      <c r="AG288" s="110"/>
      <c r="AH288" s="99"/>
    </row>
    <row r="289" spans="1:34" ht="26.25" customHeight="1">
      <c r="A289" s="90"/>
      <c r="B289" s="88"/>
      <c r="C289" s="94"/>
      <c r="D289" s="95"/>
      <c r="E289" s="94"/>
      <c r="F289" s="74"/>
      <c r="G289" s="45"/>
      <c r="H289" s="119"/>
      <c r="I289" s="133"/>
      <c r="J289" s="158"/>
      <c r="K289" s="74"/>
      <c r="L289" s="162"/>
      <c r="M289" s="90"/>
      <c r="N289" s="90"/>
      <c r="O289" s="90"/>
      <c r="P289" s="94"/>
      <c r="Q289" s="94"/>
      <c r="R289" s="94"/>
      <c r="S289" s="94"/>
      <c r="T289" s="90"/>
      <c r="U289" s="90"/>
      <c r="V289" s="90"/>
      <c r="W289" s="109"/>
      <c r="X289" s="106"/>
      <c r="Y289" s="106"/>
      <c r="Z289" s="106"/>
      <c r="AA289" s="106">
        <f t="shared" si="18"/>
        <v>0</v>
      </c>
      <c r="AB289" s="106">
        <f t="shared" si="19"/>
        <v>0</v>
      </c>
      <c r="AC289" s="94"/>
      <c r="AD289" s="94"/>
      <c r="AE289" s="110"/>
      <c r="AF289" s="110"/>
      <c r="AG289" s="110"/>
      <c r="AH289" s="99"/>
    </row>
    <row r="290" spans="1:34" ht="26.25" customHeight="1">
      <c r="A290" s="90"/>
      <c r="B290" s="88"/>
      <c r="C290" s="94"/>
      <c r="D290" s="95"/>
      <c r="E290" s="94"/>
      <c r="F290" s="74"/>
      <c r="G290" s="45"/>
      <c r="H290" s="119"/>
      <c r="I290" s="133"/>
      <c r="J290" s="158"/>
      <c r="K290" s="74"/>
      <c r="L290" s="162"/>
      <c r="M290" s="90"/>
      <c r="N290" s="90"/>
      <c r="O290" s="90"/>
      <c r="P290" s="94"/>
      <c r="Q290" s="94"/>
      <c r="R290" s="94"/>
      <c r="S290" s="94"/>
      <c r="T290" s="90"/>
      <c r="U290" s="90"/>
      <c r="V290" s="90"/>
      <c r="W290" s="109"/>
      <c r="X290" s="106"/>
      <c r="Y290" s="106"/>
      <c r="Z290" s="106"/>
      <c r="AA290" s="106">
        <f t="shared" si="18"/>
        <v>0</v>
      </c>
      <c r="AB290" s="106">
        <f t="shared" si="19"/>
        <v>0</v>
      </c>
      <c r="AC290" s="94"/>
      <c r="AD290" s="94"/>
      <c r="AE290" s="110"/>
      <c r="AF290" s="110"/>
      <c r="AG290" s="110"/>
      <c r="AH290" s="99"/>
    </row>
    <row r="291" spans="1:34" ht="26.25" customHeight="1">
      <c r="A291" s="90"/>
      <c r="B291" s="88"/>
      <c r="C291" s="94"/>
      <c r="D291" s="95"/>
      <c r="E291" s="94"/>
      <c r="F291" s="74"/>
      <c r="G291" s="45"/>
      <c r="H291" s="119"/>
      <c r="I291" s="133"/>
      <c r="J291" s="158"/>
      <c r="K291" s="74"/>
      <c r="L291" s="162"/>
      <c r="M291" s="90"/>
      <c r="N291" s="90"/>
      <c r="O291" s="90"/>
      <c r="P291" s="94"/>
      <c r="Q291" s="94"/>
      <c r="R291" s="94"/>
      <c r="S291" s="94"/>
      <c r="T291" s="90"/>
      <c r="U291" s="90"/>
      <c r="V291" s="90"/>
      <c r="W291" s="109"/>
      <c r="X291" s="106"/>
      <c r="Y291" s="106"/>
      <c r="Z291" s="106"/>
      <c r="AA291" s="106">
        <f t="shared" si="18"/>
        <v>0</v>
      </c>
      <c r="AB291" s="106">
        <f t="shared" si="19"/>
        <v>0</v>
      </c>
      <c r="AC291" s="94"/>
      <c r="AD291" s="94"/>
      <c r="AE291" s="110"/>
      <c r="AF291" s="110"/>
      <c r="AG291" s="110"/>
      <c r="AH291" s="99"/>
    </row>
    <row r="292" spans="1:34" ht="26.25" customHeight="1">
      <c r="A292" s="90"/>
      <c r="B292" s="88"/>
      <c r="C292" s="94"/>
      <c r="D292" s="95"/>
      <c r="E292" s="94"/>
      <c r="F292" s="74"/>
      <c r="G292" s="45"/>
      <c r="H292" s="119"/>
      <c r="I292" s="133"/>
      <c r="J292" s="158"/>
      <c r="K292" s="74"/>
      <c r="L292" s="162"/>
      <c r="M292" s="90"/>
      <c r="N292" s="90"/>
      <c r="O292" s="90"/>
      <c r="P292" s="94"/>
      <c r="Q292" s="94"/>
      <c r="R292" s="94"/>
      <c r="S292" s="94"/>
      <c r="T292" s="90"/>
      <c r="U292" s="90"/>
      <c r="V292" s="90"/>
      <c r="W292" s="105"/>
      <c r="X292" s="106"/>
      <c r="Y292" s="106"/>
      <c r="Z292" s="106"/>
      <c r="AA292" s="106">
        <f t="shared" si="18"/>
        <v>0</v>
      </c>
      <c r="AB292" s="106">
        <f t="shared" si="19"/>
        <v>0</v>
      </c>
      <c r="AC292" s="94"/>
      <c r="AD292" s="94"/>
      <c r="AE292" s="110"/>
      <c r="AF292" s="110"/>
      <c r="AG292" s="110"/>
      <c r="AH292" s="99"/>
    </row>
    <row r="293" spans="1:34" ht="26.25" customHeight="1">
      <c r="A293" s="90"/>
      <c r="B293" s="88"/>
      <c r="C293" s="94"/>
      <c r="D293" s="95"/>
      <c r="E293" s="94"/>
      <c r="F293" s="74"/>
      <c r="G293" s="45"/>
      <c r="H293" s="119"/>
      <c r="I293" s="133"/>
      <c r="J293" s="158"/>
      <c r="K293" s="74"/>
      <c r="L293" s="162"/>
      <c r="M293" s="90"/>
      <c r="N293" s="90"/>
      <c r="O293" s="90"/>
      <c r="P293" s="94"/>
      <c r="Q293" s="94"/>
      <c r="R293" s="94"/>
      <c r="S293" s="94"/>
      <c r="T293" s="90"/>
      <c r="U293" s="90"/>
      <c r="V293" s="90"/>
      <c r="W293" s="105"/>
      <c r="X293" s="106"/>
      <c r="Y293" s="106"/>
      <c r="Z293" s="106"/>
      <c r="AA293" s="106">
        <f t="shared" si="18"/>
        <v>0</v>
      </c>
      <c r="AB293" s="106">
        <f t="shared" si="19"/>
        <v>0</v>
      </c>
      <c r="AC293" s="94"/>
      <c r="AD293" s="94"/>
      <c r="AE293" s="110"/>
      <c r="AF293" s="110"/>
      <c r="AG293" s="110"/>
      <c r="AH293" s="99"/>
    </row>
    <row r="294" spans="1:34" ht="26.25" customHeight="1">
      <c r="A294" s="90"/>
      <c r="B294" s="88"/>
      <c r="C294" s="94"/>
      <c r="D294" s="95"/>
      <c r="E294" s="94"/>
      <c r="F294" s="74"/>
      <c r="G294" s="45"/>
      <c r="H294" s="119"/>
      <c r="I294" s="133"/>
      <c r="J294" s="158"/>
      <c r="K294" s="74"/>
      <c r="L294" s="162"/>
      <c r="M294" s="90"/>
      <c r="N294" s="90"/>
      <c r="O294" s="90"/>
      <c r="P294" s="94"/>
      <c r="Q294" s="94"/>
      <c r="R294" s="94"/>
      <c r="S294" s="94"/>
      <c r="T294" s="90"/>
      <c r="U294" s="90"/>
      <c r="V294" s="90"/>
      <c r="W294" s="105"/>
      <c r="X294" s="106"/>
      <c r="Y294" s="106"/>
      <c r="Z294" s="106"/>
      <c r="AA294" s="106">
        <f t="shared" si="18"/>
        <v>0</v>
      </c>
      <c r="AB294" s="106">
        <f t="shared" si="19"/>
        <v>0</v>
      </c>
      <c r="AC294" s="94"/>
      <c r="AD294" s="94"/>
      <c r="AE294" s="110"/>
      <c r="AF294" s="110"/>
      <c r="AG294" s="110"/>
      <c r="AH294" s="99"/>
    </row>
    <row r="295" spans="1:34" ht="26.25" customHeight="1">
      <c r="A295" s="90"/>
      <c r="B295" s="88"/>
      <c r="C295" s="94"/>
      <c r="D295" s="95"/>
      <c r="E295" s="94"/>
      <c r="F295" s="74"/>
      <c r="G295" s="45"/>
      <c r="H295" s="119"/>
      <c r="I295" s="133"/>
      <c r="J295" s="158"/>
      <c r="K295" s="74"/>
      <c r="L295" s="162"/>
      <c r="M295" s="90"/>
      <c r="N295" s="90"/>
      <c r="O295" s="90"/>
      <c r="P295" s="94"/>
      <c r="Q295" s="94"/>
      <c r="R295" s="94"/>
      <c r="S295" s="94"/>
      <c r="T295" s="90"/>
      <c r="U295" s="90"/>
      <c r="V295" s="90"/>
      <c r="W295" s="105"/>
      <c r="X295" s="106"/>
      <c r="Y295" s="106"/>
      <c r="Z295" s="106"/>
      <c r="AA295" s="106">
        <f t="shared" si="18"/>
        <v>0</v>
      </c>
      <c r="AB295" s="106">
        <f t="shared" si="19"/>
        <v>0</v>
      </c>
      <c r="AC295" s="94"/>
      <c r="AD295" s="94"/>
      <c r="AE295" s="110"/>
      <c r="AF295" s="110"/>
      <c r="AG295" s="110"/>
      <c r="AH295" s="99"/>
    </row>
    <row r="296" spans="1:34" ht="26.25" customHeight="1">
      <c r="A296" s="90"/>
      <c r="B296" s="88"/>
      <c r="C296" s="94"/>
      <c r="D296" s="95"/>
      <c r="E296" s="94"/>
      <c r="F296" s="74"/>
      <c r="G296" s="45"/>
      <c r="H296" s="119"/>
      <c r="I296" s="133"/>
      <c r="J296" s="158"/>
      <c r="K296" s="74"/>
      <c r="L296" s="162"/>
      <c r="M296" s="90"/>
      <c r="N296" s="90"/>
      <c r="O296" s="90"/>
      <c r="P296" s="94"/>
      <c r="Q296" s="94"/>
      <c r="R296" s="94"/>
      <c r="S296" s="94"/>
      <c r="T296" s="90"/>
      <c r="U296" s="90"/>
      <c r="V296" s="90"/>
      <c r="W296" s="105"/>
      <c r="X296" s="106"/>
      <c r="Y296" s="106"/>
      <c r="Z296" s="106"/>
      <c r="AA296" s="106">
        <f t="shared" si="18"/>
        <v>0</v>
      </c>
      <c r="AB296" s="106">
        <f t="shared" si="19"/>
        <v>0</v>
      </c>
      <c r="AC296" s="94"/>
      <c r="AD296" s="94"/>
      <c r="AE296" s="110"/>
      <c r="AF296" s="110"/>
      <c r="AG296" s="110"/>
      <c r="AH296" s="99"/>
    </row>
    <row r="297" spans="1:34" ht="26.25" customHeight="1">
      <c r="A297" s="90"/>
      <c r="B297" s="88"/>
      <c r="C297" s="94"/>
      <c r="D297" s="95"/>
      <c r="E297" s="94"/>
      <c r="F297" s="74"/>
      <c r="G297" s="45"/>
      <c r="H297" s="119"/>
      <c r="I297" s="133"/>
      <c r="J297" s="158"/>
      <c r="K297" s="74"/>
      <c r="L297" s="162"/>
      <c r="M297" s="90"/>
      <c r="N297" s="90"/>
      <c r="O297" s="90"/>
      <c r="P297" s="94"/>
      <c r="Q297" s="94"/>
      <c r="R297" s="94"/>
      <c r="S297" s="94"/>
      <c r="T297" s="90"/>
      <c r="U297" s="90"/>
      <c r="V297" s="90"/>
      <c r="W297" s="105"/>
      <c r="X297" s="106"/>
      <c r="Y297" s="106"/>
      <c r="Z297" s="106"/>
      <c r="AA297" s="106">
        <f t="shared" si="18"/>
        <v>0</v>
      </c>
      <c r="AB297" s="106">
        <f t="shared" si="19"/>
        <v>0</v>
      </c>
      <c r="AC297" s="94"/>
      <c r="AD297" s="94"/>
      <c r="AE297" s="110"/>
      <c r="AF297" s="110"/>
      <c r="AG297" s="110"/>
      <c r="AH297" s="99"/>
    </row>
    <row r="298" spans="1:34" ht="26.25" customHeight="1">
      <c r="A298" s="90"/>
      <c r="B298" s="88"/>
      <c r="C298" s="94"/>
      <c r="D298" s="95"/>
      <c r="E298" s="94"/>
      <c r="F298" s="74"/>
      <c r="G298" s="45"/>
      <c r="H298" s="119"/>
      <c r="I298" s="133"/>
      <c r="J298" s="158"/>
      <c r="K298" s="74"/>
      <c r="L298" s="162"/>
      <c r="M298" s="90"/>
      <c r="N298" s="90"/>
      <c r="O298" s="90"/>
      <c r="P298" s="94"/>
      <c r="Q298" s="94"/>
      <c r="R298" s="94"/>
      <c r="S298" s="94"/>
      <c r="T298" s="90"/>
      <c r="U298" s="90"/>
      <c r="V298" s="90"/>
      <c r="W298" s="105"/>
      <c r="X298" s="106"/>
      <c r="Y298" s="106"/>
      <c r="Z298" s="106"/>
      <c r="AA298" s="106">
        <f t="shared" si="18"/>
        <v>0</v>
      </c>
      <c r="AB298" s="106">
        <f t="shared" si="19"/>
        <v>0</v>
      </c>
      <c r="AC298" s="94"/>
      <c r="AD298" s="94"/>
      <c r="AE298" s="110"/>
      <c r="AF298" s="110"/>
      <c r="AG298" s="110"/>
      <c r="AH298" s="99"/>
    </row>
    <row r="299" spans="1:34" ht="26.25" customHeight="1">
      <c r="A299" s="90"/>
      <c r="B299" s="88"/>
      <c r="C299" s="94"/>
      <c r="D299" s="95"/>
      <c r="E299" s="94"/>
      <c r="F299" s="74"/>
      <c r="G299" s="45"/>
      <c r="H299" s="119"/>
      <c r="I299" s="133"/>
      <c r="J299" s="158"/>
      <c r="K299" s="74"/>
      <c r="L299" s="162"/>
      <c r="M299" s="90"/>
      <c r="N299" s="90"/>
      <c r="O299" s="90"/>
      <c r="P299" s="94"/>
      <c r="Q299" s="94"/>
      <c r="R299" s="94"/>
      <c r="S299" s="94"/>
      <c r="T299" s="90"/>
      <c r="U299" s="90"/>
      <c r="V299" s="90"/>
      <c r="W299" s="105"/>
      <c r="X299" s="106"/>
      <c r="Y299" s="106"/>
      <c r="Z299" s="106"/>
      <c r="AA299" s="106">
        <f t="shared" si="18"/>
        <v>0</v>
      </c>
      <c r="AB299" s="106">
        <f t="shared" si="19"/>
        <v>0</v>
      </c>
      <c r="AC299" s="94"/>
      <c r="AD299" s="94"/>
      <c r="AE299" s="110"/>
      <c r="AF299" s="110"/>
      <c r="AG299" s="110"/>
      <c r="AH299" s="99"/>
    </row>
    <row r="300" spans="1:34" ht="26.25" customHeight="1">
      <c r="A300" s="90"/>
      <c r="B300" s="88"/>
      <c r="C300" s="94"/>
      <c r="D300" s="95"/>
      <c r="E300" s="94"/>
      <c r="F300" s="74"/>
      <c r="G300" s="45"/>
      <c r="H300" s="119"/>
      <c r="I300" s="133"/>
      <c r="J300" s="158"/>
      <c r="K300" s="74"/>
      <c r="L300" s="162"/>
      <c r="M300" s="90"/>
      <c r="N300" s="90"/>
      <c r="O300" s="90"/>
      <c r="P300" s="94"/>
      <c r="Q300" s="94"/>
      <c r="R300" s="94"/>
      <c r="S300" s="94"/>
      <c r="T300" s="90"/>
      <c r="U300" s="90"/>
      <c r="V300" s="90"/>
      <c r="W300" s="105"/>
      <c r="X300" s="106"/>
      <c r="Y300" s="106"/>
      <c r="Z300" s="106"/>
      <c r="AA300" s="106">
        <f t="shared" si="18"/>
        <v>0</v>
      </c>
      <c r="AB300" s="106">
        <f t="shared" si="19"/>
        <v>0</v>
      </c>
      <c r="AC300" s="94"/>
      <c r="AD300" s="94"/>
      <c r="AE300" s="110"/>
      <c r="AF300" s="110"/>
      <c r="AG300" s="110"/>
      <c r="AH300" s="99"/>
    </row>
    <row r="301" spans="1:34" ht="26.25" customHeight="1">
      <c r="A301" s="90"/>
      <c r="B301" s="88"/>
      <c r="C301" s="94"/>
      <c r="D301" s="95"/>
      <c r="E301" s="94"/>
      <c r="F301" s="74"/>
      <c r="G301" s="45"/>
      <c r="H301" s="119"/>
      <c r="I301" s="133"/>
      <c r="J301" s="158"/>
      <c r="K301" s="74"/>
      <c r="L301" s="162"/>
      <c r="M301" s="90"/>
      <c r="N301" s="90"/>
      <c r="O301" s="90"/>
      <c r="P301" s="94"/>
      <c r="Q301" s="94"/>
      <c r="R301" s="94"/>
      <c r="S301" s="94"/>
      <c r="T301" s="90"/>
      <c r="U301" s="90"/>
      <c r="V301" s="90"/>
      <c r="W301" s="105"/>
      <c r="X301" s="106"/>
      <c r="Y301" s="106"/>
      <c r="Z301" s="106"/>
      <c r="AA301" s="106">
        <f t="shared" si="18"/>
        <v>0</v>
      </c>
      <c r="AB301" s="106">
        <f t="shared" si="19"/>
        <v>0</v>
      </c>
      <c r="AC301" s="94"/>
      <c r="AD301" s="94"/>
      <c r="AE301" s="110"/>
      <c r="AF301" s="110"/>
      <c r="AG301" s="110"/>
      <c r="AH301" s="99"/>
    </row>
    <row r="302" spans="1:34" ht="26.25" customHeight="1">
      <c r="A302" s="90"/>
      <c r="B302" s="88"/>
      <c r="C302" s="94"/>
      <c r="D302" s="95"/>
      <c r="E302" s="94"/>
      <c r="F302" s="74"/>
      <c r="G302" s="45"/>
      <c r="H302" s="119"/>
      <c r="I302" s="133"/>
      <c r="J302" s="158"/>
      <c r="K302" s="74"/>
      <c r="L302" s="162"/>
      <c r="M302" s="90"/>
      <c r="N302" s="90"/>
      <c r="O302" s="90"/>
      <c r="P302" s="94"/>
      <c r="Q302" s="94"/>
      <c r="R302" s="94"/>
      <c r="S302" s="94"/>
      <c r="T302" s="90"/>
      <c r="U302" s="90"/>
      <c r="V302" s="90"/>
      <c r="W302" s="105"/>
      <c r="X302" s="106"/>
      <c r="Y302" s="106"/>
      <c r="Z302" s="106"/>
      <c r="AA302" s="106">
        <f t="shared" si="18"/>
        <v>0</v>
      </c>
      <c r="AB302" s="106">
        <f t="shared" si="19"/>
        <v>0</v>
      </c>
      <c r="AC302" s="94"/>
      <c r="AD302" s="94"/>
      <c r="AE302" s="110"/>
      <c r="AF302" s="110"/>
      <c r="AG302" s="110"/>
      <c r="AH302" s="99"/>
    </row>
    <row r="303" spans="1:34" ht="26.25" customHeight="1">
      <c r="A303" s="90"/>
      <c r="B303" s="88"/>
      <c r="C303" s="94"/>
      <c r="D303" s="95"/>
      <c r="E303" s="94"/>
      <c r="F303" s="74"/>
      <c r="G303" s="45"/>
      <c r="H303" s="119"/>
      <c r="I303" s="133"/>
      <c r="J303" s="158"/>
      <c r="K303" s="74"/>
      <c r="L303" s="162"/>
      <c r="M303" s="90"/>
      <c r="N303" s="90"/>
      <c r="O303" s="90"/>
      <c r="P303" s="94"/>
      <c r="Q303" s="94"/>
      <c r="R303" s="94"/>
      <c r="S303" s="94"/>
      <c r="T303" s="90"/>
      <c r="U303" s="90"/>
      <c r="V303" s="90"/>
      <c r="W303" s="109"/>
      <c r="X303" s="106"/>
      <c r="Y303" s="106"/>
      <c r="Z303" s="106"/>
      <c r="AA303" s="106"/>
      <c r="AB303" s="106"/>
      <c r="AC303" s="94"/>
      <c r="AD303" s="94"/>
      <c r="AE303" s="110"/>
      <c r="AF303" s="110"/>
      <c r="AG303" s="110"/>
      <c r="AH303" s="99"/>
    </row>
    <row r="304" spans="1:34" ht="26.25" customHeight="1">
      <c r="A304" s="90"/>
      <c r="B304" s="88"/>
      <c r="C304" s="94"/>
      <c r="D304" s="95"/>
      <c r="E304" s="94"/>
      <c r="F304" s="74"/>
      <c r="G304" s="45"/>
      <c r="H304" s="119"/>
      <c r="I304" s="133"/>
      <c r="J304" s="158"/>
      <c r="K304" s="74"/>
      <c r="L304" s="162"/>
      <c r="M304" s="90"/>
      <c r="N304" s="90"/>
      <c r="O304" s="90"/>
      <c r="P304" s="94"/>
      <c r="Q304" s="94"/>
      <c r="R304" s="94"/>
      <c r="S304" s="94"/>
      <c r="T304" s="90"/>
      <c r="U304" s="90"/>
      <c r="V304" s="90"/>
      <c r="W304" s="105"/>
      <c r="X304" s="106"/>
      <c r="Y304" s="106"/>
      <c r="Z304" s="106"/>
      <c r="AA304" s="106"/>
      <c r="AB304" s="106"/>
      <c r="AC304" s="94"/>
      <c r="AD304" s="94"/>
      <c r="AE304" s="110"/>
      <c r="AF304" s="110"/>
      <c r="AG304" s="110"/>
      <c r="AH304" s="99"/>
    </row>
    <row r="305" spans="1:34" ht="26.25" customHeight="1">
      <c r="A305" s="90"/>
      <c r="B305" s="88"/>
      <c r="C305" s="94"/>
      <c r="D305" s="95"/>
      <c r="E305" s="94"/>
      <c r="F305" s="74"/>
      <c r="G305" s="45"/>
      <c r="H305" s="119"/>
      <c r="I305" s="133"/>
      <c r="J305" s="158"/>
      <c r="K305" s="74"/>
      <c r="L305" s="162"/>
      <c r="M305" s="90"/>
      <c r="N305" s="90"/>
      <c r="O305" s="90"/>
      <c r="P305" s="94"/>
      <c r="Q305" s="94"/>
      <c r="R305" s="94"/>
      <c r="S305" s="94"/>
      <c r="T305" s="90"/>
      <c r="U305" s="90"/>
      <c r="V305" s="90"/>
      <c r="W305" s="109"/>
      <c r="X305" s="106"/>
      <c r="Y305" s="106"/>
      <c r="Z305" s="106"/>
      <c r="AA305" s="106"/>
      <c r="AB305" s="106"/>
      <c r="AC305" s="94"/>
      <c r="AD305" s="94"/>
      <c r="AE305" s="110"/>
      <c r="AF305" s="110"/>
      <c r="AG305" s="110"/>
      <c r="AH305" s="99"/>
    </row>
    <row r="306" spans="1:34" ht="26.25" customHeight="1">
      <c r="A306" s="90"/>
      <c r="B306" s="88"/>
      <c r="C306" s="94"/>
      <c r="D306" s="95"/>
      <c r="E306" s="94"/>
      <c r="F306" s="74"/>
      <c r="G306" s="45"/>
      <c r="H306" s="119"/>
      <c r="I306" s="133"/>
      <c r="J306" s="158"/>
      <c r="K306" s="74"/>
      <c r="L306" s="162"/>
      <c r="M306" s="90"/>
      <c r="N306" s="90"/>
      <c r="O306" s="90"/>
      <c r="P306" s="94"/>
      <c r="Q306" s="94"/>
      <c r="R306" s="94"/>
      <c r="S306" s="94"/>
      <c r="T306" s="90"/>
      <c r="U306" s="90"/>
      <c r="V306" s="90"/>
      <c r="W306" s="105"/>
      <c r="X306" s="106"/>
      <c r="Y306" s="106"/>
      <c r="Z306" s="106"/>
      <c r="AA306" s="106"/>
      <c r="AB306" s="106"/>
      <c r="AC306" s="94"/>
      <c r="AD306" s="94"/>
      <c r="AE306" s="110"/>
      <c r="AF306" s="110"/>
      <c r="AG306" s="110"/>
      <c r="AH306" s="99"/>
    </row>
    <row r="307" spans="1:34" ht="26.25" customHeight="1">
      <c r="A307" s="90"/>
      <c r="B307" s="88"/>
      <c r="C307" s="94"/>
      <c r="D307" s="95"/>
      <c r="E307" s="94"/>
      <c r="F307" s="74"/>
      <c r="G307" s="45"/>
      <c r="H307" s="119"/>
      <c r="I307" s="133"/>
      <c r="J307" s="158"/>
      <c r="K307" s="74"/>
      <c r="L307" s="162"/>
      <c r="M307" s="90"/>
      <c r="N307" s="90"/>
      <c r="O307" s="90"/>
      <c r="P307" s="94"/>
      <c r="Q307" s="94"/>
      <c r="R307" s="94"/>
      <c r="S307" s="94"/>
      <c r="T307" s="90"/>
      <c r="U307" s="90"/>
      <c r="V307" s="90"/>
      <c r="W307" s="105"/>
      <c r="X307" s="106"/>
      <c r="Y307" s="106"/>
      <c r="Z307" s="106"/>
      <c r="AA307" s="106"/>
      <c r="AB307" s="106"/>
      <c r="AC307" s="94"/>
      <c r="AD307" s="94"/>
      <c r="AE307" s="110"/>
      <c r="AF307" s="110"/>
      <c r="AG307" s="110"/>
      <c r="AH307" s="99"/>
    </row>
    <row r="308" spans="1:34" ht="26.25" customHeight="1">
      <c r="A308" s="90"/>
      <c r="B308" s="88"/>
      <c r="C308" s="94"/>
      <c r="D308" s="95"/>
      <c r="E308" s="94"/>
      <c r="F308" s="74"/>
      <c r="G308" s="45"/>
      <c r="H308" s="119"/>
      <c r="I308" s="133"/>
      <c r="J308" s="158"/>
      <c r="K308" s="74"/>
      <c r="L308" s="162"/>
      <c r="M308" s="90"/>
      <c r="N308" s="90"/>
      <c r="O308" s="90"/>
      <c r="P308" s="94"/>
      <c r="Q308" s="94"/>
      <c r="R308" s="94"/>
      <c r="S308" s="94"/>
      <c r="T308" s="90"/>
      <c r="U308" s="90"/>
      <c r="V308" s="90"/>
      <c r="W308" s="105"/>
      <c r="X308" s="106"/>
      <c r="Y308" s="106"/>
      <c r="Z308" s="106"/>
      <c r="AA308" s="106"/>
      <c r="AB308" s="106"/>
      <c r="AC308" s="94"/>
      <c r="AD308" s="94"/>
      <c r="AE308" s="110"/>
      <c r="AF308" s="110"/>
      <c r="AG308" s="110"/>
      <c r="AH308" s="99"/>
    </row>
    <row r="309" spans="1:34" ht="26.25" customHeight="1">
      <c r="A309" s="90"/>
      <c r="B309" s="88"/>
      <c r="C309" s="94"/>
      <c r="D309" s="95"/>
      <c r="E309" s="94"/>
      <c r="F309" s="74"/>
      <c r="G309" s="45"/>
      <c r="H309" s="119"/>
      <c r="I309" s="133"/>
      <c r="J309" s="158"/>
      <c r="K309" s="74"/>
      <c r="L309" s="162"/>
      <c r="M309" s="90"/>
      <c r="N309" s="90"/>
      <c r="O309" s="90"/>
      <c r="P309" s="94"/>
      <c r="Q309" s="94"/>
      <c r="R309" s="94"/>
      <c r="S309" s="94"/>
      <c r="T309" s="90"/>
      <c r="U309" s="90"/>
      <c r="V309" s="90"/>
      <c r="W309" s="105"/>
      <c r="X309" s="106"/>
      <c r="Y309" s="106"/>
      <c r="Z309" s="106"/>
      <c r="AA309" s="106"/>
      <c r="AB309" s="106"/>
      <c r="AC309" s="94"/>
      <c r="AD309" s="94"/>
      <c r="AE309" s="110"/>
      <c r="AF309" s="110"/>
      <c r="AG309" s="110"/>
      <c r="AH309" s="99"/>
    </row>
    <row r="310" spans="1:34" ht="26.25" customHeight="1">
      <c r="A310" s="90"/>
      <c r="B310" s="88"/>
      <c r="C310" s="94"/>
      <c r="D310" s="95"/>
      <c r="E310" s="94"/>
      <c r="F310" s="74"/>
      <c r="G310" s="45"/>
      <c r="H310" s="119"/>
      <c r="I310" s="133"/>
      <c r="J310" s="158"/>
      <c r="K310" s="74"/>
      <c r="L310" s="162"/>
      <c r="M310" s="90"/>
      <c r="N310" s="90"/>
      <c r="O310" s="90"/>
      <c r="P310" s="94"/>
      <c r="Q310" s="94"/>
      <c r="R310" s="94"/>
      <c r="S310" s="94"/>
      <c r="T310" s="90"/>
      <c r="U310" s="90"/>
      <c r="V310" s="90"/>
      <c r="W310" s="105"/>
      <c r="X310" s="106"/>
      <c r="Y310" s="106"/>
      <c r="Z310" s="106"/>
      <c r="AA310" s="106"/>
      <c r="AB310" s="106"/>
      <c r="AC310" s="94"/>
      <c r="AD310" s="94"/>
      <c r="AE310" s="110"/>
      <c r="AF310" s="110"/>
      <c r="AG310" s="110"/>
      <c r="AH310" s="99"/>
    </row>
    <row r="311" spans="1:34" ht="26.25" customHeight="1">
      <c r="A311" s="90"/>
      <c r="B311" s="88"/>
      <c r="C311" s="94"/>
      <c r="D311" s="95"/>
      <c r="E311" s="94"/>
      <c r="F311" s="74"/>
      <c r="G311" s="45"/>
      <c r="H311" s="119"/>
      <c r="I311" s="133"/>
      <c r="J311" s="158"/>
      <c r="K311" s="74"/>
      <c r="L311" s="162"/>
      <c r="M311" s="90"/>
      <c r="N311" s="90"/>
      <c r="O311" s="90"/>
      <c r="P311" s="94"/>
      <c r="Q311" s="94"/>
      <c r="R311" s="94"/>
      <c r="S311" s="94"/>
      <c r="T311" s="90"/>
      <c r="U311" s="90"/>
      <c r="V311" s="90"/>
      <c r="W311" s="105"/>
      <c r="X311" s="106"/>
      <c r="Y311" s="106"/>
      <c r="Z311" s="106"/>
      <c r="AA311" s="106"/>
      <c r="AB311" s="106"/>
      <c r="AC311" s="94"/>
      <c r="AD311" s="94"/>
      <c r="AE311" s="110"/>
      <c r="AF311" s="110"/>
      <c r="AG311" s="110"/>
      <c r="AH311" s="99"/>
    </row>
    <row r="312" spans="1:34" ht="26.25" customHeight="1">
      <c r="A312" s="90"/>
      <c r="B312" s="88"/>
      <c r="C312" s="94"/>
      <c r="D312" s="95"/>
      <c r="E312" s="94"/>
      <c r="F312" s="74"/>
      <c r="G312" s="45"/>
      <c r="H312" s="119"/>
      <c r="I312" s="133"/>
      <c r="J312" s="158"/>
      <c r="K312" s="74"/>
      <c r="L312" s="162"/>
      <c r="M312" s="90"/>
      <c r="N312" s="90"/>
      <c r="O312" s="90"/>
      <c r="P312" s="94"/>
      <c r="Q312" s="94"/>
      <c r="R312" s="94"/>
      <c r="S312" s="94"/>
      <c r="T312" s="90"/>
      <c r="U312" s="90"/>
      <c r="V312" s="90"/>
      <c r="W312" s="105"/>
      <c r="X312" s="106"/>
      <c r="Y312" s="106"/>
      <c r="Z312" s="106"/>
      <c r="AA312" s="106"/>
      <c r="AB312" s="106"/>
      <c r="AC312" s="94"/>
      <c r="AD312" s="94"/>
      <c r="AE312" s="110"/>
      <c r="AF312" s="110"/>
      <c r="AG312" s="110"/>
      <c r="AH312" s="99"/>
    </row>
  </sheetData>
  <mergeCells count="9">
    <mergeCell ref="AC12:AC15"/>
    <mergeCell ref="AD12:AD19"/>
    <mergeCell ref="C273:D273"/>
    <mergeCell ref="AC40:AC42"/>
    <mergeCell ref="AC43:AC46"/>
    <mergeCell ref="AD196:AD198"/>
    <mergeCell ref="AC122:AC125"/>
    <mergeCell ref="AD100:AD103"/>
    <mergeCell ref="AC202:AC206"/>
  </mergeCells>
  <phoneticPr fontId="57" type="noConversion"/>
  <pageMargins left="0.7" right="0.7" top="0.75" bottom="0.75" header="0.3" footer="0.3"/>
  <pageSetup orientation="portrait" r:id="rId1"/>
  <ignoredErrors>
    <ignoredError sqref="K84 K80 N54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1A13-2044-4A1F-92D9-10F27D51E2AF}">
  <dimension ref="A1:AH459"/>
  <sheetViews>
    <sheetView zoomScale="84" zoomScaleNormal="84" workbookViewId="0">
      <pane xSplit="9" ySplit="11" topLeftCell="K345" activePane="bottomRight" state="frozen"/>
      <selection pane="topRight" activeCell="J1" sqref="J1"/>
      <selection pane="bottomLeft" activeCell="A12" sqref="A12"/>
      <selection pane="bottomRight" activeCell="B337" sqref="B337"/>
    </sheetView>
  </sheetViews>
  <sheetFormatPr defaultColWidth="9" defaultRowHeight="26.25" customHeight="1"/>
  <cols>
    <col min="1" max="1" width="11.33203125" style="100" customWidth="1"/>
    <col min="2" max="2" width="13.109375" style="255" customWidth="1"/>
    <col min="3" max="3" width="10.5546875" style="92" customWidth="1"/>
    <col min="4" max="4" width="11.44140625" style="256" customWidth="1"/>
    <col min="5" max="5" width="7.5546875" style="92" customWidth="1"/>
    <col min="6" max="6" width="8" style="257" customWidth="1"/>
    <col min="7" max="7" width="9" style="144" customWidth="1"/>
    <col min="8" max="8" width="6.33203125" style="258" customWidth="1"/>
    <col min="9" max="9" width="13.88671875" style="129" customWidth="1"/>
    <col min="10" max="10" width="9" style="60" customWidth="1"/>
    <col min="11" max="11" width="7.44140625" style="60" customWidth="1"/>
    <col min="12" max="12" width="12.109375" style="143" customWidth="1"/>
    <col min="13" max="13" width="7.33203125" style="100" customWidth="1"/>
    <col min="14" max="14" width="7.44140625" style="100" customWidth="1"/>
    <col min="15" max="15" width="6.109375" style="100" customWidth="1"/>
    <col min="16" max="16" width="9.44140625" style="92" customWidth="1"/>
    <col min="17" max="18" width="12.44140625" style="92" hidden="1" customWidth="1"/>
    <col min="19" max="19" width="8" style="92" hidden="1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2.6640625" style="374" customWidth="1"/>
    <col min="24" max="24" width="8.44140625" style="102" customWidth="1"/>
    <col min="25" max="25" width="10.33203125" style="102" customWidth="1"/>
    <col min="26" max="26" width="8" style="102" customWidth="1"/>
    <col min="27" max="27" width="6.44140625" style="102" customWidth="1"/>
    <col min="28" max="28" width="7.33203125" style="102" customWidth="1"/>
    <col min="29" max="29" width="41.88671875" style="92" customWidth="1"/>
    <col min="30" max="30" width="22.5546875" style="92" customWidth="1"/>
    <col min="31" max="31" width="22.44140625" style="92" customWidth="1"/>
    <col min="32" max="16384" width="9" style="92"/>
  </cols>
  <sheetData>
    <row r="1" spans="1:34" ht="26.25" hidden="1" customHeight="1"/>
    <row r="2" spans="1:34" ht="26.25" hidden="1" customHeight="1"/>
    <row r="3" spans="1:34" ht="26.25" hidden="1" customHeight="1"/>
    <row r="4" spans="1:34" ht="26.25" hidden="1" customHeight="1"/>
    <row r="5" spans="1:34" ht="26.25" hidden="1" customHeight="1"/>
    <row r="6" spans="1:34" ht="26.25" hidden="1" customHeight="1"/>
    <row r="7" spans="1:34" ht="26.25" hidden="1" customHeight="1"/>
    <row r="8" spans="1:34" ht="26.25" hidden="1" customHeight="1"/>
    <row r="9" spans="1:34" ht="26.25" hidden="1" customHeight="1"/>
    <row r="10" spans="1:34" ht="26.25" hidden="1" customHeight="1"/>
    <row r="11" spans="1:34" ht="35.25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53" t="s">
        <v>1493</v>
      </c>
      <c r="G11" s="162" t="s">
        <v>1494</v>
      </c>
      <c r="H11" s="119" t="s">
        <v>5</v>
      </c>
      <c r="I11" s="133" t="s">
        <v>1491</v>
      </c>
      <c r="J11" s="133" t="s">
        <v>1490</v>
      </c>
      <c r="K11" s="53" t="s">
        <v>1487</v>
      </c>
      <c r="L11" s="162" t="s">
        <v>1492</v>
      </c>
      <c r="M11" s="259" t="s">
        <v>1489</v>
      </c>
      <c r="N11" s="259" t="s">
        <v>1488</v>
      </c>
      <c r="O11" s="90" t="s">
        <v>687</v>
      </c>
      <c r="P11" s="111" t="s">
        <v>1483</v>
      </c>
      <c r="Q11" s="111" t="s">
        <v>1484</v>
      </c>
      <c r="R11" s="111" t="s">
        <v>1485</v>
      </c>
      <c r="S11" s="111" t="s">
        <v>1486</v>
      </c>
      <c r="T11" s="259" t="s">
        <v>17</v>
      </c>
      <c r="U11" s="259" t="s">
        <v>18</v>
      </c>
      <c r="V11" s="259" t="s">
        <v>19</v>
      </c>
      <c r="W11" s="37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94"/>
      <c r="AF11" s="94">
        <v>115567</v>
      </c>
      <c r="AG11" s="94">
        <v>2476130</v>
      </c>
      <c r="AH11" s="94">
        <v>130072</v>
      </c>
    </row>
    <row r="12" spans="1:34" ht="19.5" customHeight="1">
      <c r="A12" s="260" t="s">
        <v>136</v>
      </c>
      <c r="B12" s="264">
        <v>6000027652</v>
      </c>
      <c r="C12" s="2" t="s">
        <v>137</v>
      </c>
      <c r="D12" s="2">
        <v>37038</v>
      </c>
      <c r="E12" s="74">
        <v>10</v>
      </c>
      <c r="F12" s="261">
        <v>750</v>
      </c>
      <c r="G12" s="45">
        <f>F12*E12</f>
        <v>7500</v>
      </c>
      <c r="H12" s="119" t="s">
        <v>27</v>
      </c>
      <c r="I12" s="262">
        <v>44928</v>
      </c>
      <c r="J12" s="261">
        <v>750</v>
      </c>
      <c r="K12" s="74">
        <v>9</v>
      </c>
      <c r="L12" s="156"/>
      <c r="M12" s="90"/>
      <c r="N12" s="90"/>
      <c r="O12" s="90"/>
      <c r="P12" s="94" t="s">
        <v>160</v>
      </c>
      <c r="Q12" s="94">
        <v>8500065869</v>
      </c>
      <c r="R12" s="94">
        <v>5000012349</v>
      </c>
      <c r="S12" s="261"/>
      <c r="T12" s="90"/>
      <c r="U12" s="90"/>
      <c r="V12" s="90"/>
      <c r="W12" s="376">
        <v>45306</v>
      </c>
      <c r="X12" s="106">
        <v>750</v>
      </c>
      <c r="Y12" s="106"/>
      <c r="Z12" s="106" t="s">
        <v>1980</v>
      </c>
      <c r="AA12" s="106">
        <f>J12-X12</f>
        <v>0</v>
      </c>
      <c r="AB12" s="106">
        <f>M12-Y12</f>
        <v>0</v>
      </c>
      <c r="AC12" s="94" t="s">
        <v>2813</v>
      </c>
      <c r="AD12" s="94"/>
      <c r="AE12" s="94"/>
      <c r="AF12" s="94"/>
      <c r="AG12" s="94"/>
      <c r="AH12" s="263"/>
    </row>
    <row r="13" spans="1:34" ht="19.5" customHeight="1">
      <c r="A13" s="260"/>
      <c r="B13" s="264"/>
      <c r="C13" s="2"/>
      <c r="D13" s="2"/>
      <c r="E13" s="74">
        <v>10</v>
      </c>
      <c r="F13" s="74">
        <v>2490</v>
      </c>
      <c r="G13" s="45">
        <f t="shared" ref="G13:G33" si="0">F13*E13</f>
        <v>24900</v>
      </c>
      <c r="H13" s="119" t="s">
        <v>46</v>
      </c>
      <c r="I13" s="262" t="s">
        <v>2355</v>
      </c>
      <c r="J13" s="74">
        <f>2421+69</f>
        <v>2490</v>
      </c>
      <c r="K13" s="74">
        <f>26+11</f>
        <v>37</v>
      </c>
      <c r="L13" s="156"/>
      <c r="M13" s="90"/>
      <c r="N13" s="90"/>
      <c r="O13" s="90"/>
      <c r="P13" s="94" t="s">
        <v>160</v>
      </c>
      <c r="Q13" s="94">
        <v>8500065869</v>
      </c>
      <c r="R13" s="94">
        <v>5000012349</v>
      </c>
      <c r="S13" s="74"/>
      <c r="T13" s="90"/>
      <c r="U13" s="90"/>
      <c r="V13" s="90"/>
      <c r="W13" s="376">
        <v>45306</v>
      </c>
      <c r="X13" s="106">
        <v>2490</v>
      </c>
      <c r="Y13" s="106"/>
      <c r="Z13" s="106" t="s">
        <v>1980</v>
      </c>
      <c r="AA13" s="106">
        <f t="shared" ref="AA13:AA76" si="1">J13-X13</f>
        <v>0</v>
      </c>
      <c r="AB13" s="106">
        <f t="shared" ref="AB13:AB76" si="2">M13-Y13</f>
        <v>0</v>
      </c>
      <c r="AC13" s="94"/>
      <c r="AD13" s="94"/>
      <c r="AE13" s="94"/>
      <c r="AF13" s="94"/>
      <c r="AG13" s="94"/>
      <c r="AH13" s="263"/>
    </row>
    <row r="14" spans="1:34" ht="19.5" customHeight="1">
      <c r="A14" s="260"/>
      <c r="B14" s="264"/>
      <c r="C14" s="2"/>
      <c r="D14" s="2"/>
      <c r="E14" s="74">
        <v>10</v>
      </c>
      <c r="F14" s="74">
        <v>1300</v>
      </c>
      <c r="G14" s="45">
        <f t="shared" si="0"/>
        <v>13000</v>
      </c>
      <c r="H14" s="119" t="s">
        <v>37</v>
      </c>
      <c r="I14" s="262"/>
      <c r="J14" s="74"/>
      <c r="K14" s="74"/>
      <c r="L14" s="156"/>
      <c r="M14" s="90"/>
      <c r="N14" s="90"/>
      <c r="O14" s="90"/>
      <c r="P14" s="94"/>
      <c r="Q14" s="94"/>
      <c r="R14" s="94"/>
      <c r="S14" s="74"/>
      <c r="T14" s="90"/>
      <c r="U14" s="90"/>
      <c r="V14" s="90"/>
      <c r="W14" s="376"/>
      <c r="X14" s="106"/>
      <c r="Y14" s="106"/>
      <c r="Z14" s="106"/>
      <c r="AA14" s="106">
        <f t="shared" si="1"/>
        <v>0</v>
      </c>
      <c r="AB14" s="106">
        <f t="shared" si="2"/>
        <v>0</v>
      </c>
      <c r="AC14" s="94"/>
      <c r="AD14" s="94"/>
      <c r="AE14" s="94"/>
      <c r="AF14" s="94"/>
      <c r="AG14" s="94"/>
      <c r="AH14" s="263"/>
    </row>
    <row r="15" spans="1:34" ht="19.5" customHeight="1">
      <c r="A15" s="260"/>
      <c r="B15" s="264"/>
      <c r="C15" s="2"/>
      <c r="D15" s="2"/>
      <c r="E15" s="74">
        <v>10</v>
      </c>
      <c r="F15" s="74">
        <v>280</v>
      </c>
      <c r="G15" s="45">
        <f t="shared" si="0"/>
        <v>2800</v>
      </c>
      <c r="H15" s="119" t="s">
        <v>146</v>
      </c>
      <c r="I15" s="262">
        <v>44928</v>
      </c>
      <c r="J15" s="158">
        <v>280</v>
      </c>
      <c r="K15" s="74">
        <f>4+4</f>
        <v>8</v>
      </c>
      <c r="L15" s="156">
        <v>45296</v>
      </c>
      <c r="M15" s="90">
        <v>2800</v>
      </c>
      <c r="N15" s="90">
        <v>14</v>
      </c>
      <c r="O15" s="90"/>
      <c r="P15" s="94" t="s">
        <v>160</v>
      </c>
      <c r="Q15" s="94">
        <v>8500065869</v>
      </c>
      <c r="R15" s="94">
        <v>5000012349</v>
      </c>
      <c r="S15" s="158"/>
      <c r="T15" s="90" t="s">
        <v>152</v>
      </c>
      <c r="U15" s="90">
        <v>8500065868</v>
      </c>
      <c r="V15" s="90">
        <v>5000017776</v>
      </c>
      <c r="W15" s="376">
        <v>45306</v>
      </c>
      <c r="X15" s="106">
        <v>280</v>
      </c>
      <c r="Y15" s="106">
        <v>2800</v>
      </c>
      <c r="Z15" s="106" t="s">
        <v>1980</v>
      </c>
      <c r="AA15" s="106">
        <f t="shared" si="1"/>
        <v>0</v>
      </c>
      <c r="AB15" s="106">
        <f t="shared" si="2"/>
        <v>0</v>
      </c>
      <c r="AC15" s="94"/>
      <c r="AD15" s="94"/>
      <c r="AE15" s="94"/>
      <c r="AF15" s="94"/>
      <c r="AG15" s="94"/>
      <c r="AH15" s="263"/>
    </row>
    <row r="16" spans="1:34" ht="18.75" customHeight="1">
      <c r="A16" s="260" t="s">
        <v>136</v>
      </c>
      <c r="B16" s="264">
        <v>6000027649</v>
      </c>
      <c r="C16" s="2" t="s">
        <v>137</v>
      </c>
      <c r="D16" s="2">
        <v>37035</v>
      </c>
      <c r="E16" s="74">
        <v>10</v>
      </c>
      <c r="F16" s="74">
        <v>4210</v>
      </c>
      <c r="G16" s="45">
        <f t="shared" si="0"/>
        <v>42100</v>
      </c>
      <c r="H16" s="119" t="s">
        <v>37</v>
      </c>
      <c r="I16" s="262" t="s">
        <v>2451</v>
      </c>
      <c r="J16" s="158">
        <f>4192+18</f>
        <v>4210</v>
      </c>
      <c r="K16" s="74">
        <f>44+5</f>
        <v>49</v>
      </c>
      <c r="L16" s="156">
        <v>45296</v>
      </c>
      <c r="M16" s="90">
        <v>42100</v>
      </c>
      <c r="N16" s="90">
        <v>211</v>
      </c>
      <c r="O16" s="90"/>
      <c r="P16" s="94" t="s">
        <v>160</v>
      </c>
      <c r="Q16" s="94">
        <v>8500065875</v>
      </c>
      <c r="R16" s="94">
        <v>5000021918</v>
      </c>
      <c r="S16" s="158">
        <f>4192+18</f>
        <v>4210</v>
      </c>
      <c r="T16" s="90" t="s">
        <v>152</v>
      </c>
      <c r="U16" s="90">
        <v>8500065874</v>
      </c>
      <c r="V16" s="90">
        <v>5000017772</v>
      </c>
      <c r="W16" s="376" t="s">
        <v>2780</v>
      </c>
      <c r="X16" s="106">
        <f>1500+2710</f>
        <v>4210</v>
      </c>
      <c r="Y16" s="106">
        <f>15000+27100</f>
        <v>42100</v>
      </c>
      <c r="Z16" s="106" t="s">
        <v>2781</v>
      </c>
      <c r="AA16" s="106">
        <f t="shared" si="1"/>
        <v>0</v>
      </c>
      <c r="AB16" s="106">
        <f t="shared" si="2"/>
        <v>0</v>
      </c>
      <c r="AC16" s="94"/>
      <c r="AD16" s="94"/>
      <c r="AE16" s="94"/>
      <c r="AF16" s="94"/>
      <c r="AG16" s="94"/>
      <c r="AH16" s="263"/>
    </row>
    <row r="17" spans="1:34" ht="19.5" customHeight="1">
      <c r="A17" s="260"/>
      <c r="B17" s="264"/>
      <c r="C17" s="2"/>
      <c r="D17" s="2"/>
      <c r="E17" s="74">
        <v>10</v>
      </c>
      <c r="F17" s="74">
        <v>610</v>
      </c>
      <c r="G17" s="45">
        <f t="shared" si="0"/>
        <v>6100</v>
      </c>
      <c r="H17" s="119" t="s">
        <v>146</v>
      </c>
      <c r="I17" s="128">
        <v>45301</v>
      </c>
      <c r="J17" s="158">
        <v>610</v>
      </c>
      <c r="K17" s="74">
        <f>8+2</f>
        <v>10</v>
      </c>
      <c r="L17" s="156">
        <v>45296</v>
      </c>
      <c r="M17" s="90">
        <v>6100</v>
      </c>
      <c r="N17" s="90">
        <v>31</v>
      </c>
      <c r="O17" s="90" t="s">
        <v>1509</v>
      </c>
      <c r="P17" s="94" t="s">
        <v>160</v>
      </c>
      <c r="Q17" s="94">
        <v>8500065875</v>
      </c>
      <c r="R17" s="94">
        <v>5000038498</v>
      </c>
      <c r="S17" s="158">
        <v>610</v>
      </c>
      <c r="T17" s="90" t="s">
        <v>152</v>
      </c>
      <c r="U17" s="90">
        <v>8500065874</v>
      </c>
      <c r="V17" s="90">
        <v>5000017772</v>
      </c>
      <c r="W17" s="376">
        <v>45317</v>
      </c>
      <c r="X17" s="106">
        <v>610</v>
      </c>
      <c r="Y17" s="106">
        <v>6100</v>
      </c>
      <c r="Z17" s="106" t="s">
        <v>759</v>
      </c>
      <c r="AA17" s="106">
        <f t="shared" si="1"/>
        <v>0</v>
      </c>
      <c r="AB17" s="106">
        <f t="shared" si="2"/>
        <v>0</v>
      </c>
      <c r="AC17" s="94"/>
      <c r="AD17" s="94"/>
      <c r="AE17" s="94"/>
      <c r="AF17" s="94"/>
      <c r="AG17" s="94"/>
      <c r="AH17" s="263"/>
    </row>
    <row r="18" spans="1:34" ht="19.5" customHeight="1">
      <c r="A18" s="260" t="s">
        <v>136</v>
      </c>
      <c r="B18" s="264">
        <v>6000027650</v>
      </c>
      <c r="C18" s="2" t="s">
        <v>137</v>
      </c>
      <c r="D18" s="2">
        <v>37036</v>
      </c>
      <c r="E18" s="74">
        <v>10</v>
      </c>
      <c r="F18" s="261">
        <v>230</v>
      </c>
      <c r="G18" s="45">
        <f t="shared" si="0"/>
        <v>2300</v>
      </c>
      <c r="H18" s="119" t="s">
        <v>243</v>
      </c>
      <c r="I18" s="128">
        <v>45303</v>
      </c>
      <c r="J18" s="261">
        <v>230</v>
      </c>
      <c r="K18" s="74">
        <v>1</v>
      </c>
      <c r="L18" s="156">
        <v>45297</v>
      </c>
      <c r="M18" s="90">
        <v>2300</v>
      </c>
      <c r="N18" s="90">
        <v>12</v>
      </c>
      <c r="O18" s="90"/>
      <c r="P18" s="94" t="s">
        <v>160</v>
      </c>
      <c r="Q18" s="94">
        <v>8500065877</v>
      </c>
      <c r="R18" s="94">
        <v>5000051522</v>
      </c>
      <c r="S18" s="261">
        <v>230</v>
      </c>
      <c r="T18" s="90" t="s">
        <v>152</v>
      </c>
      <c r="U18" s="90">
        <v>8500065878</v>
      </c>
      <c r="V18" s="90">
        <v>5000029442</v>
      </c>
      <c r="W18" s="376">
        <v>45307</v>
      </c>
      <c r="X18" s="106">
        <v>230</v>
      </c>
      <c r="Y18" s="106">
        <v>2300</v>
      </c>
      <c r="Z18" s="106" t="s">
        <v>800</v>
      </c>
      <c r="AA18" s="106">
        <f t="shared" si="1"/>
        <v>0</v>
      </c>
      <c r="AB18" s="106">
        <f t="shared" si="2"/>
        <v>0</v>
      </c>
      <c r="AC18" s="94"/>
      <c r="AD18" s="111"/>
      <c r="AE18" s="94"/>
      <c r="AF18" s="94"/>
      <c r="AG18" s="94"/>
      <c r="AH18" s="263"/>
    </row>
    <row r="19" spans="1:34" ht="19.5" customHeight="1">
      <c r="A19" s="260"/>
      <c r="B19" s="264"/>
      <c r="C19" s="2"/>
      <c r="D19" s="2"/>
      <c r="E19" s="74">
        <v>10</v>
      </c>
      <c r="F19" s="74">
        <v>750</v>
      </c>
      <c r="G19" s="45">
        <f t="shared" si="0"/>
        <v>7500</v>
      </c>
      <c r="H19" s="119" t="s">
        <v>27</v>
      </c>
      <c r="I19" s="128">
        <v>45299</v>
      </c>
      <c r="J19" s="74">
        <v>750</v>
      </c>
      <c r="K19" s="74">
        <f>9+4</f>
        <v>13</v>
      </c>
      <c r="L19" s="156">
        <v>45297</v>
      </c>
      <c r="M19" s="90">
        <v>7500</v>
      </c>
      <c r="N19" s="90">
        <v>38</v>
      </c>
      <c r="O19" s="90"/>
      <c r="P19" s="94" t="s">
        <v>160</v>
      </c>
      <c r="Q19" s="94">
        <v>8500065877</v>
      </c>
      <c r="R19" s="94">
        <v>5000030775</v>
      </c>
      <c r="S19" s="74">
        <v>750</v>
      </c>
      <c r="T19" s="90" t="s">
        <v>152</v>
      </c>
      <c r="U19" s="90">
        <v>8500065876</v>
      </c>
      <c r="V19" s="90">
        <v>5000029379</v>
      </c>
      <c r="W19" s="376">
        <v>45306</v>
      </c>
      <c r="X19" s="106">
        <v>750</v>
      </c>
      <c r="Y19" s="106">
        <v>7500</v>
      </c>
      <c r="Z19" s="106" t="s">
        <v>727</v>
      </c>
      <c r="AA19" s="106">
        <f t="shared" si="1"/>
        <v>0</v>
      </c>
      <c r="AB19" s="106">
        <f t="shared" si="2"/>
        <v>0</v>
      </c>
      <c r="AC19" s="94"/>
      <c r="AD19" s="94"/>
      <c r="AE19" s="94"/>
      <c r="AF19" s="94"/>
      <c r="AG19" s="94"/>
      <c r="AH19" s="263"/>
    </row>
    <row r="20" spans="1:34" ht="18" customHeight="1">
      <c r="A20" s="260"/>
      <c r="B20" s="264"/>
      <c r="C20" s="2"/>
      <c r="D20" s="2"/>
      <c r="E20" s="74">
        <v>10</v>
      </c>
      <c r="F20" s="74">
        <v>2260</v>
      </c>
      <c r="G20" s="45">
        <f t="shared" si="0"/>
        <v>22600</v>
      </c>
      <c r="H20" s="119" t="s">
        <v>46</v>
      </c>
      <c r="I20" s="128">
        <v>45299</v>
      </c>
      <c r="J20" s="74">
        <v>2260</v>
      </c>
      <c r="K20" s="74">
        <f>24+10</f>
        <v>34</v>
      </c>
      <c r="L20" s="156">
        <v>45296</v>
      </c>
      <c r="M20" s="90">
        <v>22600</v>
      </c>
      <c r="N20" s="90">
        <v>113</v>
      </c>
      <c r="O20" s="90"/>
      <c r="P20" s="94" t="s">
        <v>160</v>
      </c>
      <c r="Q20" s="94">
        <v>8500065877</v>
      </c>
      <c r="R20" s="94">
        <v>5000030775</v>
      </c>
      <c r="S20" s="74">
        <v>2260</v>
      </c>
      <c r="T20" s="90" t="s">
        <v>152</v>
      </c>
      <c r="U20" s="90">
        <v>8500065876</v>
      </c>
      <c r="V20" s="90">
        <v>5000017773</v>
      </c>
      <c r="W20" s="376">
        <v>45308</v>
      </c>
      <c r="X20" s="106">
        <v>2260</v>
      </c>
      <c r="Y20" s="106">
        <v>22600</v>
      </c>
      <c r="Z20" s="106" t="s">
        <v>755</v>
      </c>
      <c r="AA20" s="106">
        <f t="shared" si="1"/>
        <v>0</v>
      </c>
      <c r="AB20" s="106">
        <f t="shared" si="2"/>
        <v>0</v>
      </c>
      <c r="AC20" s="94"/>
      <c r="AD20" s="94"/>
      <c r="AE20" s="94"/>
      <c r="AF20" s="94"/>
      <c r="AG20" s="94"/>
      <c r="AH20" s="263"/>
    </row>
    <row r="21" spans="1:34" ht="19.5" customHeight="1">
      <c r="A21" s="260" t="s">
        <v>2450</v>
      </c>
      <c r="B21" s="264"/>
      <c r="C21" s="2"/>
      <c r="D21" s="2"/>
      <c r="E21" s="74">
        <v>10</v>
      </c>
      <c r="F21" s="74">
        <v>1300</v>
      </c>
      <c r="G21" s="45">
        <f t="shared" si="0"/>
        <v>13000</v>
      </c>
      <c r="H21" s="119" t="s">
        <v>37</v>
      </c>
      <c r="I21" s="128" t="s">
        <v>2451</v>
      </c>
      <c r="J21" s="74">
        <f>620+680</f>
        <v>1300</v>
      </c>
      <c r="K21" s="74">
        <f>15+2</f>
        <v>17</v>
      </c>
      <c r="L21" s="156">
        <v>45297</v>
      </c>
      <c r="M21" s="90">
        <v>13000</v>
      </c>
      <c r="N21" s="90">
        <v>65</v>
      </c>
      <c r="O21" s="90"/>
      <c r="P21" s="94" t="s">
        <v>160</v>
      </c>
      <c r="Q21" s="94">
        <v>8500065877</v>
      </c>
      <c r="R21" s="94">
        <v>5000038499</v>
      </c>
      <c r="S21" s="74">
        <f>620+680</f>
        <v>1300</v>
      </c>
      <c r="T21" s="90" t="s">
        <v>152</v>
      </c>
      <c r="U21" s="90">
        <v>8500065876</v>
      </c>
      <c r="V21" s="90">
        <v>5000029379</v>
      </c>
      <c r="W21" s="376">
        <v>45321</v>
      </c>
      <c r="X21" s="106">
        <v>1300</v>
      </c>
      <c r="Y21" s="106">
        <v>13000</v>
      </c>
      <c r="Z21" s="106" t="s">
        <v>927</v>
      </c>
      <c r="AA21" s="106">
        <f t="shared" si="1"/>
        <v>0</v>
      </c>
      <c r="AB21" s="106">
        <f t="shared" si="2"/>
        <v>0</v>
      </c>
      <c r="AC21" s="94"/>
      <c r="AD21" s="94"/>
      <c r="AE21" s="94"/>
      <c r="AF21" s="94"/>
      <c r="AG21" s="94"/>
      <c r="AH21" s="263"/>
    </row>
    <row r="22" spans="1:34" ht="19.5" customHeight="1">
      <c r="A22" s="260"/>
      <c r="B22" s="264"/>
      <c r="C22" s="2"/>
      <c r="D22" s="2"/>
      <c r="E22" s="74">
        <v>10</v>
      </c>
      <c r="F22" s="74">
        <v>280</v>
      </c>
      <c r="G22" s="45">
        <f t="shared" si="0"/>
        <v>2800</v>
      </c>
      <c r="H22" s="119" t="s">
        <v>146</v>
      </c>
      <c r="I22" s="128" t="s">
        <v>2585</v>
      </c>
      <c r="J22" s="74">
        <f>265+15</f>
        <v>280</v>
      </c>
      <c r="K22" s="74">
        <f>4+10</f>
        <v>14</v>
      </c>
      <c r="L22" s="156">
        <v>45296</v>
      </c>
      <c r="M22" s="90">
        <v>2800</v>
      </c>
      <c r="N22" s="90">
        <v>14</v>
      </c>
      <c r="O22" s="90" t="s">
        <v>1390</v>
      </c>
      <c r="P22" s="94" t="s">
        <v>160</v>
      </c>
      <c r="Q22" s="94">
        <v>8500065877</v>
      </c>
      <c r="R22" s="94">
        <v>5000030775</v>
      </c>
      <c r="S22" s="74">
        <f>265+15</f>
        <v>280</v>
      </c>
      <c r="T22" s="90" t="s">
        <v>152</v>
      </c>
      <c r="U22" s="90">
        <v>8500065876</v>
      </c>
      <c r="V22" s="90">
        <v>5000017773</v>
      </c>
      <c r="W22" s="376">
        <v>45317</v>
      </c>
      <c r="X22" s="106">
        <v>280</v>
      </c>
      <c r="Y22" s="106">
        <v>2800</v>
      </c>
      <c r="Z22" s="106" t="s">
        <v>800</v>
      </c>
      <c r="AA22" s="106">
        <f t="shared" si="1"/>
        <v>0</v>
      </c>
      <c r="AB22" s="106">
        <f t="shared" si="2"/>
        <v>0</v>
      </c>
      <c r="AC22" s="94"/>
      <c r="AD22" s="94"/>
      <c r="AE22" s="94"/>
      <c r="AF22" s="94"/>
      <c r="AG22" s="94"/>
      <c r="AH22" s="263"/>
    </row>
    <row r="23" spans="1:34" ht="19.5" customHeight="1">
      <c r="A23" s="260" t="s">
        <v>136</v>
      </c>
      <c r="B23" s="264">
        <v>6000027651</v>
      </c>
      <c r="C23" s="2" t="s">
        <v>137</v>
      </c>
      <c r="D23" s="2">
        <v>37037</v>
      </c>
      <c r="E23" s="74">
        <v>10</v>
      </c>
      <c r="F23" s="74">
        <v>750</v>
      </c>
      <c r="G23" s="45">
        <f t="shared" si="0"/>
        <v>7500</v>
      </c>
      <c r="H23" s="119" t="s">
        <v>27</v>
      </c>
      <c r="I23" s="128">
        <v>45299</v>
      </c>
      <c r="J23" s="158">
        <v>750</v>
      </c>
      <c r="K23" s="74">
        <f>9+6</f>
        <v>15</v>
      </c>
      <c r="L23" s="156">
        <v>45299</v>
      </c>
      <c r="M23" s="90">
        <v>7500</v>
      </c>
      <c r="N23" s="90">
        <v>38</v>
      </c>
      <c r="O23" s="90"/>
      <c r="P23" s="94" t="s">
        <v>160</v>
      </c>
      <c r="Q23" s="94">
        <v>8500065867</v>
      </c>
      <c r="R23" s="94">
        <v>5000030899</v>
      </c>
      <c r="S23" s="158">
        <v>750</v>
      </c>
      <c r="T23" s="90" t="s">
        <v>152</v>
      </c>
      <c r="U23" s="90">
        <v>8500065866</v>
      </c>
      <c r="V23" s="90">
        <v>5000030641</v>
      </c>
      <c r="W23" s="376">
        <v>45306</v>
      </c>
      <c r="X23" s="106">
        <v>750</v>
      </c>
      <c r="Y23" s="106">
        <v>7500</v>
      </c>
      <c r="Z23" s="106" t="s">
        <v>727</v>
      </c>
      <c r="AA23" s="106">
        <f t="shared" si="1"/>
        <v>0</v>
      </c>
      <c r="AB23" s="106">
        <f t="shared" si="2"/>
        <v>0</v>
      </c>
      <c r="AC23" s="94"/>
      <c r="AD23" s="94"/>
      <c r="AE23" s="94"/>
      <c r="AF23" s="94"/>
      <c r="AG23" s="94"/>
      <c r="AH23" s="263"/>
    </row>
    <row r="24" spans="1:34" ht="30.75" customHeight="1">
      <c r="A24" s="260"/>
      <c r="B24" s="264"/>
      <c r="C24" s="2"/>
      <c r="D24" s="2"/>
      <c r="E24" s="74">
        <v>10</v>
      </c>
      <c r="F24" s="261">
        <v>2490</v>
      </c>
      <c r="G24" s="45">
        <f t="shared" si="0"/>
        <v>24900</v>
      </c>
      <c r="H24" s="119" t="s">
        <v>46</v>
      </c>
      <c r="I24" s="128">
        <v>45299</v>
      </c>
      <c r="J24" s="261">
        <v>2490</v>
      </c>
      <c r="K24" s="74">
        <v>26</v>
      </c>
      <c r="L24" s="156">
        <v>45296</v>
      </c>
      <c r="M24" s="90">
        <v>24900</v>
      </c>
      <c r="N24" s="90">
        <v>125</v>
      </c>
      <c r="O24" s="90"/>
      <c r="P24" s="94" t="s">
        <v>160</v>
      </c>
      <c r="Q24" s="94">
        <v>8500065867</v>
      </c>
      <c r="R24" s="94">
        <v>5000030755</v>
      </c>
      <c r="S24" s="261">
        <v>2490</v>
      </c>
      <c r="T24" s="90" t="s">
        <v>152</v>
      </c>
      <c r="U24" s="90">
        <v>8500065866</v>
      </c>
      <c r="V24" s="90">
        <v>5000017775</v>
      </c>
      <c r="W24" s="376">
        <v>45310</v>
      </c>
      <c r="X24" s="106">
        <v>2490</v>
      </c>
      <c r="Y24" s="106">
        <v>24900</v>
      </c>
      <c r="Z24" s="106" t="s">
        <v>755</v>
      </c>
      <c r="AA24" s="106">
        <f t="shared" si="1"/>
        <v>0</v>
      </c>
      <c r="AB24" s="106">
        <f t="shared" si="2"/>
        <v>0</v>
      </c>
      <c r="AC24" s="94"/>
      <c r="AD24" s="94"/>
      <c r="AE24" s="94"/>
      <c r="AF24" s="94"/>
      <c r="AG24" s="94"/>
      <c r="AH24" s="263"/>
    </row>
    <row r="25" spans="1:34" ht="19.5" customHeight="1">
      <c r="A25" s="260"/>
      <c r="B25" s="264"/>
      <c r="C25" s="2"/>
      <c r="D25" s="2"/>
      <c r="E25" s="74">
        <v>10</v>
      </c>
      <c r="F25" s="74">
        <v>1300</v>
      </c>
      <c r="G25" s="45">
        <f t="shared" si="0"/>
        <v>13000</v>
      </c>
      <c r="H25" s="119" t="s">
        <v>37</v>
      </c>
      <c r="I25" s="128">
        <v>45299</v>
      </c>
      <c r="J25" s="74">
        <v>1300</v>
      </c>
      <c r="K25" s="74">
        <f>15+5</f>
        <v>20</v>
      </c>
      <c r="L25" s="156">
        <v>45299</v>
      </c>
      <c r="M25" s="90">
        <v>13000</v>
      </c>
      <c r="N25" s="90">
        <v>65</v>
      </c>
      <c r="O25" s="90"/>
      <c r="P25" s="94" t="s">
        <v>160</v>
      </c>
      <c r="Q25" s="94">
        <v>8500065867</v>
      </c>
      <c r="R25" s="94">
        <v>5000030755</v>
      </c>
      <c r="S25" s="74">
        <v>1300</v>
      </c>
      <c r="T25" s="90" t="s">
        <v>152</v>
      </c>
      <c r="U25" s="90">
        <v>8500065866</v>
      </c>
      <c r="V25" s="90">
        <v>5000030641</v>
      </c>
      <c r="W25" s="376" t="s">
        <v>2738</v>
      </c>
      <c r="X25" s="106">
        <f>100+1200</f>
        <v>1300</v>
      </c>
      <c r="Y25" s="106">
        <f>1000+12000</f>
        <v>13000</v>
      </c>
      <c r="Z25" s="106" t="s">
        <v>1429</v>
      </c>
      <c r="AA25" s="106">
        <f t="shared" si="1"/>
        <v>0</v>
      </c>
      <c r="AB25" s="106">
        <f t="shared" si="2"/>
        <v>0</v>
      </c>
      <c r="AC25" s="94"/>
      <c r="AD25" s="94"/>
      <c r="AE25" s="94"/>
      <c r="AF25" s="94"/>
      <c r="AG25" s="94"/>
      <c r="AH25" s="263"/>
    </row>
    <row r="26" spans="1:34" ht="19.5" customHeight="1">
      <c r="A26" s="260"/>
      <c r="B26" s="264"/>
      <c r="C26" s="2"/>
      <c r="D26" s="2"/>
      <c r="E26" s="74">
        <v>10</v>
      </c>
      <c r="F26" s="74">
        <v>280</v>
      </c>
      <c r="G26" s="45">
        <f t="shared" si="0"/>
        <v>2800</v>
      </c>
      <c r="H26" s="119" t="s">
        <v>146</v>
      </c>
      <c r="I26" s="128">
        <v>45301</v>
      </c>
      <c r="J26" s="158">
        <v>280</v>
      </c>
      <c r="K26" s="74">
        <f>4+1</f>
        <v>5</v>
      </c>
      <c r="L26" s="156">
        <v>45296</v>
      </c>
      <c r="M26" s="90">
        <v>2800</v>
      </c>
      <c r="N26" s="90">
        <v>14</v>
      </c>
      <c r="O26" s="90" t="s">
        <v>793</v>
      </c>
      <c r="P26" s="94" t="s">
        <v>160</v>
      </c>
      <c r="Q26" s="94">
        <v>8500065867</v>
      </c>
      <c r="R26" s="94">
        <v>5000038690</v>
      </c>
      <c r="S26" s="158">
        <v>280</v>
      </c>
      <c r="T26" s="90" t="s">
        <v>152</v>
      </c>
      <c r="U26" s="90">
        <v>8500065866</v>
      </c>
      <c r="V26" s="90">
        <v>5000017775</v>
      </c>
      <c r="W26" s="376">
        <v>45317</v>
      </c>
      <c r="X26" s="106">
        <f>100+180</f>
        <v>280</v>
      </c>
      <c r="Y26" s="106">
        <f>1000+1800</f>
        <v>2800</v>
      </c>
      <c r="Z26" s="106" t="s">
        <v>2666</v>
      </c>
      <c r="AA26" s="106">
        <f t="shared" si="1"/>
        <v>0</v>
      </c>
      <c r="AB26" s="106">
        <f t="shared" si="2"/>
        <v>0</v>
      </c>
      <c r="AC26" s="94"/>
      <c r="AD26" s="111"/>
      <c r="AE26" s="94"/>
      <c r="AF26" s="94"/>
      <c r="AG26" s="94"/>
      <c r="AH26" s="263"/>
    </row>
    <row r="27" spans="1:34" ht="19.5" customHeight="1">
      <c r="A27" s="272" t="s">
        <v>136</v>
      </c>
      <c r="B27" s="273">
        <v>6000027653</v>
      </c>
      <c r="C27" s="245" t="s">
        <v>137</v>
      </c>
      <c r="D27" s="245">
        <v>37039</v>
      </c>
      <c r="E27" s="218"/>
      <c r="F27" s="74"/>
      <c r="G27" s="45"/>
      <c r="H27" s="119"/>
      <c r="I27" s="128"/>
      <c r="J27" s="158"/>
      <c r="K27" s="74"/>
      <c r="L27" s="156"/>
      <c r="M27" s="90"/>
      <c r="N27" s="90"/>
      <c r="O27" s="90"/>
      <c r="P27" s="94" t="s">
        <v>895</v>
      </c>
      <c r="Q27" s="94"/>
      <c r="R27" s="94"/>
      <c r="S27" s="94"/>
      <c r="T27" s="90" t="s">
        <v>895</v>
      </c>
      <c r="U27" s="90">
        <v>8500065864</v>
      </c>
      <c r="V27" s="90">
        <v>5000136354</v>
      </c>
      <c r="W27" s="376"/>
      <c r="X27" s="106"/>
      <c r="Y27" s="106"/>
      <c r="Z27" s="106"/>
      <c r="AA27" s="106">
        <f t="shared" si="1"/>
        <v>0</v>
      </c>
      <c r="AB27" s="106">
        <f t="shared" si="2"/>
        <v>0</v>
      </c>
      <c r="AC27" s="94" t="s">
        <v>2812</v>
      </c>
      <c r="AD27" s="94"/>
      <c r="AE27" s="94"/>
      <c r="AF27" s="94"/>
      <c r="AG27" s="94"/>
      <c r="AH27" s="263"/>
    </row>
    <row r="28" spans="1:34" ht="19.5" customHeight="1">
      <c r="A28" s="260" t="s">
        <v>24</v>
      </c>
      <c r="B28" s="264">
        <v>6000027898</v>
      </c>
      <c r="C28" s="2" t="s">
        <v>771</v>
      </c>
      <c r="D28" s="2" t="s">
        <v>2365</v>
      </c>
      <c r="E28" s="74">
        <v>10</v>
      </c>
      <c r="F28" s="74">
        <v>3480</v>
      </c>
      <c r="G28" s="45">
        <f t="shared" si="0"/>
        <v>34800</v>
      </c>
      <c r="H28" s="119" t="s">
        <v>37</v>
      </c>
      <c r="I28" s="262" t="s">
        <v>2646</v>
      </c>
      <c r="J28" s="158">
        <f>2000+1480</f>
        <v>3480</v>
      </c>
      <c r="K28" s="74">
        <v>20</v>
      </c>
      <c r="L28" s="156" t="s">
        <v>2567</v>
      </c>
      <c r="M28" s="90">
        <f>24800+10000</f>
        <v>34800</v>
      </c>
      <c r="N28" s="90">
        <f>348+20</f>
        <v>368</v>
      </c>
      <c r="O28" s="90" t="s">
        <v>1784</v>
      </c>
      <c r="P28" s="94" t="s">
        <v>924</v>
      </c>
      <c r="Q28" s="94">
        <v>8500066057</v>
      </c>
      <c r="R28" s="94">
        <v>5000104178</v>
      </c>
      <c r="S28" s="158"/>
      <c r="T28" s="90" t="s">
        <v>1558</v>
      </c>
      <c r="U28" s="90">
        <v>8500066056</v>
      </c>
      <c r="V28" s="90">
        <v>5000048200</v>
      </c>
      <c r="W28" s="376" t="s">
        <v>2821</v>
      </c>
      <c r="X28" s="106">
        <v>3480</v>
      </c>
      <c r="Y28" s="106">
        <v>34800</v>
      </c>
      <c r="Z28" s="106" t="s">
        <v>2781</v>
      </c>
      <c r="AA28" s="106">
        <f t="shared" si="1"/>
        <v>0</v>
      </c>
      <c r="AB28" s="106">
        <f t="shared" si="2"/>
        <v>0</v>
      </c>
      <c r="AC28" s="94"/>
      <c r="AD28" s="94"/>
      <c r="AE28" s="94"/>
      <c r="AF28" s="94"/>
      <c r="AG28" s="94"/>
      <c r="AH28" s="263"/>
    </row>
    <row r="29" spans="1:34" ht="19.5" customHeight="1">
      <c r="A29" s="260" t="s">
        <v>24</v>
      </c>
      <c r="B29" s="264">
        <v>6000027899</v>
      </c>
      <c r="C29" s="2" t="s">
        <v>25</v>
      </c>
      <c r="D29" s="2" t="s">
        <v>2366</v>
      </c>
      <c r="E29" s="74">
        <v>10</v>
      </c>
      <c r="F29" s="74">
        <v>200</v>
      </c>
      <c r="G29" s="45">
        <f t="shared" si="0"/>
        <v>2000</v>
      </c>
      <c r="H29" s="119" t="s">
        <v>27</v>
      </c>
      <c r="I29" s="128">
        <v>45295</v>
      </c>
      <c r="J29" s="74">
        <v>200</v>
      </c>
      <c r="K29" s="74">
        <v>3</v>
      </c>
      <c r="L29" s="156">
        <v>45297</v>
      </c>
      <c r="M29" s="90">
        <v>2000</v>
      </c>
      <c r="N29" s="90">
        <f>20+20</f>
        <v>40</v>
      </c>
      <c r="O29" s="90" t="s">
        <v>1584</v>
      </c>
      <c r="P29" s="94" t="s">
        <v>28</v>
      </c>
      <c r="Q29" s="94">
        <v>8500066029</v>
      </c>
      <c r="R29" s="94">
        <v>5000012929</v>
      </c>
      <c r="S29" s="74">
        <v>200</v>
      </c>
      <c r="T29" s="90" t="s">
        <v>1558</v>
      </c>
      <c r="U29" s="90">
        <v>8500066027</v>
      </c>
      <c r="V29" s="90">
        <v>5000029470</v>
      </c>
      <c r="W29" s="376">
        <v>45330</v>
      </c>
      <c r="X29" s="106">
        <v>200</v>
      </c>
      <c r="Y29" s="106">
        <v>2000</v>
      </c>
      <c r="Z29" s="106" t="s">
        <v>803</v>
      </c>
      <c r="AA29" s="106">
        <f t="shared" si="1"/>
        <v>0</v>
      </c>
      <c r="AB29" s="106">
        <f t="shared" si="2"/>
        <v>0</v>
      </c>
      <c r="AC29" s="94"/>
      <c r="AD29" s="94"/>
      <c r="AE29" s="94"/>
      <c r="AF29" s="94"/>
      <c r="AG29" s="94"/>
      <c r="AH29" s="263"/>
    </row>
    <row r="30" spans="1:34" ht="19.5" customHeight="1">
      <c r="A30" s="260"/>
      <c r="B30" s="264"/>
      <c r="C30" s="2"/>
      <c r="D30" s="2"/>
      <c r="E30" s="74">
        <v>10</v>
      </c>
      <c r="F30" s="74">
        <v>1900</v>
      </c>
      <c r="G30" s="45">
        <f t="shared" si="0"/>
        <v>19000</v>
      </c>
      <c r="H30" s="119" t="s">
        <v>37</v>
      </c>
      <c r="I30" s="128">
        <v>45295</v>
      </c>
      <c r="J30" s="74">
        <v>1900</v>
      </c>
      <c r="K30" s="74">
        <v>21</v>
      </c>
      <c r="L30" s="156" t="s">
        <v>2499</v>
      </c>
      <c r="M30" s="90">
        <f>15700+3300</f>
        <v>19000</v>
      </c>
      <c r="N30" s="90">
        <f>190+30</f>
        <v>220</v>
      </c>
      <c r="O30" s="90" t="s">
        <v>2500</v>
      </c>
      <c r="P30" s="94" t="s">
        <v>28</v>
      </c>
      <c r="Q30" s="94">
        <v>8500066029</v>
      </c>
      <c r="R30" s="94">
        <v>5000012929</v>
      </c>
      <c r="S30" s="74">
        <v>1900</v>
      </c>
      <c r="T30" s="90" t="s">
        <v>1558</v>
      </c>
      <c r="U30" s="90">
        <v>8500066027</v>
      </c>
      <c r="V30" s="90">
        <v>5000033718</v>
      </c>
      <c r="W30" s="376">
        <v>45328</v>
      </c>
      <c r="X30" s="106">
        <v>1900</v>
      </c>
      <c r="Y30" s="106">
        <v>19000</v>
      </c>
      <c r="Z30" s="106" t="s">
        <v>35</v>
      </c>
      <c r="AA30" s="106">
        <f t="shared" si="1"/>
        <v>0</v>
      </c>
      <c r="AB30" s="106">
        <f t="shared" si="2"/>
        <v>0</v>
      </c>
      <c r="AC30" s="94"/>
      <c r="AD30" s="94"/>
      <c r="AE30" s="94"/>
      <c r="AF30" s="94"/>
      <c r="AG30" s="94"/>
      <c r="AH30" s="263"/>
    </row>
    <row r="31" spans="1:34" ht="19.5" customHeight="1">
      <c r="A31" s="260" t="s">
        <v>24</v>
      </c>
      <c r="B31" s="264">
        <v>6000027900</v>
      </c>
      <c r="C31" s="2" t="s">
        <v>771</v>
      </c>
      <c r="D31" s="2" t="s">
        <v>2367</v>
      </c>
      <c r="E31" s="74">
        <v>10</v>
      </c>
      <c r="F31" s="74">
        <v>2920</v>
      </c>
      <c r="G31" s="45">
        <f t="shared" si="0"/>
        <v>29200</v>
      </c>
      <c r="H31" s="119" t="s">
        <v>37</v>
      </c>
      <c r="I31" s="262">
        <v>45315</v>
      </c>
      <c r="J31" s="158">
        <v>2920</v>
      </c>
      <c r="K31" s="74">
        <v>20</v>
      </c>
      <c r="L31" s="156" t="s">
        <v>2569</v>
      </c>
      <c r="M31" s="90">
        <f>29000+200</f>
        <v>29200</v>
      </c>
      <c r="N31" s="90">
        <f>292+28</f>
        <v>320</v>
      </c>
      <c r="O31" s="90" t="s">
        <v>2568</v>
      </c>
      <c r="P31" s="94" t="s">
        <v>924</v>
      </c>
      <c r="Q31" s="94">
        <v>8500066055</v>
      </c>
      <c r="R31" s="94">
        <v>5000104179</v>
      </c>
      <c r="S31" s="158"/>
      <c r="T31" s="90" t="s">
        <v>1558</v>
      </c>
      <c r="U31" s="90">
        <v>8500066054</v>
      </c>
      <c r="V31" s="90">
        <v>5000064681</v>
      </c>
      <c r="W31" s="376">
        <v>45335</v>
      </c>
      <c r="X31" s="106">
        <v>2920</v>
      </c>
      <c r="Y31" s="106">
        <v>29200</v>
      </c>
      <c r="Z31" s="106" t="s">
        <v>927</v>
      </c>
      <c r="AA31" s="106">
        <f t="shared" si="1"/>
        <v>0</v>
      </c>
      <c r="AB31" s="106">
        <f t="shared" si="2"/>
        <v>0</v>
      </c>
      <c r="AC31" s="94"/>
      <c r="AD31" s="94"/>
      <c r="AE31" s="94"/>
      <c r="AF31" s="94"/>
      <c r="AG31" s="94"/>
      <c r="AH31" s="263"/>
    </row>
    <row r="32" spans="1:34" ht="19.5" customHeight="1">
      <c r="A32" s="260" t="s">
        <v>24</v>
      </c>
      <c r="B32" s="264">
        <v>6000027901</v>
      </c>
      <c r="C32" s="2" t="s">
        <v>25</v>
      </c>
      <c r="D32" s="2" t="s">
        <v>2368</v>
      </c>
      <c r="E32" s="74">
        <v>10</v>
      </c>
      <c r="F32" s="74">
        <v>2100</v>
      </c>
      <c r="G32" s="45">
        <f t="shared" si="0"/>
        <v>21000</v>
      </c>
      <c r="H32" s="119" t="s">
        <v>46</v>
      </c>
      <c r="I32" s="128">
        <v>45296</v>
      </c>
      <c r="J32" s="158">
        <v>2100</v>
      </c>
      <c r="K32" s="74">
        <v>25</v>
      </c>
      <c r="L32" s="156" t="s">
        <v>2437</v>
      </c>
      <c r="M32" s="90">
        <f>13300+7700</f>
        <v>21000</v>
      </c>
      <c r="N32" s="90">
        <f>210+20</f>
        <v>230</v>
      </c>
      <c r="O32" s="90" t="s">
        <v>2429</v>
      </c>
      <c r="P32" s="94" t="s">
        <v>28</v>
      </c>
      <c r="Q32" s="94">
        <v>8500066031</v>
      </c>
      <c r="R32" s="94">
        <v>5000017014</v>
      </c>
      <c r="S32" s="158">
        <v>2100</v>
      </c>
      <c r="T32" s="90" t="s">
        <v>1558</v>
      </c>
      <c r="U32" s="90">
        <v>8500066030</v>
      </c>
      <c r="V32" s="90">
        <v>5000029475</v>
      </c>
      <c r="W32" s="376">
        <v>45300</v>
      </c>
      <c r="X32" s="106">
        <v>2100</v>
      </c>
      <c r="Y32" s="106">
        <v>21000</v>
      </c>
      <c r="Z32" s="106" t="s">
        <v>2456</v>
      </c>
      <c r="AA32" s="106">
        <f t="shared" si="1"/>
        <v>0</v>
      </c>
      <c r="AB32" s="106">
        <f t="shared" si="2"/>
        <v>0</v>
      </c>
      <c r="AC32" s="94"/>
      <c r="AD32" s="94"/>
      <c r="AE32" s="94"/>
      <c r="AF32" s="94"/>
      <c r="AG32" s="94"/>
      <c r="AH32" s="263"/>
    </row>
    <row r="33" spans="1:34" ht="19.5" customHeight="1">
      <c r="A33" s="260" t="s">
        <v>24</v>
      </c>
      <c r="B33" s="264">
        <v>6000027902</v>
      </c>
      <c r="C33" s="2" t="s">
        <v>25</v>
      </c>
      <c r="D33" s="2" t="s">
        <v>2369</v>
      </c>
      <c r="E33" s="74">
        <v>10</v>
      </c>
      <c r="F33" s="261">
        <v>2100</v>
      </c>
      <c r="G33" s="45">
        <f t="shared" si="0"/>
        <v>21000</v>
      </c>
      <c r="H33" s="119" t="s">
        <v>27</v>
      </c>
      <c r="I33" s="128">
        <v>45294</v>
      </c>
      <c r="J33" s="261">
        <v>2100</v>
      </c>
      <c r="K33" s="74">
        <v>22</v>
      </c>
      <c r="L33" s="156">
        <v>45303</v>
      </c>
      <c r="M33" s="90">
        <v>21000</v>
      </c>
      <c r="N33" s="90">
        <f>210+20</f>
        <v>230</v>
      </c>
      <c r="O33" s="90"/>
      <c r="P33" s="94" t="s">
        <v>28</v>
      </c>
      <c r="Q33" s="94">
        <v>8500066023</v>
      </c>
      <c r="R33" s="94">
        <v>5000012726</v>
      </c>
      <c r="S33" s="261">
        <v>2100</v>
      </c>
      <c r="T33" s="90" t="s">
        <v>1558</v>
      </c>
      <c r="U33" s="90">
        <v>8500066022</v>
      </c>
      <c r="V33" s="90">
        <v>5000048007</v>
      </c>
      <c r="W33" s="376">
        <v>45304</v>
      </c>
      <c r="X33" s="106">
        <v>2100</v>
      </c>
      <c r="Y33" s="106">
        <v>21000</v>
      </c>
      <c r="Z33" s="106" t="s">
        <v>803</v>
      </c>
      <c r="AA33" s="106">
        <f t="shared" si="1"/>
        <v>0</v>
      </c>
      <c r="AB33" s="106">
        <f t="shared" si="2"/>
        <v>0</v>
      </c>
      <c r="AC33" s="94"/>
      <c r="AD33" s="94"/>
      <c r="AE33" s="94"/>
      <c r="AF33" s="94"/>
      <c r="AG33" s="94"/>
      <c r="AH33" s="263"/>
    </row>
    <row r="34" spans="1:34" ht="19.5" customHeight="1">
      <c r="A34" s="260" t="s">
        <v>24</v>
      </c>
      <c r="B34" s="264">
        <v>6000027903</v>
      </c>
      <c r="C34" s="2" t="s">
        <v>25</v>
      </c>
      <c r="D34" s="2" t="s">
        <v>2370</v>
      </c>
      <c r="E34" s="74">
        <v>10</v>
      </c>
      <c r="F34" s="261">
        <v>2100</v>
      </c>
      <c r="G34" s="45">
        <f t="shared" ref="G34:G43" si="3">F34*E34</f>
        <v>21000</v>
      </c>
      <c r="H34" s="119" t="s">
        <v>27</v>
      </c>
      <c r="I34" s="128">
        <v>45295</v>
      </c>
      <c r="J34" s="74">
        <v>2100</v>
      </c>
      <c r="K34" s="74">
        <v>25</v>
      </c>
      <c r="L34" s="156">
        <v>45303</v>
      </c>
      <c r="M34" s="90">
        <f>10200+10800</f>
        <v>21000</v>
      </c>
      <c r="N34" s="90">
        <f>210+20</f>
        <v>230</v>
      </c>
      <c r="O34" s="90" t="s">
        <v>2502</v>
      </c>
      <c r="P34" s="94" t="s">
        <v>28</v>
      </c>
      <c r="Q34" s="94">
        <v>8500066025</v>
      </c>
      <c r="R34" s="94">
        <v>5000012960</v>
      </c>
      <c r="S34" s="74">
        <v>2100</v>
      </c>
      <c r="T34" s="90" t="s">
        <v>1558</v>
      </c>
      <c r="U34" s="90">
        <v>8500066024</v>
      </c>
      <c r="V34" s="90">
        <v>5000051438</v>
      </c>
      <c r="W34" s="376">
        <v>45316</v>
      </c>
      <c r="X34" s="106">
        <v>2100</v>
      </c>
      <c r="Y34" s="106">
        <v>21000</v>
      </c>
      <c r="Z34" s="106" t="s">
        <v>803</v>
      </c>
      <c r="AA34" s="106">
        <f t="shared" si="1"/>
        <v>0</v>
      </c>
      <c r="AB34" s="106">
        <f t="shared" si="2"/>
        <v>0</v>
      </c>
      <c r="AC34" s="94"/>
      <c r="AD34" s="94"/>
      <c r="AE34" s="94"/>
      <c r="AF34" s="94"/>
      <c r="AG34" s="94"/>
      <c r="AH34" s="263"/>
    </row>
    <row r="35" spans="1:34" ht="19.5" customHeight="1">
      <c r="A35" s="260" t="s">
        <v>24</v>
      </c>
      <c r="B35" s="264">
        <v>6000027904</v>
      </c>
      <c r="C35" s="2" t="s">
        <v>25</v>
      </c>
      <c r="D35" s="2" t="s">
        <v>2371</v>
      </c>
      <c r="E35" s="74">
        <v>10</v>
      </c>
      <c r="F35" s="261">
        <v>2100</v>
      </c>
      <c r="G35" s="45">
        <f t="shared" si="3"/>
        <v>21000</v>
      </c>
      <c r="H35" s="119" t="s">
        <v>46</v>
      </c>
      <c r="I35" s="128">
        <v>45296</v>
      </c>
      <c r="J35" s="74">
        <v>2100</v>
      </c>
      <c r="K35" s="74">
        <v>25</v>
      </c>
      <c r="L35" s="156">
        <v>45297</v>
      </c>
      <c r="M35" s="90">
        <f>16200+4800</f>
        <v>21000</v>
      </c>
      <c r="N35" s="90">
        <v>230</v>
      </c>
      <c r="O35" s="90" t="s">
        <v>2438</v>
      </c>
      <c r="P35" s="94" t="s">
        <v>28</v>
      </c>
      <c r="Q35" s="94">
        <v>8500066028</v>
      </c>
      <c r="R35" s="94">
        <v>5000017013</v>
      </c>
      <c r="S35" s="74">
        <v>2100</v>
      </c>
      <c r="T35" s="90" t="s">
        <v>1558</v>
      </c>
      <c r="U35" s="90">
        <v>8500066026</v>
      </c>
      <c r="V35" s="90"/>
      <c r="W35" s="376">
        <v>45310</v>
      </c>
      <c r="X35" s="106">
        <v>2100</v>
      </c>
      <c r="Y35" s="106">
        <v>21000</v>
      </c>
      <c r="Z35" s="106" t="s">
        <v>817</v>
      </c>
      <c r="AA35" s="106">
        <f t="shared" si="1"/>
        <v>0</v>
      </c>
      <c r="AB35" s="106">
        <f t="shared" si="2"/>
        <v>0</v>
      </c>
      <c r="AC35" s="94"/>
      <c r="AD35" s="94"/>
      <c r="AE35" s="94"/>
      <c r="AF35" s="94"/>
      <c r="AG35" s="94"/>
      <c r="AH35" s="263"/>
    </row>
    <row r="36" spans="1:34" ht="19.5" customHeight="1">
      <c r="A36" s="260" t="s">
        <v>24</v>
      </c>
      <c r="B36" s="264">
        <v>6000027905</v>
      </c>
      <c r="C36" s="2" t="s">
        <v>25</v>
      </c>
      <c r="D36" s="2" t="s">
        <v>2372</v>
      </c>
      <c r="E36" s="74">
        <v>10</v>
      </c>
      <c r="F36" s="261">
        <v>2100</v>
      </c>
      <c r="G36" s="45">
        <f t="shared" si="3"/>
        <v>21000</v>
      </c>
      <c r="H36" s="119" t="s">
        <v>27</v>
      </c>
      <c r="I36" s="128">
        <v>45299</v>
      </c>
      <c r="J36" s="158">
        <v>2100</v>
      </c>
      <c r="K36" s="74">
        <v>25</v>
      </c>
      <c r="L36" s="156" t="s">
        <v>2569</v>
      </c>
      <c r="M36" s="90">
        <f>15600+5400</f>
        <v>21000</v>
      </c>
      <c r="N36" s="90">
        <f>210+20</f>
        <v>230</v>
      </c>
      <c r="O36" s="90"/>
      <c r="P36" s="94" t="s">
        <v>28</v>
      </c>
      <c r="Q36" s="94">
        <v>8500066049</v>
      </c>
      <c r="R36" s="94">
        <v>5000030858</v>
      </c>
      <c r="S36" s="158">
        <v>2100</v>
      </c>
      <c r="T36" s="90" t="s">
        <v>1558</v>
      </c>
      <c r="U36" s="90">
        <v>8500066045</v>
      </c>
      <c r="V36" s="90">
        <v>5000064683</v>
      </c>
      <c r="W36" s="376">
        <v>45322</v>
      </c>
      <c r="X36" s="106">
        <v>2100</v>
      </c>
      <c r="Y36" s="106">
        <v>21000</v>
      </c>
      <c r="Z36" s="106" t="s">
        <v>2746</v>
      </c>
      <c r="AA36" s="106">
        <f t="shared" si="1"/>
        <v>0</v>
      </c>
      <c r="AB36" s="106">
        <f t="shared" si="2"/>
        <v>0</v>
      </c>
      <c r="AC36" s="94"/>
      <c r="AD36" s="94"/>
      <c r="AE36" s="94"/>
      <c r="AF36" s="94"/>
      <c r="AG36" s="94"/>
      <c r="AH36" s="263"/>
    </row>
    <row r="37" spans="1:34" ht="29.25" customHeight="1">
      <c r="A37" s="260" t="s">
        <v>24</v>
      </c>
      <c r="B37" s="264">
        <v>6000027906</v>
      </c>
      <c r="C37" s="2" t="s">
        <v>25</v>
      </c>
      <c r="D37" s="2" t="s">
        <v>2373</v>
      </c>
      <c r="E37" s="74">
        <v>10</v>
      </c>
      <c r="F37" s="261">
        <v>2100</v>
      </c>
      <c r="G37" s="45">
        <f t="shared" si="3"/>
        <v>21000</v>
      </c>
      <c r="H37" s="119" t="s">
        <v>37</v>
      </c>
      <c r="I37" s="262">
        <v>45307</v>
      </c>
      <c r="J37" s="158">
        <v>2100</v>
      </c>
      <c r="K37" s="74">
        <v>24</v>
      </c>
      <c r="L37" s="156">
        <v>45307</v>
      </c>
      <c r="M37" s="90">
        <v>21000</v>
      </c>
      <c r="N37" s="90">
        <v>230</v>
      </c>
      <c r="O37" s="90" t="s">
        <v>1848</v>
      </c>
      <c r="P37" s="94" t="s">
        <v>28</v>
      </c>
      <c r="Q37" s="94">
        <v>8500066035</v>
      </c>
      <c r="R37" s="94">
        <v>5000064566</v>
      </c>
      <c r="S37" s="158">
        <v>2100</v>
      </c>
      <c r="T37" s="90" t="s">
        <v>1558</v>
      </c>
      <c r="U37" s="90">
        <v>8500066032</v>
      </c>
      <c r="V37" s="90">
        <v>5000064743</v>
      </c>
      <c r="W37" s="376" t="s">
        <v>2783</v>
      </c>
      <c r="X37" s="106">
        <f>150+1000+950</f>
        <v>2100</v>
      </c>
      <c r="Y37" s="106">
        <f>1500+10000+9500</f>
        <v>21000</v>
      </c>
      <c r="Z37" s="106" t="s">
        <v>2784</v>
      </c>
      <c r="AA37" s="106">
        <f t="shared" si="1"/>
        <v>0</v>
      </c>
      <c r="AB37" s="106">
        <f t="shared" si="2"/>
        <v>0</v>
      </c>
      <c r="AC37" s="111" t="s">
        <v>2804</v>
      </c>
      <c r="AD37" s="94"/>
      <c r="AE37" s="94"/>
      <c r="AF37" s="94"/>
      <c r="AG37" s="94"/>
      <c r="AH37" s="263"/>
    </row>
    <row r="38" spans="1:34" ht="30.75" customHeight="1">
      <c r="A38" s="260" t="s">
        <v>24</v>
      </c>
      <c r="B38" s="264">
        <v>6000027907</v>
      </c>
      <c r="C38" s="2" t="s">
        <v>25</v>
      </c>
      <c r="D38" s="2" t="s">
        <v>2374</v>
      </c>
      <c r="E38" s="74">
        <v>10</v>
      </c>
      <c r="F38" s="261">
        <v>2100</v>
      </c>
      <c r="G38" s="45">
        <f t="shared" si="3"/>
        <v>21000</v>
      </c>
      <c r="H38" s="119" t="s">
        <v>27</v>
      </c>
      <c r="I38" s="128" t="s">
        <v>2446</v>
      </c>
      <c r="J38" s="158">
        <f>1724+376</f>
        <v>2100</v>
      </c>
      <c r="K38" s="74">
        <f>22+2</f>
        <v>24</v>
      </c>
      <c r="L38" s="156">
        <v>45304</v>
      </c>
      <c r="M38" s="90">
        <v>21000</v>
      </c>
      <c r="N38" s="90">
        <f>210+20</f>
        <v>230</v>
      </c>
      <c r="O38" s="90" t="s">
        <v>1439</v>
      </c>
      <c r="P38" s="94" t="s">
        <v>28</v>
      </c>
      <c r="Q38" s="94">
        <v>8500066039</v>
      </c>
      <c r="R38" s="94">
        <v>5000030856</v>
      </c>
      <c r="S38" s="158">
        <f>1724+376</f>
        <v>2100</v>
      </c>
      <c r="T38" s="90" t="s">
        <v>1558</v>
      </c>
      <c r="U38" s="90">
        <v>8500066038</v>
      </c>
      <c r="V38" s="90">
        <v>5000053191</v>
      </c>
      <c r="W38" s="376" t="s">
        <v>2795</v>
      </c>
      <c r="X38" s="106">
        <f>500+1600</f>
        <v>2100</v>
      </c>
      <c r="Y38" s="106">
        <f>5000+16000</f>
        <v>21000</v>
      </c>
      <c r="Z38" s="106" t="s">
        <v>2796</v>
      </c>
      <c r="AA38" s="106">
        <f t="shared" si="1"/>
        <v>0</v>
      </c>
      <c r="AB38" s="106">
        <f t="shared" si="2"/>
        <v>0</v>
      </c>
      <c r="AC38" s="111"/>
      <c r="AD38" s="94"/>
      <c r="AE38" s="94"/>
      <c r="AF38" s="94"/>
      <c r="AG38" s="94"/>
      <c r="AH38" s="263"/>
    </row>
    <row r="39" spans="1:34" ht="19.5" customHeight="1">
      <c r="A39" s="260" t="s">
        <v>24</v>
      </c>
      <c r="B39" s="264">
        <v>6000027908</v>
      </c>
      <c r="C39" s="2" t="s">
        <v>25</v>
      </c>
      <c r="D39" s="2" t="s">
        <v>2375</v>
      </c>
      <c r="E39" s="74">
        <v>10</v>
      </c>
      <c r="F39" s="261">
        <v>2100</v>
      </c>
      <c r="G39" s="45">
        <f t="shared" si="3"/>
        <v>21000</v>
      </c>
      <c r="H39" s="119" t="s">
        <v>46</v>
      </c>
      <c r="I39" s="128">
        <v>45296</v>
      </c>
      <c r="J39" s="74">
        <v>2100</v>
      </c>
      <c r="K39" s="74">
        <v>25</v>
      </c>
      <c r="L39" s="156">
        <v>45303</v>
      </c>
      <c r="M39" s="90">
        <f>5000+16000</f>
        <v>21000</v>
      </c>
      <c r="N39" s="90">
        <f>210+20</f>
        <v>230</v>
      </c>
      <c r="O39" s="90" t="s">
        <v>1547</v>
      </c>
      <c r="P39" s="94" t="s">
        <v>28</v>
      </c>
      <c r="Q39" s="94">
        <v>8500066046</v>
      </c>
      <c r="R39" s="94">
        <v>5000017016</v>
      </c>
      <c r="S39" s="74">
        <v>2100</v>
      </c>
      <c r="T39" s="90" t="s">
        <v>1558</v>
      </c>
      <c r="U39" s="90">
        <v>8500066043</v>
      </c>
      <c r="V39" s="90">
        <v>5000048008</v>
      </c>
      <c r="W39" s="376">
        <v>45304</v>
      </c>
      <c r="X39" s="106">
        <v>2100</v>
      </c>
      <c r="Y39" s="106">
        <v>21000</v>
      </c>
      <c r="Z39" s="106" t="s">
        <v>817</v>
      </c>
      <c r="AA39" s="106">
        <f t="shared" si="1"/>
        <v>0</v>
      </c>
      <c r="AB39" s="106">
        <f t="shared" si="2"/>
        <v>0</v>
      </c>
      <c r="AC39" s="111"/>
      <c r="AD39" s="94"/>
      <c r="AE39" s="94"/>
      <c r="AF39" s="94"/>
      <c r="AG39" s="94"/>
      <c r="AH39" s="263"/>
    </row>
    <row r="40" spans="1:34" ht="19.5" customHeight="1">
      <c r="A40" s="260" t="s">
        <v>24</v>
      </c>
      <c r="B40" s="264">
        <v>6000027909</v>
      </c>
      <c r="C40" s="2" t="s">
        <v>25</v>
      </c>
      <c r="D40" s="2" t="s">
        <v>2376</v>
      </c>
      <c r="E40" s="74">
        <v>10</v>
      </c>
      <c r="F40" s="261">
        <v>2100</v>
      </c>
      <c r="G40" s="45">
        <f t="shared" si="3"/>
        <v>21000</v>
      </c>
      <c r="H40" s="119" t="s">
        <v>27</v>
      </c>
      <c r="I40" s="128">
        <v>45299</v>
      </c>
      <c r="J40" s="74">
        <v>2100</v>
      </c>
      <c r="K40" s="74">
        <f>22+2</f>
        <v>24</v>
      </c>
      <c r="L40" s="156">
        <v>45306</v>
      </c>
      <c r="M40" s="90">
        <f>10200+10800</f>
        <v>21000</v>
      </c>
      <c r="N40" s="90">
        <f>210+20</f>
        <v>230</v>
      </c>
      <c r="O40" s="90" t="s">
        <v>741</v>
      </c>
      <c r="P40" s="94" t="s">
        <v>28</v>
      </c>
      <c r="Q40" s="94">
        <v>8500066034</v>
      </c>
      <c r="R40" s="94">
        <v>5000030855</v>
      </c>
      <c r="S40" s="74">
        <v>2100</v>
      </c>
      <c r="T40" s="90" t="s">
        <v>1558</v>
      </c>
      <c r="U40" s="90">
        <v>8500066033</v>
      </c>
      <c r="V40" s="90">
        <v>5000061170</v>
      </c>
      <c r="W40" s="376">
        <v>45311</v>
      </c>
      <c r="X40" s="106">
        <v>2100</v>
      </c>
      <c r="Y40" s="106">
        <v>21000</v>
      </c>
      <c r="Z40" s="106" t="s">
        <v>803</v>
      </c>
      <c r="AA40" s="106">
        <f t="shared" si="1"/>
        <v>0</v>
      </c>
      <c r="AB40" s="106">
        <f t="shared" si="2"/>
        <v>0</v>
      </c>
      <c r="AC40" s="111"/>
      <c r="AD40" s="94"/>
      <c r="AE40" s="94"/>
      <c r="AF40" s="94"/>
      <c r="AG40" s="94"/>
      <c r="AH40" s="263"/>
    </row>
    <row r="41" spans="1:34" ht="19.5" customHeight="1">
      <c r="A41" s="260" t="s">
        <v>24</v>
      </c>
      <c r="B41" s="264">
        <v>6000027910</v>
      </c>
      <c r="C41" s="2" t="s">
        <v>25</v>
      </c>
      <c r="D41" s="2" t="s">
        <v>2377</v>
      </c>
      <c r="E41" s="74">
        <v>10</v>
      </c>
      <c r="F41" s="74">
        <v>400</v>
      </c>
      <c r="G41" s="45">
        <f t="shared" si="3"/>
        <v>4000</v>
      </c>
      <c r="H41" s="119" t="s">
        <v>27</v>
      </c>
      <c r="I41" s="128">
        <v>45308</v>
      </c>
      <c r="J41" s="74">
        <v>400</v>
      </c>
      <c r="K41" s="74">
        <v>4</v>
      </c>
      <c r="L41" s="156">
        <v>45307</v>
      </c>
      <c r="M41" s="90">
        <v>4000</v>
      </c>
      <c r="N41" s="90">
        <v>60</v>
      </c>
      <c r="O41" s="90" t="s">
        <v>2107</v>
      </c>
      <c r="P41" s="94" t="s">
        <v>28</v>
      </c>
      <c r="Q41" s="94">
        <v>8500066037</v>
      </c>
      <c r="R41" s="94">
        <v>5000069095</v>
      </c>
      <c r="S41" s="94">
        <v>400</v>
      </c>
      <c r="T41" s="90" t="s">
        <v>1558</v>
      </c>
      <c r="U41" s="90">
        <v>8500066036</v>
      </c>
      <c r="V41" s="90">
        <v>5000064775</v>
      </c>
      <c r="W41" s="376">
        <v>45325</v>
      </c>
      <c r="X41" s="106">
        <v>400</v>
      </c>
      <c r="Y41" s="106">
        <v>4000</v>
      </c>
      <c r="Z41" s="106" t="s">
        <v>2746</v>
      </c>
      <c r="AA41" s="106">
        <f t="shared" si="1"/>
        <v>0</v>
      </c>
      <c r="AB41" s="106">
        <f t="shared" si="2"/>
        <v>0</v>
      </c>
      <c r="AC41" s="111"/>
      <c r="AD41" s="94"/>
      <c r="AE41" s="94"/>
      <c r="AF41" s="94"/>
      <c r="AG41" s="94"/>
      <c r="AH41" s="263"/>
    </row>
    <row r="42" spans="1:34" ht="18.75" customHeight="1">
      <c r="A42" s="260"/>
      <c r="B42" s="264"/>
      <c r="C42" s="2"/>
      <c r="D42" s="2"/>
      <c r="E42" s="74">
        <v>10</v>
      </c>
      <c r="F42" s="74">
        <v>1700</v>
      </c>
      <c r="G42" s="45">
        <f t="shared" si="3"/>
        <v>17000</v>
      </c>
      <c r="H42" s="119" t="s">
        <v>46</v>
      </c>
      <c r="I42" s="128">
        <v>45308</v>
      </c>
      <c r="J42" s="74">
        <v>1700</v>
      </c>
      <c r="K42" s="74">
        <v>20</v>
      </c>
      <c r="L42" s="156">
        <v>45307</v>
      </c>
      <c r="M42" s="90">
        <v>17000</v>
      </c>
      <c r="N42" s="90">
        <v>190</v>
      </c>
      <c r="O42" s="90" t="s">
        <v>2429</v>
      </c>
      <c r="P42" s="94" t="s">
        <v>28</v>
      </c>
      <c r="Q42" s="94">
        <v>8500066037</v>
      </c>
      <c r="R42" s="94">
        <v>5000069095</v>
      </c>
      <c r="S42" s="74">
        <v>1700</v>
      </c>
      <c r="T42" s="90" t="s">
        <v>1558</v>
      </c>
      <c r="U42" s="90">
        <v>8500066036</v>
      </c>
      <c r="V42" s="90">
        <v>5000064775</v>
      </c>
      <c r="W42" s="376" t="s">
        <v>2751</v>
      </c>
      <c r="X42" s="106">
        <f>1000+700</f>
        <v>1700</v>
      </c>
      <c r="Y42" s="106">
        <f>10000+7000</f>
        <v>17000</v>
      </c>
      <c r="Z42" s="106" t="s">
        <v>2752</v>
      </c>
      <c r="AA42" s="106">
        <f t="shared" si="1"/>
        <v>0</v>
      </c>
      <c r="AB42" s="106">
        <f t="shared" si="2"/>
        <v>0</v>
      </c>
      <c r="AC42" s="111"/>
      <c r="AD42" s="94"/>
      <c r="AE42" s="94"/>
      <c r="AF42" s="94"/>
      <c r="AG42" s="94"/>
      <c r="AH42" s="263"/>
    </row>
    <row r="43" spans="1:34" ht="19.5" customHeight="1">
      <c r="A43" s="260" t="s">
        <v>24</v>
      </c>
      <c r="B43" s="264">
        <v>6000027911</v>
      </c>
      <c r="C43" s="2" t="s">
        <v>25</v>
      </c>
      <c r="D43" s="2" t="s">
        <v>2378</v>
      </c>
      <c r="E43" s="74">
        <v>10</v>
      </c>
      <c r="F43" s="261">
        <v>2100</v>
      </c>
      <c r="G43" s="45">
        <f t="shared" si="3"/>
        <v>21000</v>
      </c>
      <c r="H43" s="119" t="s">
        <v>27</v>
      </c>
      <c r="I43" s="128">
        <v>45308</v>
      </c>
      <c r="J43" s="74">
        <v>2100</v>
      </c>
      <c r="K43" s="74">
        <v>23</v>
      </c>
      <c r="L43" s="156">
        <v>45307</v>
      </c>
      <c r="M43" s="90">
        <v>21000</v>
      </c>
      <c r="N43" s="90">
        <v>230</v>
      </c>
      <c r="O43" s="90" t="s">
        <v>1848</v>
      </c>
      <c r="P43" s="94" t="s">
        <v>28</v>
      </c>
      <c r="Q43" s="94">
        <v>8500066041</v>
      </c>
      <c r="R43" s="94">
        <v>5000069086</v>
      </c>
      <c r="S43" s="261">
        <v>2100</v>
      </c>
      <c r="T43" s="90" t="s">
        <v>1558</v>
      </c>
      <c r="U43" s="90">
        <v>8500066040</v>
      </c>
      <c r="V43" s="90">
        <v>5000064685</v>
      </c>
      <c r="W43" s="376">
        <v>45329</v>
      </c>
      <c r="X43" s="106">
        <v>2100</v>
      </c>
      <c r="Y43" s="106">
        <v>21000</v>
      </c>
      <c r="Z43" s="106" t="s">
        <v>2815</v>
      </c>
      <c r="AA43" s="106">
        <f t="shared" si="1"/>
        <v>0</v>
      </c>
      <c r="AB43" s="106">
        <f t="shared" si="2"/>
        <v>0</v>
      </c>
      <c r="AC43" s="111"/>
      <c r="AD43" s="94"/>
      <c r="AE43" s="94"/>
      <c r="AF43" s="94"/>
      <c r="AG43" s="94"/>
      <c r="AH43" s="263"/>
    </row>
    <row r="44" spans="1:34" ht="19.5" customHeight="1">
      <c r="A44" s="260" t="s">
        <v>24</v>
      </c>
      <c r="B44" s="264">
        <v>6000027912</v>
      </c>
      <c r="C44" s="2" t="s">
        <v>25</v>
      </c>
      <c r="D44" s="2" t="s">
        <v>2379</v>
      </c>
      <c r="E44" s="74">
        <v>10</v>
      </c>
      <c r="F44" s="261">
        <v>2100</v>
      </c>
      <c r="G44" s="45">
        <f t="shared" ref="G44:G109" si="4">F44*E44</f>
        <v>21000</v>
      </c>
      <c r="H44" s="119" t="s">
        <v>27</v>
      </c>
      <c r="I44" s="128">
        <v>45307</v>
      </c>
      <c r="J44" s="74">
        <v>2100</v>
      </c>
      <c r="K44" s="74">
        <v>23</v>
      </c>
      <c r="L44" s="156" t="s">
        <v>2571</v>
      </c>
      <c r="M44" s="90">
        <f>13200+7800</f>
        <v>21000</v>
      </c>
      <c r="N44" s="90">
        <f>210+20</f>
        <v>230</v>
      </c>
      <c r="O44" s="90" t="s">
        <v>2525</v>
      </c>
      <c r="P44" s="94" t="s">
        <v>28</v>
      </c>
      <c r="Q44" s="94">
        <v>8500066044</v>
      </c>
      <c r="R44" s="94">
        <v>5000064563</v>
      </c>
      <c r="S44" s="261">
        <v>2100</v>
      </c>
      <c r="T44" s="90" t="s">
        <v>1558</v>
      </c>
      <c r="U44" s="90">
        <v>8500066042</v>
      </c>
      <c r="V44" s="90">
        <v>5000064740</v>
      </c>
      <c r="W44" s="376">
        <v>45330</v>
      </c>
      <c r="X44" s="106">
        <v>2100</v>
      </c>
      <c r="Y44" s="106">
        <v>21000</v>
      </c>
      <c r="Z44" s="106" t="s">
        <v>2817</v>
      </c>
      <c r="AA44" s="106">
        <f t="shared" si="1"/>
        <v>0</v>
      </c>
      <c r="AB44" s="106">
        <f t="shared" si="2"/>
        <v>0</v>
      </c>
      <c r="AC44" s="94"/>
      <c r="AD44" s="94"/>
      <c r="AE44" s="94"/>
      <c r="AF44" s="94"/>
      <c r="AG44" s="94"/>
      <c r="AH44" s="263"/>
    </row>
    <row r="45" spans="1:34" ht="19.5" customHeight="1">
      <c r="A45" s="260" t="s">
        <v>24</v>
      </c>
      <c r="B45" s="264">
        <v>6000027913</v>
      </c>
      <c r="C45" s="2" t="s">
        <v>25</v>
      </c>
      <c r="D45" s="2" t="s">
        <v>2380</v>
      </c>
      <c r="E45" s="74">
        <v>10</v>
      </c>
      <c r="F45" s="74">
        <v>1750</v>
      </c>
      <c r="G45" s="45">
        <f t="shared" si="4"/>
        <v>17500</v>
      </c>
      <c r="H45" s="119" t="s">
        <v>27</v>
      </c>
      <c r="I45" s="128">
        <v>45308</v>
      </c>
      <c r="J45" s="74">
        <v>1750</v>
      </c>
      <c r="K45" s="74">
        <v>18</v>
      </c>
      <c r="L45" s="156" t="s">
        <v>2580</v>
      </c>
      <c r="M45" s="90">
        <f>7300+10200</f>
        <v>17500</v>
      </c>
      <c r="N45" s="90">
        <f>175+20</f>
        <v>195</v>
      </c>
      <c r="O45" s="90" t="s">
        <v>2581</v>
      </c>
      <c r="P45" s="94" t="s">
        <v>28</v>
      </c>
      <c r="Q45" s="94">
        <v>8500066048</v>
      </c>
      <c r="R45" s="94">
        <v>5000069083</v>
      </c>
      <c r="S45" s="74">
        <v>1750</v>
      </c>
      <c r="T45" s="90" t="s">
        <v>1558</v>
      </c>
      <c r="U45" s="90">
        <v>8500066047</v>
      </c>
      <c r="V45" s="90">
        <v>5000074507</v>
      </c>
      <c r="W45" s="376">
        <v>45337</v>
      </c>
      <c r="X45" s="106">
        <v>1750</v>
      </c>
      <c r="Y45" s="106">
        <v>17500</v>
      </c>
      <c r="Z45" s="106" t="s">
        <v>2326</v>
      </c>
      <c r="AA45" s="106">
        <f t="shared" si="1"/>
        <v>0</v>
      </c>
      <c r="AB45" s="106">
        <f t="shared" si="2"/>
        <v>0</v>
      </c>
      <c r="AC45" s="94"/>
      <c r="AD45" s="94"/>
      <c r="AE45" s="94"/>
      <c r="AF45" s="94"/>
      <c r="AG45" s="94"/>
      <c r="AH45" s="263"/>
    </row>
    <row r="46" spans="1:34" ht="19.5" customHeight="1">
      <c r="A46" s="260" t="s">
        <v>24</v>
      </c>
      <c r="B46" s="264">
        <v>6000027914</v>
      </c>
      <c r="C46" s="2" t="s">
        <v>25</v>
      </c>
      <c r="D46" s="2" t="s">
        <v>2381</v>
      </c>
      <c r="E46" s="74">
        <v>10</v>
      </c>
      <c r="F46" s="74">
        <v>850</v>
      </c>
      <c r="G46" s="45">
        <f t="shared" si="4"/>
        <v>8500</v>
      </c>
      <c r="H46" s="119" t="s">
        <v>27</v>
      </c>
      <c r="I46" s="128" t="s">
        <v>2565</v>
      </c>
      <c r="J46" s="74">
        <f>460+390</f>
        <v>850</v>
      </c>
      <c r="K46" s="74">
        <v>10</v>
      </c>
      <c r="L46" s="156">
        <v>45309</v>
      </c>
      <c r="M46" s="90">
        <v>8500</v>
      </c>
      <c r="N46" s="90">
        <f>85+20</f>
        <v>105</v>
      </c>
      <c r="O46" s="90" t="s">
        <v>1743</v>
      </c>
      <c r="P46" s="94" t="s">
        <v>28</v>
      </c>
      <c r="Q46" s="94">
        <v>8500066051</v>
      </c>
      <c r="R46" s="94">
        <v>5000069080</v>
      </c>
      <c r="S46" s="94"/>
      <c r="T46" s="90" t="s">
        <v>1558</v>
      </c>
      <c r="U46" s="90">
        <v>8500066050</v>
      </c>
      <c r="V46" s="90">
        <v>5000074234</v>
      </c>
      <c r="W46" s="376">
        <v>45334</v>
      </c>
      <c r="X46" s="106">
        <v>850</v>
      </c>
      <c r="Y46" s="106">
        <v>8500</v>
      </c>
      <c r="Z46" s="106" t="s">
        <v>2820</v>
      </c>
      <c r="AA46" s="106">
        <f t="shared" si="1"/>
        <v>0</v>
      </c>
      <c r="AB46" s="106">
        <f t="shared" si="2"/>
        <v>0</v>
      </c>
      <c r="AC46" s="94"/>
      <c r="AD46" s="94"/>
      <c r="AE46" s="94"/>
      <c r="AF46" s="94"/>
      <c r="AG46" s="94"/>
      <c r="AH46" s="263"/>
    </row>
    <row r="47" spans="1:34" ht="19.5" customHeight="1">
      <c r="A47" s="260" t="s">
        <v>24</v>
      </c>
      <c r="B47" s="264">
        <v>6000027915</v>
      </c>
      <c r="C47" s="2" t="s">
        <v>25</v>
      </c>
      <c r="D47" s="2" t="s">
        <v>2382</v>
      </c>
      <c r="E47" s="74">
        <v>10</v>
      </c>
      <c r="F47" s="74">
        <v>2100</v>
      </c>
      <c r="G47" s="45">
        <f t="shared" si="4"/>
        <v>21000</v>
      </c>
      <c r="H47" s="119" t="s">
        <v>27</v>
      </c>
      <c r="I47" s="128">
        <v>45307</v>
      </c>
      <c r="J47" s="74">
        <v>2100</v>
      </c>
      <c r="K47" s="74">
        <f>21+1</f>
        <v>22</v>
      </c>
      <c r="L47" s="156">
        <v>45309</v>
      </c>
      <c r="M47" s="90">
        <v>21000</v>
      </c>
      <c r="N47" s="90">
        <f>210+20</f>
        <v>230</v>
      </c>
      <c r="O47" s="90"/>
      <c r="P47" s="94" t="s">
        <v>28</v>
      </c>
      <c r="Q47" s="94">
        <v>8500066053</v>
      </c>
      <c r="R47" s="94">
        <v>5000064539</v>
      </c>
      <c r="S47" s="74">
        <v>2100</v>
      </c>
      <c r="T47" s="90" t="s">
        <v>1558</v>
      </c>
      <c r="U47" s="90">
        <v>8500066052</v>
      </c>
      <c r="V47" s="90">
        <v>5000074503</v>
      </c>
      <c r="W47" s="376">
        <v>45335</v>
      </c>
      <c r="X47" s="106">
        <v>2100</v>
      </c>
      <c r="Y47" s="106">
        <v>21000</v>
      </c>
      <c r="Z47" s="106" t="s">
        <v>2820</v>
      </c>
      <c r="AA47" s="106">
        <f t="shared" si="1"/>
        <v>0</v>
      </c>
      <c r="AB47" s="106">
        <f t="shared" si="2"/>
        <v>0</v>
      </c>
      <c r="AC47" s="94"/>
      <c r="AD47" s="94"/>
      <c r="AE47" s="94"/>
      <c r="AF47" s="94"/>
      <c r="AG47" s="94"/>
      <c r="AH47" s="263"/>
    </row>
    <row r="48" spans="1:34" ht="19.5" customHeight="1">
      <c r="A48" s="260" t="s">
        <v>692</v>
      </c>
      <c r="B48" s="264">
        <v>6000027594</v>
      </c>
      <c r="C48" s="2" t="s">
        <v>1399</v>
      </c>
      <c r="D48" s="2" t="s">
        <v>2385</v>
      </c>
      <c r="E48" s="74">
        <v>10</v>
      </c>
      <c r="F48" s="74">
        <v>800</v>
      </c>
      <c r="G48" s="45">
        <f t="shared" si="4"/>
        <v>8000</v>
      </c>
      <c r="H48" s="119" t="s">
        <v>27</v>
      </c>
      <c r="I48" s="128">
        <v>45295</v>
      </c>
      <c r="J48" s="74">
        <v>800</v>
      </c>
      <c r="K48" s="74">
        <f>16+4</f>
        <v>20</v>
      </c>
      <c r="L48" s="156">
        <v>45310</v>
      </c>
      <c r="M48" s="90">
        <v>8000</v>
      </c>
      <c r="N48" s="90">
        <v>80</v>
      </c>
      <c r="O48" s="90" t="s">
        <v>1791</v>
      </c>
      <c r="P48" s="94" t="s">
        <v>160</v>
      </c>
      <c r="Q48" s="94">
        <v>8500065725</v>
      </c>
      <c r="R48" s="94">
        <v>5000013088</v>
      </c>
      <c r="S48" s="74">
        <v>800</v>
      </c>
      <c r="T48" s="90" t="s">
        <v>1558</v>
      </c>
      <c r="U48" s="90">
        <v>8500065724</v>
      </c>
      <c r="V48" s="90">
        <v>5000081970</v>
      </c>
      <c r="W48" s="376">
        <v>45311</v>
      </c>
      <c r="X48" s="106">
        <v>800</v>
      </c>
      <c r="Y48" s="106">
        <v>8000</v>
      </c>
      <c r="Z48" s="106" t="s">
        <v>800</v>
      </c>
      <c r="AA48" s="106">
        <f t="shared" si="1"/>
        <v>0</v>
      </c>
      <c r="AB48" s="106">
        <f t="shared" si="2"/>
        <v>0</v>
      </c>
      <c r="AC48" s="94"/>
      <c r="AD48" s="94"/>
      <c r="AE48" s="94"/>
      <c r="AF48" s="94"/>
      <c r="AG48" s="94"/>
      <c r="AH48" s="263"/>
    </row>
    <row r="49" spans="1:34" ht="19.5" customHeight="1">
      <c r="A49" s="260"/>
      <c r="B49" s="264"/>
      <c r="C49" s="2"/>
      <c r="D49" s="2" t="s">
        <v>2386</v>
      </c>
      <c r="E49" s="74">
        <v>10</v>
      </c>
      <c r="F49" s="74">
        <v>1122</v>
      </c>
      <c r="G49" s="45">
        <f t="shared" si="4"/>
        <v>11220</v>
      </c>
      <c r="H49" s="119" t="s">
        <v>46</v>
      </c>
      <c r="I49" s="132">
        <v>45314</v>
      </c>
      <c r="J49" s="74">
        <v>1122</v>
      </c>
      <c r="K49" s="74">
        <v>25</v>
      </c>
      <c r="L49" s="156">
        <v>45310</v>
      </c>
      <c r="M49" s="90">
        <v>11220</v>
      </c>
      <c r="N49" s="90">
        <v>112</v>
      </c>
      <c r="O49" s="90" t="s">
        <v>1784</v>
      </c>
      <c r="P49" s="94" t="s">
        <v>160</v>
      </c>
      <c r="Q49" s="94">
        <v>8500065723</v>
      </c>
      <c r="R49" s="94">
        <v>5000095497</v>
      </c>
      <c r="S49" s="74">
        <v>1122</v>
      </c>
      <c r="T49" s="90" t="s">
        <v>1558</v>
      </c>
      <c r="U49" s="90">
        <v>8500065722</v>
      </c>
      <c r="V49" s="90">
        <v>5000081972</v>
      </c>
      <c r="W49" s="376">
        <v>45315</v>
      </c>
      <c r="X49" s="106">
        <v>1122</v>
      </c>
      <c r="Y49" s="106">
        <v>11220</v>
      </c>
      <c r="Z49" s="106" t="s">
        <v>800</v>
      </c>
      <c r="AA49" s="106">
        <f t="shared" si="1"/>
        <v>0</v>
      </c>
      <c r="AB49" s="106">
        <f t="shared" si="2"/>
        <v>0</v>
      </c>
      <c r="AC49" s="94"/>
      <c r="AD49" s="94"/>
      <c r="AE49" s="94"/>
      <c r="AF49" s="94"/>
      <c r="AG49" s="94"/>
      <c r="AH49" s="263"/>
    </row>
    <row r="50" spans="1:34" ht="19.5" customHeight="1">
      <c r="A50" s="260"/>
      <c r="B50" s="264"/>
      <c r="C50" s="2"/>
      <c r="D50" s="2" t="s">
        <v>2387</v>
      </c>
      <c r="E50" s="74">
        <v>10</v>
      </c>
      <c r="F50" s="74">
        <v>750</v>
      </c>
      <c r="G50" s="45">
        <f t="shared" si="4"/>
        <v>7500</v>
      </c>
      <c r="H50" s="119" t="s">
        <v>37</v>
      </c>
      <c r="I50" s="128">
        <v>45315</v>
      </c>
      <c r="J50" s="74">
        <v>750</v>
      </c>
      <c r="K50" s="74">
        <v>15</v>
      </c>
      <c r="L50" s="156">
        <v>45310</v>
      </c>
      <c r="M50" s="90">
        <v>7500</v>
      </c>
      <c r="N50" s="90">
        <v>75</v>
      </c>
      <c r="O50" s="90" t="s">
        <v>1784</v>
      </c>
      <c r="P50" s="94" t="s">
        <v>160</v>
      </c>
      <c r="Q50" s="94">
        <v>8500065721</v>
      </c>
      <c r="R50" s="94">
        <v>5000104158</v>
      </c>
      <c r="S50" s="74">
        <v>750</v>
      </c>
      <c r="T50" s="90" t="s">
        <v>1558</v>
      </c>
      <c r="U50" s="90">
        <v>8500065720</v>
      </c>
      <c r="V50" s="90">
        <v>5000081974</v>
      </c>
      <c r="W50" s="376">
        <v>45317</v>
      </c>
      <c r="X50" s="106">
        <v>750</v>
      </c>
      <c r="Y50" s="106">
        <v>7500</v>
      </c>
      <c r="Z50" s="106" t="s">
        <v>800</v>
      </c>
      <c r="AA50" s="106">
        <f t="shared" si="1"/>
        <v>0</v>
      </c>
      <c r="AB50" s="106">
        <f t="shared" si="2"/>
        <v>0</v>
      </c>
      <c r="AC50" s="94"/>
      <c r="AD50" s="94"/>
      <c r="AE50" s="94"/>
      <c r="AF50" s="94"/>
      <c r="AG50" s="94"/>
      <c r="AH50" s="263"/>
    </row>
    <row r="51" spans="1:34" ht="30" customHeight="1">
      <c r="A51" s="260"/>
      <c r="B51" s="264"/>
      <c r="C51" s="2"/>
      <c r="D51" s="2" t="s">
        <v>2388</v>
      </c>
      <c r="E51" s="74">
        <v>10</v>
      </c>
      <c r="F51" s="74">
        <v>100</v>
      </c>
      <c r="G51" s="45">
        <f t="shared" si="4"/>
        <v>1000</v>
      </c>
      <c r="H51" s="119" t="s">
        <v>146</v>
      </c>
      <c r="I51" s="128">
        <v>45303</v>
      </c>
      <c r="J51" s="158">
        <v>100</v>
      </c>
      <c r="K51" s="74">
        <f>2+3</f>
        <v>5</v>
      </c>
      <c r="L51" s="156">
        <v>45310</v>
      </c>
      <c r="M51" s="90">
        <v>1000</v>
      </c>
      <c r="N51" s="90">
        <v>10</v>
      </c>
      <c r="O51" s="90" t="s">
        <v>1614</v>
      </c>
      <c r="P51" s="94" t="s">
        <v>160</v>
      </c>
      <c r="Q51" s="94">
        <v>8500065727</v>
      </c>
      <c r="R51" s="94">
        <v>5000051487</v>
      </c>
      <c r="S51" s="158">
        <v>100</v>
      </c>
      <c r="T51" s="90" t="s">
        <v>1558</v>
      </c>
      <c r="U51" s="90">
        <v>8500065726</v>
      </c>
      <c r="V51" s="90">
        <v>5000081976</v>
      </c>
      <c r="W51" s="376">
        <v>45317</v>
      </c>
      <c r="X51" s="106">
        <v>100</v>
      </c>
      <c r="Y51" s="106">
        <v>1000</v>
      </c>
      <c r="Z51" s="106" t="s">
        <v>800</v>
      </c>
      <c r="AA51" s="106">
        <f t="shared" si="1"/>
        <v>0</v>
      </c>
      <c r="AB51" s="106">
        <f t="shared" si="2"/>
        <v>0</v>
      </c>
      <c r="AC51" s="94"/>
      <c r="AD51" s="94"/>
      <c r="AE51" s="94"/>
      <c r="AF51" s="94"/>
      <c r="AG51" s="94"/>
      <c r="AH51" s="263"/>
    </row>
    <row r="52" spans="1:34" ht="19.5" customHeight="1">
      <c r="A52" s="272" t="s">
        <v>1358</v>
      </c>
      <c r="B52" s="273">
        <v>6000027698</v>
      </c>
      <c r="C52" s="245" t="s">
        <v>2062</v>
      </c>
      <c r="D52" s="245" t="s">
        <v>2389</v>
      </c>
      <c r="E52" s="74">
        <v>20</v>
      </c>
      <c r="F52" s="74">
        <v>184</v>
      </c>
      <c r="G52" s="45">
        <f t="shared" si="4"/>
        <v>3680</v>
      </c>
      <c r="H52" s="119" t="s">
        <v>243</v>
      </c>
      <c r="I52" s="128">
        <v>45295</v>
      </c>
      <c r="J52" s="158">
        <v>184</v>
      </c>
      <c r="K52" s="74">
        <f>4+1</f>
        <v>5</v>
      </c>
      <c r="L52" s="156"/>
      <c r="M52" s="90"/>
      <c r="N52" s="90"/>
      <c r="O52" s="90"/>
      <c r="P52" s="94" t="s">
        <v>160</v>
      </c>
      <c r="Q52" s="94">
        <v>85000658733</v>
      </c>
      <c r="R52" s="94">
        <v>5000013089</v>
      </c>
      <c r="S52" s="94"/>
      <c r="T52" s="90" t="s">
        <v>895</v>
      </c>
      <c r="U52" s="90">
        <v>8500065802</v>
      </c>
      <c r="V52" s="90">
        <v>5000064399</v>
      </c>
      <c r="W52" s="376">
        <v>45304</v>
      </c>
      <c r="X52" s="106">
        <v>184</v>
      </c>
      <c r="Y52" s="106"/>
      <c r="Z52" s="106" t="s">
        <v>1980</v>
      </c>
      <c r="AA52" s="106">
        <f t="shared" si="1"/>
        <v>0</v>
      </c>
      <c r="AB52" s="106">
        <f t="shared" si="2"/>
        <v>0</v>
      </c>
      <c r="AC52" s="94" t="s">
        <v>2814</v>
      </c>
      <c r="AD52" s="94"/>
      <c r="AE52" s="94"/>
      <c r="AF52" s="94"/>
      <c r="AG52" s="94"/>
      <c r="AH52" s="263"/>
    </row>
    <row r="53" spans="1:34" ht="21" customHeight="1">
      <c r="A53" s="272"/>
      <c r="B53" s="273"/>
      <c r="C53" s="245"/>
      <c r="D53" s="245"/>
      <c r="E53" s="74">
        <v>20</v>
      </c>
      <c r="F53" s="74">
        <v>620</v>
      </c>
      <c r="G53" s="45">
        <f t="shared" si="4"/>
        <v>12400</v>
      </c>
      <c r="H53" s="119" t="s">
        <v>27</v>
      </c>
      <c r="I53" s="128">
        <v>45295</v>
      </c>
      <c r="J53" s="210">
        <f>73</f>
        <v>73</v>
      </c>
      <c r="K53" s="74"/>
      <c r="L53" s="156"/>
      <c r="M53" s="90"/>
      <c r="N53" s="90"/>
      <c r="O53" s="90"/>
      <c r="P53" s="94" t="s">
        <v>160</v>
      </c>
      <c r="Q53" s="94">
        <v>85000658733</v>
      </c>
      <c r="R53" s="94">
        <v>5000013089</v>
      </c>
      <c r="S53" s="94"/>
      <c r="T53" s="90" t="s">
        <v>895</v>
      </c>
      <c r="U53" s="90">
        <v>8500065802</v>
      </c>
      <c r="V53" s="90">
        <v>5000065906</v>
      </c>
      <c r="W53" s="376">
        <v>45304</v>
      </c>
      <c r="X53" s="106">
        <v>73</v>
      </c>
      <c r="Y53" s="106"/>
      <c r="Z53" s="106" t="s">
        <v>1980</v>
      </c>
      <c r="AA53" s="106">
        <f t="shared" si="1"/>
        <v>0</v>
      </c>
      <c r="AB53" s="106">
        <f t="shared" si="2"/>
        <v>0</v>
      </c>
      <c r="AC53" s="94" t="s">
        <v>2654</v>
      </c>
      <c r="AD53" s="94"/>
      <c r="AE53" s="94"/>
      <c r="AF53" s="94"/>
      <c r="AG53" s="94"/>
      <c r="AH53" s="263"/>
    </row>
    <row r="54" spans="1:34" ht="19.5" customHeight="1">
      <c r="A54" s="272"/>
      <c r="B54" s="273"/>
      <c r="C54" s="245"/>
      <c r="D54" s="245"/>
      <c r="E54" s="74">
        <v>20</v>
      </c>
      <c r="F54" s="74">
        <v>875</v>
      </c>
      <c r="G54" s="45">
        <f t="shared" si="4"/>
        <v>17500</v>
      </c>
      <c r="H54" s="119" t="s">
        <v>46</v>
      </c>
      <c r="I54" s="128">
        <v>45295</v>
      </c>
      <c r="J54" s="158">
        <v>875</v>
      </c>
      <c r="K54" s="74">
        <f>18+1</f>
        <v>19</v>
      </c>
      <c r="L54" s="156"/>
      <c r="M54" s="90"/>
      <c r="N54" s="90"/>
      <c r="O54" s="90"/>
      <c r="P54" s="94" t="s">
        <v>160</v>
      </c>
      <c r="Q54" s="94">
        <v>85000658733</v>
      </c>
      <c r="R54" s="94">
        <v>5000013089</v>
      </c>
      <c r="S54" s="94"/>
      <c r="T54" s="90" t="s">
        <v>895</v>
      </c>
      <c r="U54" s="90">
        <v>8500065802</v>
      </c>
      <c r="V54" s="90">
        <v>5000064399</v>
      </c>
      <c r="W54" s="376">
        <v>45304</v>
      </c>
      <c r="X54" s="106">
        <v>875</v>
      </c>
      <c r="Y54" s="106"/>
      <c r="Z54" s="106" t="s">
        <v>1980</v>
      </c>
      <c r="AA54" s="106">
        <f t="shared" si="1"/>
        <v>0</v>
      </c>
      <c r="AB54" s="106">
        <f t="shared" si="2"/>
        <v>0</v>
      </c>
      <c r="AC54" s="94"/>
      <c r="AD54" s="94"/>
      <c r="AE54" s="94"/>
      <c r="AF54" s="94"/>
      <c r="AG54" s="94"/>
      <c r="AH54" s="263"/>
    </row>
    <row r="55" spans="1:34" ht="19.5" customHeight="1">
      <c r="A55" s="272"/>
      <c r="B55" s="273"/>
      <c r="C55" s="245"/>
      <c r="D55" s="245"/>
      <c r="E55" s="74">
        <v>20</v>
      </c>
      <c r="F55" s="74">
        <v>622</v>
      </c>
      <c r="G55" s="45">
        <f t="shared" si="4"/>
        <v>12440</v>
      </c>
      <c r="H55" s="119" t="s">
        <v>37</v>
      </c>
      <c r="I55" s="128">
        <v>45295</v>
      </c>
      <c r="J55" s="158">
        <v>622</v>
      </c>
      <c r="K55" s="74">
        <v>13</v>
      </c>
      <c r="L55" s="156"/>
      <c r="M55" s="90"/>
      <c r="N55" s="90"/>
      <c r="O55" s="90"/>
      <c r="P55" s="94" t="s">
        <v>160</v>
      </c>
      <c r="Q55" s="94">
        <v>85000658733</v>
      </c>
      <c r="R55" s="94">
        <v>5000013089</v>
      </c>
      <c r="S55" s="94"/>
      <c r="T55" s="90" t="s">
        <v>895</v>
      </c>
      <c r="U55" s="90">
        <v>8500065802</v>
      </c>
      <c r="V55" s="90">
        <v>5000064399</v>
      </c>
      <c r="W55" s="376">
        <v>45304</v>
      </c>
      <c r="X55" s="106">
        <v>622</v>
      </c>
      <c r="Y55" s="106"/>
      <c r="Z55" s="106" t="s">
        <v>1980</v>
      </c>
      <c r="AA55" s="106">
        <f t="shared" si="1"/>
        <v>0</v>
      </c>
      <c r="AB55" s="106">
        <f t="shared" si="2"/>
        <v>0</v>
      </c>
      <c r="AC55" s="94"/>
      <c r="AD55" s="94"/>
      <c r="AE55" s="94"/>
      <c r="AF55" s="94"/>
      <c r="AG55" s="94"/>
      <c r="AH55" s="263"/>
    </row>
    <row r="56" spans="1:34" ht="19.5" customHeight="1">
      <c r="A56" s="272" t="s">
        <v>1358</v>
      </c>
      <c r="B56" s="273">
        <v>6000027698</v>
      </c>
      <c r="C56" s="245" t="s">
        <v>1360</v>
      </c>
      <c r="D56" s="533" t="s">
        <v>2432</v>
      </c>
      <c r="E56" s="534"/>
      <c r="F56" s="74"/>
      <c r="G56" s="45">
        <f t="shared" si="4"/>
        <v>0</v>
      </c>
      <c r="H56" s="119"/>
      <c r="I56" s="128"/>
      <c r="J56" s="158"/>
      <c r="K56" s="74"/>
      <c r="L56" s="156"/>
      <c r="M56" s="90"/>
      <c r="N56" s="90"/>
      <c r="O56" s="90"/>
      <c r="P56" s="94" t="s">
        <v>895</v>
      </c>
      <c r="Q56" s="94"/>
      <c r="R56" s="94"/>
      <c r="S56" s="94"/>
      <c r="T56" s="90" t="s">
        <v>895</v>
      </c>
      <c r="U56" s="90"/>
      <c r="V56" s="90"/>
      <c r="W56" s="376"/>
      <c r="X56" s="106"/>
      <c r="Y56" s="106"/>
      <c r="Z56" s="106"/>
      <c r="AA56" s="106">
        <f t="shared" si="1"/>
        <v>0</v>
      </c>
      <c r="AB56" s="106">
        <f t="shared" si="2"/>
        <v>0</v>
      </c>
      <c r="AC56" s="94"/>
      <c r="AD56" s="94"/>
      <c r="AE56" s="94"/>
      <c r="AF56" s="94"/>
      <c r="AG56" s="94"/>
      <c r="AH56" s="263"/>
    </row>
    <row r="57" spans="1:34" ht="24.75" customHeight="1">
      <c r="A57" s="287" t="s">
        <v>1358</v>
      </c>
      <c r="B57" s="288">
        <v>6000027698</v>
      </c>
      <c r="C57" s="285" t="s">
        <v>1360</v>
      </c>
      <c r="D57" s="285" t="s">
        <v>2389</v>
      </c>
      <c r="E57" s="289"/>
      <c r="F57" s="74"/>
      <c r="G57" s="45"/>
      <c r="H57" s="119" t="s">
        <v>243</v>
      </c>
      <c r="I57" s="128">
        <v>45315</v>
      </c>
      <c r="J57" s="158">
        <v>80</v>
      </c>
      <c r="K57" s="74"/>
      <c r="L57" s="156">
        <v>45315</v>
      </c>
      <c r="M57" s="90">
        <v>1600</v>
      </c>
      <c r="N57" s="90"/>
      <c r="O57" s="90" t="s">
        <v>1388</v>
      </c>
      <c r="P57" s="94" t="s">
        <v>1666</v>
      </c>
      <c r="Q57" s="94"/>
      <c r="R57" s="94"/>
      <c r="S57" s="158">
        <v>80</v>
      </c>
      <c r="T57" s="90" t="s">
        <v>2648</v>
      </c>
      <c r="U57" s="90"/>
      <c r="V57" s="90"/>
      <c r="W57" s="376">
        <v>45320</v>
      </c>
      <c r="X57" s="106">
        <v>80</v>
      </c>
      <c r="Y57" s="106">
        <v>1600</v>
      </c>
      <c r="Z57" s="106" t="s">
        <v>800</v>
      </c>
      <c r="AA57" s="106">
        <f t="shared" si="1"/>
        <v>0</v>
      </c>
      <c r="AB57" s="106">
        <f t="shared" si="2"/>
        <v>0</v>
      </c>
      <c r="AC57" s="94"/>
      <c r="AD57" s="94"/>
      <c r="AE57" s="94"/>
      <c r="AF57" s="94"/>
      <c r="AG57" s="94"/>
      <c r="AH57" s="263"/>
    </row>
    <row r="58" spans="1:34" ht="19.5" customHeight="1">
      <c r="A58" s="287" t="s">
        <v>804</v>
      </c>
      <c r="B58" s="288">
        <v>6000027107</v>
      </c>
      <c r="C58" s="285" t="s">
        <v>807</v>
      </c>
      <c r="D58" s="285"/>
      <c r="E58" s="289"/>
      <c r="F58" s="74"/>
      <c r="G58" s="45"/>
      <c r="H58" s="119" t="s">
        <v>146</v>
      </c>
      <c r="I58" s="128">
        <v>45315</v>
      </c>
      <c r="J58" s="158">
        <v>100</v>
      </c>
      <c r="K58" s="74"/>
      <c r="L58" s="156">
        <v>45315</v>
      </c>
      <c r="M58" s="90">
        <v>1000</v>
      </c>
      <c r="N58" s="90"/>
      <c r="O58" s="90" t="s">
        <v>1388</v>
      </c>
      <c r="P58" s="94" t="s">
        <v>1666</v>
      </c>
      <c r="Q58" s="94"/>
      <c r="R58" s="94"/>
      <c r="S58" s="94"/>
      <c r="T58" s="90" t="s">
        <v>2648</v>
      </c>
      <c r="U58" s="90"/>
      <c r="V58" s="90"/>
      <c r="W58" s="376">
        <v>45338</v>
      </c>
      <c r="X58" s="106">
        <v>100</v>
      </c>
      <c r="Y58" s="106">
        <v>1000</v>
      </c>
      <c r="Z58" s="106" t="s">
        <v>800</v>
      </c>
      <c r="AA58" s="106">
        <f t="shared" si="1"/>
        <v>0</v>
      </c>
      <c r="AB58" s="106">
        <f t="shared" si="2"/>
        <v>0</v>
      </c>
      <c r="AC58" s="94"/>
      <c r="AD58" s="94"/>
      <c r="AE58" s="94"/>
      <c r="AF58" s="94"/>
      <c r="AG58" s="94"/>
      <c r="AH58" s="263"/>
    </row>
    <row r="59" spans="1:34" ht="19.5" customHeight="1">
      <c r="A59" s="260" t="s">
        <v>652</v>
      </c>
      <c r="B59" s="264">
        <v>6000027584</v>
      </c>
      <c r="C59" s="2" t="s">
        <v>653</v>
      </c>
      <c r="D59" s="2">
        <v>2342568</v>
      </c>
      <c r="E59" s="74">
        <v>10</v>
      </c>
      <c r="F59" s="74">
        <v>700</v>
      </c>
      <c r="G59" s="45">
        <f t="shared" si="4"/>
        <v>7000</v>
      </c>
      <c r="H59" s="119" t="s">
        <v>37</v>
      </c>
      <c r="I59" s="128">
        <v>45299</v>
      </c>
      <c r="J59" s="158">
        <v>700</v>
      </c>
      <c r="K59" s="74">
        <f>10+1</f>
        <v>11</v>
      </c>
      <c r="L59" s="156">
        <v>45308</v>
      </c>
      <c r="M59" s="90">
        <v>7000</v>
      </c>
      <c r="N59" s="90">
        <f>25+57</f>
        <v>82</v>
      </c>
      <c r="O59" s="90" t="s">
        <v>1743</v>
      </c>
      <c r="P59" s="94" t="s">
        <v>160</v>
      </c>
      <c r="Q59" s="94">
        <v>8500056849</v>
      </c>
      <c r="R59" s="94">
        <v>5000030794</v>
      </c>
      <c r="S59" s="158">
        <v>700</v>
      </c>
      <c r="T59" s="90" t="s">
        <v>655</v>
      </c>
      <c r="U59" s="90">
        <v>8500065848</v>
      </c>
      <c r="V59" s="90">
        <v>5000073111</v>
      </c>
      <c r="W59" s="376">
        <v>45311</v>
      </c>
      <c r="X59" s="106">
        <v>700</v>
      </c>
      <c r="Y59" s="106">
        <v>7000</v>
      </c>
      <c r="Z59" s="106" t="s">
        <v>1841</v>
      </c>
      <c r="AA59" s="106">
        <f t="shared" si="1"/>
        <v>0</v>
      </c>
      <c r="AB59" s="106">
        <f t="shared" si="2"/>
        <v>0</v>
      </c>
      <c r="AC59" s="94"/>
      <c r="AD59" s="94"/>
      <c r="AE59" s="94"/>
      <c r="AF59" s="94"/>
      <c r="AG59" s="94"/>
      <c r="AH59" s="263"/>
    </row>
    <row r="60" spans="1:34" ht="19.5" customHeight="1">
      <c r="A60" s="260"/>
      <c r="B60" s="264"/>
      <c r="C60" s="2"/>
      <c r="D60" s="2"/>
      <c r="E60" s="74">
        <v>10</v>
      </c>
      <c r="F60" s="74">
        <v>1450</v>
      </c>
      <c r="G60" s="45">
        <f t="shared" si="4"/>
        <v>14500</v>
      </c>
      <c r="H60" s="119" t="s">
        <v>146</v>
      </c>
      <c r="I60" s="128">
        <v>45299</v>
      </c>
      <c r="J60" s="158">
        <v>1450</v>
      </c>
      <c r="K60" s="74">
        <f>16+6</f>
        <v>22</v>
      </c>
      <c r="L60" s="156" t="s">
        <v>2587</v>
      </c>
      <c r="M60" s="90">
        <f>14100+388+12</f>
        <v>14500</v>
      </c>
      <c r="N60" s="240">
        <v>58</v>
      </c>
      <c r="O60" s="90" t="s">
        <v>2586</v>
      </c>
      <c r="P60" s="94" t="s">
        <v>160</v>
      </c>
      <c r="Q60" s="94">
        <v>8500056849</v>
      </c>
      <c r="R60" s="94">
        <v>5000030794</v>
      </c>
      <c r="S60" s="158">
        <v>1450</v>
      </c>
      <c r="T60" s="90" t="s">
        <v>655</v>
      </c>
      <c r="U60" s="90">
        <v>8500065848</v>
      </c>
      <c r="V60" s="90">
        <v>5000073111</v>
      </c>
      <c r="W60" s="376" t="s">
        <v>2622</v>
      </c>
      <c r="X60" s="106">
        <f>700+750</f>
        <v>1450</v>
      </c>
      <c r="Y60" s="106">
        <f>7000+7500</f>
        <v>14500</v>
      </c>
      <c r="Z60" s="106" t="s">
        <v>2623</v>
      </c>
      <c r="AA60" s="106">
        <f t="shared" si="1"/>
        <v>0</v>
      </c>
      <c r="AB60" s="106">
        <f t="shared" si="2"/>
        <v>0</v>
      </c>
      <c r="AC60" s="111"/>
      <c r="AD60" s="94"/>
      <c r="AE60" s="94"/>
      <c r="AF60" s="94"/>
      <c r="AG60" s="94"/>
      <c r="AH60" s="263"/>
    </row>
    <row r="61" spans="1:34" ht="19.5" customHeight="1">
      <c r="A61" s="260" t="s">
        <v>652</v>
      </c>
      <c r="B61" s="264">
        <v>6000027587</v>
      </c>
      <c r="C61" s="2" t="s">
        <v>701</v>
      </c>
      <c r="D61" s="2" t="s">
        <v>2445</v>
      </c>
      <c r="E61" s="74">
        <v>20</v>
      </c>
      <c r="F61" s="74">
        <v>224</v>
      </c>
      <c r="G61" s="45">
        <f t="shared" si="4"/>
        <v>4480</v>
      </c>
      <c r="H61" s="119" t="s">
        <v>37</v>
      </c>
      <c r="I61" s="128">
        <v>45300</v>
      </c>
      <c r="J61" s="158">
        <v>224</v>
      </c>
      <c r="K61" s="74">
        <f>4+4</f>
        <v>8</v>
      </c>
      <c r="L61" s="156">
        <v>44935</v>
      </c>
      <c r="M61" s="90">
        <v>4480</v>
      </c>
      <c r="N61" s="90">
        <v>23</v>
      </c>
      <c r="O61" s="90" t="s">
        <v>1583</v>
      </c>
      <c r="P61" s="94" t="s">
        <v>160</v>
      </c>
      <c r="Q61" s="94">
        <v>8500065851</v>
      </c>
      <c r="R61" s="94">
        <v>5000033906</v>
      </c>
      <c r="S61" s="158">
        <v>224</v>
      </c>
      <c r="T61" s="90" t="s">
        <v>152</v>
      </c>
      <c r="U61" s="90">
        <v>8500065850</v>
      </c>
      <c r="V61" s="90">
        <v>5000034976</v>
      </c>
      <c r="W61" s="376">
        <v>45306</v>
      </c>
      <c r="X61" s="106">
        <v>224</v>
      </c>
      <c r="Y61" s="106">
        <v>4480</v>
      </c>
      <c r="Z61" s="106" t="s">
        <v>1841</v>
      </c>
      <c r="AA61" s="106">
        <f t="shared" si="1"/>
        <v>0</v>
      </c>
      <c r="AB61" s="106">
        <f t="shared" si="2"/>
        <v>0</v>
      </c>
      <c r="AC61" s="111"/>
      <c r="AD61" s="94"/>
      <c r="AE61" s="94"/>
      <c r="AF61" s="94"/>
      <c r="AG61" s="94"/>
      <c r="AH61" s="263"/>
    </row>
    <row r="62" spans="1:34" ht="19.5" customHeight="1">
      <c r="A62" s="260"/>
      <c r="B62" s="264"/>
      <c r="C62" s="2"/>
      <c r="D62" s="2"/>
      <c r="E62" s="74">
        <v>20</v>
      </c>
      <c r="F62" s="74">
        <v>225</v>
      </c>
      <c r="G62" s="45">
        <f t="shared" si="4"/>
        <v>4500</v>
      </c>
      <c r="H62" s="119" t="s">
        <v>146</v>
      </c>
      <c r="I62" s="128">
        <v>45300</v>
      </c>
      <c r="J62" s="158">
        <v>225</v>
      </c>
      <c r="K62" s="74">
        <f>4</f>
        <v>4</v>
      </c>
      <c r="L62" s="156">
        <v>44935</v>
      </c>
      <c r="M62" s="90">
        <v>4500</v>
      </c>
      <c r="N62" s="90">
        <v>23</v>
      </c>
      <c r="O62" s="90" t="s">
        <v>1575</v>
      </c>
      <c r="P62" s="94" t="s">
        <v>160</v>
      </c>
      <c r="Q62" s="94">
        <v>8500065851</v>
      </c>
      <c r="R62" s="94">
        <v>5000033906</v>
      </c>
      <c r="S62" s="158">
        <v>225</v>
      </c>
      <c r="T62" s="90" t="s">
        <v>152</v>
      </c>
      <c r="U62" s="90">
        <v>8500065850</v>
      </c>
      <c r="V62" s="90">
        <v>5000034976</v>
      </c>
      <c r="W62" s="376">
        <v>45306</v>
      </c>
      <c r="X62" s="106">
        <v>225</v>
      </c>
      <c r="Y62" s="106">
        <v>4500</v>
      </c>
      <c r="Z62" s="106" t="s">
        <v>1840</v>
      </c>
      <c r="AA62" s="106">
        <f t="shared" si="1"/>
        <v>0</v>
      </c>
      <c r="AB62" s="106">
        <f t="shared" si="2"/>
        <v>0</v>
      </c>
      <c r="AC62" s="111"/>
      <c r="AD62" s="94"/>
      <c r="AE62" s="94"/>
      <c r="AF62" s="94"/>
      <c r="AG62" s="94"/>
      <c r="AH62" s="263"/>
    </row>
    <row r="63" spans="1:34" ht="19.5" customHeight="1">
      <c r="A63" s="260" t="s">
        <v>1670</v>
      </c>
      <c r="B63" s="264">
        <v>6000027747</v>
      </c>
      <c r="C63" s="2" t="s">
        <v>1672</v>
      </c>
      <c r="D63" s="2">
        <v>1070264</v>
      </c>
      <c r="E63" s="74">
        <v>10</v>
      </c>
      <c r="F63" s="74">
        <v>200</v>
      </c>
      <c r="G63" s="45">
        <f t="shared" si="4"/>
        <v>2000</v>
      </c>
      <c r="H63" s="119" t="s">
        <v>27</v>
      </c>
      <c r="I63" s="128">
        <v>45300</v>
      </c>
      <c r="J63" s="158">
        <v>200</v>
      </c>
      <c r="K63" s="74">
        <v>3</v>
      </c>
      <c r="L63" s="156">
        <v>45300</v>
      </c>
      <c r="M63" s="90">
        <v>2000</v>
      </c>
      <c r="N63" s="90">
        <v>20</v>
      </c>
      <c r="O63" s="90" t="s">
        <v>1628</v>
      </c>
      <c r="P63" s="94" t="s">
        <v>28</v>
      </c>
      <c r="Q63" s="94">
        <v>8500065881</v>
      </c>
      <c r="R63" s="94">
        <v>5000035267</v>
      </c>
      <c r="S63" s="158">
        <v>200</v>
      </c>
      <c r="T63" s="90" t="s">
        <v>1558</v>
      </c>
      <c r="U63" s="90">
        <v>8500065880</v>
      </c>
      <c r="V63" s="90">
        <v>5000034966</v>
      </c>
      <c r="W63" s="376">
        <v>45344</v>
      </c>
      <c r="X63" s="106">
        <v>200</v>
      </c>
      <c r="Y63" s="106">
        <v>2000</v>
      </c>
      <c r="Z63" s="106" t="s">
        <v>2930</v>
      </c>
      <c r="AA63" s="106">
        <f t="shared" si="1"/>
        <v>0</v>
      </c>
      <c r="AB63" s="106">
        <f t="shared" si="2"/>
        <v>0</v>
      </c>
      <c r="AC63" s="94"/>
      <c r="AD63" s="94"/>
      <c r="AE63" s="94"/>
      <c r="AF63" s="94"/>
      <c r="AG63" s="94"/>
      <c r="AH63" s="263"/>
    </row>
    <row r="64" spans="1:34" ht="20.25" customHeight="1">
      <c r="A64" s="260"/>
      <c r="B64" s="264"/>
      <c r="C64" s="2"/>
      <c r="D64" s="2"/>
      <c r="E64" s="74">
        <v>10</v>
      </c>
      <c r="F64" s="74">
        <v>600</v>
      </c>
      <c r="G64" s="45">
        <f t="shared" si="4"/>
        <v>6000</v>
      </c>
      <c r="H64" s="119" t="s">
        <v>46</v>
      </c>
      <c r="I64" s="128">
        <v>45300</v>
      </c>
      <c r="J64" s="158">
        <v>600</v>
      </c>
      <c r="K64" s="74">
        <v>3</v>
      </c>
      <c r="L64" s="156">
        <v>45300</v>
      </c>
      <c r="M64" s="90">
        <v>6000</v>
      </c>
      <c r="N64" s="90">
        <v>60</v>
      </c>
      <c r="O64" s="90" t="s">
        <v>1583</v>
      </c>
      <c r="P64" s="94" t="s">
        <v>28</v>
      </c>
      <c r="Q64" s="94">
        <v>8500065881</v>
      </c>
      <c r="R64" s="94">
        <v>5000035267</v>
      </c>
      <c r="S64" s="158">
        <v>600</v>
      </c>
      <c r="T64" s="90" t="s">
        <v>1558</v>
      </c>
      <c r="U64" s="90">
        <v>8500065880</v>
      </c>
      <c r="V64" s="90">
        <v>5000034966</v>
      </c>
      <c r="W64" s="376">
        <v>45335</v>
      </c>
      <c r="X64" s="106">
        <v>600</v>
      </c>
      <c r="Y64" s="106">
        <v>6000</v>
      </c>
      <c r="Z64" s="106" t="s">
        <v>817</v>
      </c>
      <c r="AA64" s="106">
        <f t="shared" si="1"/>
        <v>0</v>
      </c>
      <c r="AB64" s="106">
        <f t="shared" si="2"/>
        <v>0</v>
      </c>
      <c r="AC64" s="94"/>
      <c r="AD64" s="94"/>
      <c r="AE64" s="94"/>
      <c r="AF64" s="94"/>
      <c r="AG64" s="94"/>
      <c r="AH64" s="263"/>
    </row>
    <row r="65" spans="1:34" ht="19.5" customHeight="1">
      <c r="A65" s="260"/>
      <c r="B65" s="264"/>
      <c r="C65" s="2"/>
      <c r="D65" s="2"/>
      <c r="E65" s="74">
        <v>10</v>
      </c>
      <c r="F65" s="74">
        <v>500</v>
      </c>
      <c r="G65" s="45">
        <f t="shared" si="4"/>
        <v>5000</v>
      </c>
      <c r="H65" s="119" t="s">
        <v>37</v>
      </c>
      <c r="I65" s="128">
        <v>45300</v>
      </c>
      <c r="J65" s="158">
        <v>500</v>
      </c>
      <c r="K65" s="74">
        <v>7</v>
      </c>
      <c r="L65" s="156">
        <v>45300</v>
      </c>
      <c r="M65" s="90">
        <v>5000</v>
      </c>
      <c r="N65" s="90">
        <v>50</v>
      </c>
      <c r="O65" s="90" t="s">
        <v>1628</v>
      </c>
      <c r="P65" s="94" t="s">
        <v>28</v>
      </c>
      <c r="Q65" s="94">
        <v>8500065881</v>
      </c>
      <c r="R65" s="94">
        <v>5000035267</v>
      </c>
      <c r="S65" s="158">
        <v>500</v>
      </c>
      <c r="T65" s="90" t="s">
        <v>1558</v>
      </c>
      <c r="U65" s="90">
        <v>8500065880</v>
      </c>
      <c r="V65" s="90">
        <v>5000034966</v>
      </c>
      <c r="W65" s="376">
        <v>45344</v>
      </c>
      <c r="X65" s="106">
        <v>500</v>
      </c>
      <c r="Y65" s="106">
        <v>5000</v>
      </c>
      <c r="Z65" s="106" t="s">
        <v>197</v>
      </c>
      <c r="AA65" s="106">
        <f t="shared" si="1"/>
        <v>0</v>
      </c>
      <c r="AB65" s="106">
        <f t="shared" si="2"/>
        <v>0</v>
      </c>
      <c r="AC65" s="94"/>
      <c r="AD65" s="94"/>
      <c r="AE65" s="94"/>
      <c r="AF65" s="94"/>
      <c r="AG65" s="94"/>
      <c r="AH65" s="263"/>
    </row>
    <row r="66" spans="1:34" ht="21.75" customHeight="1">
      <c r="A66" s="260"/>
      <c r="B66" s="264"/>
      <c r="C66" s="2"/>
      <c r="D66" s="2"/>
      <c r="E66" s="74">
        <v>10</v>
      </c>
      <c r="F66" s="74">
        <v>600</v>
      </c>
      <c r="G66" s="45">
        <f t="shared" si="4"/>
        <v>6000</v>
      </c>
      <c r="H66" s="119" t="s">
        <v>146</v>
      </c>
      <c r="I66" s="128">
        <v>45300</v>
      </c>
      <c r="J66" s="158">
        <v>600</v>
      </c>
      <c r="K66" s="74">
        <v>8</v>
      </c>
      <c r="L66" s="156">
        <v>45300</v>
      </c>
      <c r="M66" s="90">
        <v>6000</v>
      </c>
      <c r="N66" s="90">
        <v>60</v>
      </c>
      <c r="O66" s="90" t="s">
        <v>1387</v>
      </c>
      <c r="P66" s="94" t="s">
        <v>28</v>
      </c>
      <c r="Q66" s="94">
        <v>8500065881</v>
      </c>
      <c r="R66" s="94">
        <v>5000035267</v>
      </c>
      <c r="S66" s="158">
        <v>600</v>
      </c>
      <c r="T66" s="90" t="s">
        <v>1558</v>
      </c>
      <c r="U66" s="90">
        <v>8500065880</v>
      </c>
      <c r="V66" s="90">
        <v>5000034966</v>
      </c>
      <c r="W66" s="376">
        <v>45346</v>
      </c>
      <c r="X66" s="106">
        <v>600</v>
      </c>
      <c r="Y66" s="106">
        <v>6000</v>
      </c>
      <c r="Z66" s="106" t="s">
        <v>798</v>
      </c>
      <c r="AA66" s="106">
        <f t="shared" si="1"/>
        <v>0</v>
      </c>
      <c r="AB66" s="106">
        <f t="shared" si="2"/>
        <v>0</v>
      </c>
      <c r="AC66" s="94"/>
      <c r="AD66" s="94"/>
      <c r="AE66" s="94"/>
      <c r="AF66" s="94"/>
      <c r="AG66" s="94"/>
      <c r="AH66" s="263"/>
    </row>
    <row r="67" spans="1:34" ht="19.5" customHeight="1">
      <c r="A67" s="260" t="s">
        <v>1670</v>
      </c>
      <c r="B67" s="264">
        <v>6000027747</v>
      </c>
      <c r="C67" s="2" t="s">
        <v>1671</v>
      </c>
      <c r="D67" s="2">
        <v>1070264</v>
      </c>
      <c r="E67" s="74">
        <v>10</v>
      </c>
      <c r="F67" s="74">
        <v>100</v>
      </c>
      <c r="G67" s="45">
        <f t="shared" si="4"/>
        <v>1000</v>
      </c>
      <c r="H67" s="119" t="s">
        <v>27</v>
      </c>
      <c r="I67" s="128">
        <v>45299</v>
      </c>
      <c r="J67" s="74">
        <v>100</v>
      </c>
      <c r="K67" s="74">
        <v>2</v>
      </c>
      <c r="L67" s="156">
        <v>45300</v>
      </c>
      <c r="M67" s="90">
        <v>1000</v>
      </c>
      <c r="N67" s="90">
        <v>10</v>
      </c>
      <c r="O67" s="90" t="s">
        <v>1584</v>
      </c>
      <c r="P67" s="94" t="s">
        <v>160</v>
      </c>
      <c r="Q67" s="94">
        <v>8500065883</v>
      </c>
      <c r="R67" s="94">
        <v>5000030834</v>
      </c>
      <c r="S67" s="74">
        <v>100</v>
      </c>
      <c r="T67" s="90" t="s">
        <v>1558</v>
      </c>
      <c r="U67" s="90">
        <v>8500065882</v>
      </c>
      <c r="V67" s="90">
        <v>5000034963</v>
      </c>
      <c r="W67" s="376">
        <v>45311</v>
      </c>
      <c r="X67" s="106">
        <v>100</v>
      </c>
      <c r="Y67" s="106">
        <v>1000</v>
      </c>
      <c r="Z67" s="106" t="s">
        <v>1783</v>
      </c>
      <c r="AA67" s="106">
        <f t="shared" si="1"/>
        <v>0</v>
      </c>
      <c r="AB67" s="106">
        <f t="shared" si="2"/>
        <v>0</v>
      </c>
      <c r="AC67" s="94"/>
      <c r="AD67" s="94"/>
      <c r="AE67" s="94"/>
      <c r="AF67" s="94"/>
      <c r="AG67" s="94"/>
      <c r="AH67" s="263"/>
    </row>
    <row r="68" spans="1:34" ht="19.5" customHeight="1">
      <c r="A68" s="260"/>
      <c r="B68" s="264"/>
      <c r="C68" s="2"/>
      <c r="D68" s="2"/>
      <c r="E68" s="74">
        <v>10</v>
      </c>
      <c r="F68" s="74">
        <v>300</v>
      </c>
      <c r="G68" s="45">
        <f t="shared" si="4"/>
        <v>3000</v>
      </c>
      <c r="H68" s="119" t="s">
        <v>46</v>
      </c>
      <c r="I68" s="128">
        <v>45299</v>
      </c>
      <c r="J68" s="74">
        <v>300</v>
      </c>
      <c r="K68" s="74">
        <v>4</v>
      </c>
      <c r="L68" s="156">
        <v>45300</v>
      </c>
      <c r="M68" s="90">
        <v>3000</v>
      </c>
      <c r="N68" s="90">
        <v>30</v>
      </c>
      <c r="O68" s="90" t="s">
        <v>2447</v>
      </c>
      <c r="P68" s="94" t="s">
        <v>160</v>
      </c>
      <c r="Q68" s="94">
        <v>8500065883</v>
      </c>
      <c r="R68" s="94">
        <v>5000030834</v>
      </c>
      <c r="S68" s="74">
        <v>300</v>
      </c>
      <c r="T68" s="90" t="s">
        <v>1558</v>
      </c>
      <c r="U68" s="90">
        <v>8500065882</v>
      </c>
      <c r="V68" s="90">
        <v>5000034963</v>
      </c>
      <c r="W68" s="376">
        <v>45316</v>
      </c>
      <c r="X68" s="106">
        <v>300</v>
      </c>
      <c r="Y68" s="106">
        <v>3000</v>
      </c>
      <c r="Z68" s="106" t="s">
        <v>1783</v>
      </c>
      <c r="AA68" s="106">
        <f t="shared" si="1"/>
        <v>0</v>
      </c>
      <c r="AB68" s="106">
        <f t="shared" si="2"/>
        <v>0</v>
      </c>
      <c r="AC68" s="94"/>
      <c r="AD68" s="94"/>
      <c r="AE68" s="94"/>
      <c r="AF68" s="94"/>
      <c r="AG68" s="94"/>
      <c r="AH68" s="263"/>
    </row>
    <row r="69" spans="1:34" ht="19.5" customHeight="1">
      <c r="A69" s="260"/>
      <c r="B69" s="264"/>
      <c r="C69" s="2"/>
      <c r="D69" s="2"/>
      <c r="E69" s="74">
        <v>10</v>
      </c>
      <c r="F69" s="74">
        <v>500</v>
      </c>
      <c r="G69" s="45">
        <f t="shared" si="4"/>
        <v>5000</v>
      </c>
      <c r="H69" s="119" t="s">
        <v>37</v>
      </c>
      <c r="I69" s="128">
        <v>45299</v>
      </c>
      <c r="J69" s="74">
        <v>500</v>
      </c>
      <c r="K69" s="74">
        <v>7</v>
      </c>
      <c r="L69" s="156">
        <v>45300</v>
      </c>
      <c r="M69" s="90">
        <v>5000</v>
      </c>
      <c r="N69" s="90">
        <v>50</v>
      </c>
      <c r="O69" s="90" t="s">
        <v>2447</v>
      </c>
      <c r="P69" s="94" t="s">
        <v>160</v>
      </c>
      <c r="Q69" s="94">
        <v>8500065883</v>
      </c>
      <c r="R69" s="94">
        <v>5000030834</v>
      </c>
      <c r="S69" s="74">
        <v>500</v>
      </c>
      <c r="T69" s="90" t="s">
        <v>1558</v>
      </c>
      <c r="U69" s="90">
        <v>8500065882</v>
      </c>
      <c r="V69" s="90">
        <v>5000034963</v>
      </c>
      <c r="W69" s="376">
        <v>45316</v>
      </c>
      <c r="X69" s="106">
        <v>500</v>
      </c>
      <c r="Y69" s="106">
        <v>5000</v>
      </c>
      <c r="Z69" s="106" t="s">
        <v>2197</v>
      </c>
      <c r="AA69" s="106">
        <f t="shared" si="1"/>
        <v>0</v>
      </c>
      <c r="AB69" s="106">
        <f t="shared" si="2"/>
        <v>0</v>
      </c>
      <c r="AC69" s="94"/>
      <c r="AD69" s="94"/>
      <c r="AE69" s="94"/>
      <c r="AF69" s="94"/>
      <c r="AG69" s="94"/>
      <c r="AH69" s="263"/>
    </row>
    <row r="70" spans="1:34" ht="19.5" customHeight="1">
      <c r="A70" s="260"/>
      <c r="B70" s="264"/>
      <c r="C70" s="2"/>
      <c r="D70" s="2"/>
      <c r="E70" s="74">
        <v>10</v>
      </c>
      <c r="F70" s="74">
        <v>400</v>
      </c>
      <c r="G70" s="45">
        <f t="shared" si="4"/>
        <v>4000</v>
      </c>
      <c r="H70" s="119" t="s">
        <v>146</v>
      </c>
      <c r="I70" s="128">
        <v>45299</v>
      </c>
      <c r="J70" s="74">
        <v>400</v>
      </c>
      <c r="K70" s="74">
        <v>5</v>
      </c>
      <c r="L70" s="156">
        <v>45300</v>
      </c>
      <c r="M70" s="90">
        <v>4000</v>
      </c>
      <c r="N70" s="90">
        <v>40</v>
      </c>
      <c r="O70" s="90" t="s">
        <v>1598</v>
      </c>
      <c r="P70" s="94" t="s">
        <v>160</v>
      </c>
      <c r="Q70" s="94">
        <v>8500065883</v>
      </c>
      <c r="R70" s="94">
        <v>5000030834</v>
      </c>
      <c r="S70" s="74">
        <v>400</v>
      </c>
      <c r="T70" s="90" t="s">
        <v>1558</v>
      </c>
      <c r="U70" s="90">
        <v>8500065882</v>
      </c>
      <c r="V70" s="90">
        <v>5000034963</v>
      </c>
      <c r="W70" s="376">
        <v>45309</v>
      </c>
      <c r="X70" s="106">
        <v>400</v>
      </c>
      <c r="Y70" s="106">
        <v>4000</v>
      </c>
      <c r="Z70" s="106" t="s">
        <v>2576</v>
      </c>
      <c r="AA70" s="106">
        <f t="shared" si="1"/>
        <v>0</v>
      </c>
      <c r="AB70" s="106">
        <f t="shared" si="2"/>
        <v>0</v>
      </c>
      <c r="AC70" s="94"/>
      <c r="AD70" s="94"/>
      <c r="AE70" s="94"/>
      <c r="AF70" s="94"/>
      <c r="AG70" s="94"/>
      <c r="AH70" s="263"/>
    </row>
    <row r="71" spans="1:34" ht="23.25" customHeight="1">
      <c r="A71" s="260" t="s">
        <v>1670</v>
      </c>
      <c r="B71" s="264">
        <v>6000027747</v>
      </c>
      <c r="C71" s="2" t="s">
        <v>1674</v>
      </c>
      <c r="D71" s="2">
        <v>1070264</v>
      </c>
      <c r="E71" s="74">
        <v>10</v>
      </c>
      <c r="F71" s="74">
        <v>100</v>
      </c>
      <c r="G71" s="45">
        <f t="shared" si="4"/>
        <v>1000</v>
      </c>
      <c r="H71" s="119" t="s">
        <v>27</v>
      </c>
      <c r="I71" s="128">
        <v>45300</v>
      </c>
      <c r="J71" s="74">
        <v>100</v>
      </c>
      <c r="K71" s="74">
        <v>3</v>
      </c>
      <c r="L71" s="156">
        <v>45300</v>
      </c>
      <c r="M71" s="90">
        <v>1000</v>
      </c>
      <c r="N71" s="90">
        <v>10</v>
      </c>
      <c r="O71" s="90" t="s">
        <v>1813</v>
      </c>
      <c r="P71" s="94" t="s">
        <v>28</v>
      </c>
      <c r="Q71" s="94">
        <v>8500065885</v>
      </c>
      <c r="R71" s="94">
        <v>5000035335</v>
      </c>
      <c r="S71" s="74">
        <v>100</v>
      </c>
      <c r="T71" s="90" t="s">
        <v>1558</v>
      </c>
      <c r="U71" s="90">
        <v>8500065884</v>
      </c>
      <c r="V71" s="90">
        <v>5000038698</v>
      </c>
      <c r="W71" s="376">
        <v>45309</v>
      </c>
      <c r="X71" s="106">
        <v>100</v>
      </c>
      <c r="Y71" s="106">
        <v>1000</v>
      </c>
      <c r="Z71" s="106" t="s">
        <v>1608</v>
      </c>
      <c r="AA71" s="106">
        <f t="shared" si="1"/>
        <v>0</v>
      </c>
      <c r="AB71" s="106">
        <f t="shared" si="2"/>
        <v>0</v>
      </c>
      <c r="AC71" s="94"/>
      <c r="AD71" s="94"/>
      <c r="AE71" s="94"/>
      <c r="AF71" s="94"/>
      <c r="AG71" s="94"/>
      <c r="AH71" s="263"/>
    </row>
    <row r="72" spans="1:34" ht="22.5" customHeight="1">
      <c r="A72" s="260"/>
      <c r="B72" s="264"/>
      <c r="C72" s="2"/>
      <c r="D72" s="2"/>
      <c r="E72" s="74">
        <v>10</v>
      </c>
      <c r="F72" s="74">
        <v>100</v>
      </c>
      <c r="G72" s="45">
        <f t="shared" si="4"/>
        <v>1000</v>
      </c>
      <c r="H72" s="119" t="s">
        <v>37</v>
      </c>
      <c r="I72" s="128">
        <v>45300</v>
      </c>
      <c r="J72" s="74">
        <v>100</v>
      </c>
      <c r="K72" s="74">
        <v>3</v>
      </c>
      <c r="L72" s="156">
        <v>45300</v>
      </c>
      <c r="M72" s="90">
        <v>1000</v>
      </c>
      <c r="N72" s="90">
        <v>10</v>
      </c>
      <c r="O72" s="90" t="s">
        <v>1813</v>
      </c>
      <c r="P72" s="94" t="s">
        <v>28</v>
      </c>
      <c r="Q72" s="94">
        <v>8500065885</v>
      </c>
      <c r="R72" s="94">
        <v>5000035335</v>
      </c>
      <c r="S72" s="74">
        <v>100</v>
      </c>
      <c r="T72" s="90" t="s">
        <v>1558</v>
      </c>
      <c r="U72" s="90">
        <v>8500065884</v>
      </c>
      <c r="V72" s="90">
        <v>5000038698</v>
      </c>
      <c r="W72" s="376">
        <v>45309</v>
      </c>
      <c r="X72" s="106">
        <v>100</v>
      </c>
      <c r="Y72" s="106">
        <v>1000</v>
      </c>
      <c r="Z72" s="106" t="s">
        <v>1607</v>
      </c>
      <c r="AA72" s="106">
        <f t="shared" si="1"/>
        <v>0</v>
      </c>
      <c r="AB72" s="106">
        <f t="shared" si="2"/>
        <v>0</v>
      </c>
      <c r="AC72" s="94"/>
      <c r="AD72" s="94"/>
      <c r="AE72" s="94"/>
      <c r="AF72" s="94"/>
      <c r="AG72" s="94"/>
      <c r="AH72" s="263"/>
    </row>
    <row r="73" spans="1:34" ht="18.75" customHeight="1">
      <c r="A73" s="45"/>
      <c r="B73" s="121"/>
      <c r="C73" s="192"/>
      <c r="D73" s="192"/>
      <c r="E73" s="74">
        <v>10</v>
      </c>
      <c r="F73" s="74">
        <v>100</v>
      </c>
      <c r="G73" s="45">
        <f t="shared" si="4"/>
        <v>1000</v>
      </c>
      <c r="H73" s="119" t="s">
        <v>146</v>
      </c>
      <c r="I73" s="128">
        <v>45300</v>
      </c>
      <c r="J73" s="74">
        <v>100</v>
      </c>
      <c r="K73" s="74">
        <v>3</v>
      </c>
      <c r="L73" s="156">
        <v>45300</v>
      </c>
      <c r="M73" s="90">
        <v>1000</v>
      </c>
      <c r="N73" s="90">
        <v>10</v>
      </c>
      <c r="O73" s="90" t="s">
        <v>1813</v>
      </c>
      <c r="P73" s="94" t="s">
        <v>28</v>
      </c>
      <c r="Q73" s="94">
        <v>8500065885</v>
      </c>
      <c r="R73" s="94">
        <v>5000035335</v>
      </c>
      <c r="S73" s="74">
        <v>100</v>
      </c>
      <c r="T73" s="90" t="s">
        <v>1558</v>
      </c>
      <c r="U73" s="90">
        <v>8500065884</v>
      </c>
      <c r="V73" s="90">
        <v>5000038698</v>
      </c>
      <c r="W73" s="376">
        <v>45352</v>
      </c>
      <c r="X73" s="106">
        <v>100</v>
      </c>
      <c r="Y73" s="106">
        <v>1000</v>
      </c>
      <c r="Z73" s="106" t="s">
        <v>1609</v>
      </c>
      <c r="AA73" s="106">
        <f t="shared" si="1"/>
        <v>0</v>
      </c>
      <c r="AB73" s="106">
        <f t="shared" si="2"/>
        <v>0</v>
      </c>
      <c r="AC73" s="94"/>
      <c r="AD73" s="94"/>
      <c r="AE73" s="94"/>
      <c r="AF73" s="94"/>
      <c r="AG73" s="94"/>
      <c r="AH73" s="263"/>
    </row>
    <row r="74" spans="1:34" ht="19.5" customHeight="1">
      <c r="A74" s="260" t="s">
        <v>352</v>
      </c>
      <c r="B74" s="264">
        <v>6000027763</v>
      </c>
      <c r="C74" s="2" t="s">
        <v>515</v>
      </c>
      <c r="D74" s="2">
        <v>6000027763</v>
      </c>
      <c r="E74" s="74">
        <v>10</v>
      </c>
      <c r="F74" s="74">
        <v>150</v>
      </c>
      <c r="G74" s="45">
        <f t="shared" si="4"/>
        <v>1500</v>
      </c>
      <c r="H74" s="119" t="s">
        <v>27</v>
      </c>
      <c r="I74" s="128">
        <v>45299</v>
      </c>
      <c r="J74" s="74">
        <v>150</v>
      </c>
      <c r="K74" s="74">
        <v>3</v>
      </c>
      <c r="L74" s="156">
        <v>45299</v>
      </c>
      <c r="M74" s="90">
        <v>1500</v>
      </c>
      <c r="N74" s="90">
        <v>15</v>
      </c>
      <c r="O74" s="90" t="s">
        <v>1593</v>
      </c>
      <c r="P74" s="94" t="s">
        <v>28</v>
      </c>
      <c r="Q74" s="94">
        <v>8500066019</v>
      </c>
      <c r="R74" s="94">
        <v>5000030852</v>
      </c>
      <c r="S74" s="74">
        <v>150</v>
      </c>
      <c r="T74" s="90" t="s">
        <v>1558</v>
      </c>
      <c r="U74" s="90">
        <v>8500066018</v>
      </c>
      <c r="V74" s="90">
        <v>5000033710</v>
      </c>
      <c r="W74" s="376">
        <v>45307</v>
      </c>
      <c r="X74" s="106">
        <v>150</v>
      </c>
      <c r="Y74" s="106">
        <v>1500</v>
      </c>
      <c r="Z74" s="106" t="s">
        <v>800</v>
      </c>
      <c r="AA74" s="106">
        <f t="shared" si="1"/>
        <v>0</v>
      </c>
      <c r="AB74" s="106">
        <f t="shared" si="2"/>
        <v>0</v>
      </c>
      <c r="AC74" s="94"/>
      <c r="AD74" s="94"/>
      <c r="AE74" s="94"/>
      <c r="AF74" s="94"/>
      <c r="AG74" s="94"/>
      <c r="AH74" s="263"/>
    </row>
    <row r="75" spans="1:34" ht="19.5" customHeight="1">
      <c r="A75" s="45"/>
      <c r="B75" s="121"/>
      <c r="C75" s="192"/>
      <c r="D75" s="192"/>
      <c r="E75" s="74">
        <v>10</v>
      </c>
      <c r="F75" s="74">
        <v>300</v>
      </c>
      <c r="G75" s="45">
        <f t="shared" si="4"/>
        <v>3000</v>
      </c>
      <c r="H75" s="119" t="s">
        <v>46</v>
      </c>
      <c r="I75" s="128">
        <v>45299</v>
      </c>
      <c r="J75" s="74">
        <v>300</v>
      </c>
      <c r="K75" s="74">
        <v>5</v>
      </c>
      <c r="L75" s="156">
        <v>45299</v>
      </c>
      <c r="M75" s="90">
        <v>3000</v>
      </c>
      <c r="N75" s="90">
        <v>30</v>
      </c>
      <c r="O75" s="90" t="s">
        <v>1593</v>
      </c>
      <c r="P75" s="94" t="s">
        <v>28</v>
      </c>
      <c r="Q75" s="94">
        <v>8500066019</v>
      </c>
      <c r="R75" s="94">
        <v>5000030852</v>
      </c>
      <c r="S75" s="74">
        <v>300</v>
      </c>
      <c r="T75" s="90" t="s">
        <v>1558</v>
      </c>
      <c r="U75" s="90">
        <v>8500066018</v>
      </c>
      <c r="V75" s="90">
        <v>5000033710</v>
      </c>
      <c r="W75" s="376">
        <v>45318</v>
      </c>
      <c r="X75" s="106">
        <v>300</v>
      </c>
      <c r="Y75" s="106">
        <v>3000</v>
      </c>
      <c r="Z75" s="106" t="s">
        <v>2667</v>
      </c>
      <c r="AA75" s="106">
        <f t="shared" si="1"/>
        <v>0</v>
      </c>
      <c r="AB75" s="106">
        <f t="shared" si="2"/>
        <v>0</v>
      </c>
      <c r="AC75" s="94"/>
      <c r="AD75" s="94"/>
      <c r="AE75" s="94"/>
      <c r="AF75" s="94"/>
      <c r="AG75" s="94"/>
      <c r="AH75" s="263"/>
    </row>
    <row r="76" spans="1:34" ht="19.5" customHeight="1">
      <c r="A76" s="45"/>
      <c r="B76" s="121"/>
      <c r="C76" s="192"/>
      <c r="D76" s="192"/>
      <c r="E76" s="74">
        <v>10</v>
      </c>
      <c r="F76" s="74">
        <v>150</v>
      </c>
      <c r="G76" s="45">
        <f t="shared" si="4"/>
        <v>1500</v>
      </c>
      <c r="H76" s="119" t="s">
        <v>46</v>
      </c>
      <c r="I76" s="128">
        <v>45346</v>
      </c>
      <c r="J76" s="74">
        <v>150</v>
      </c>
      <c r="K76" s="74">
        <f>2+2</f>
        <v>4</v>
      </c>
      <c r="L76" s="156">
        <v>45348</v>
      </c>
      <c r="M76" s="90">
        <v>1500</v>
      </c>
      <c r="N76" s="90">
        <v>15</v>
      </c>
      <c r="O76" s="90" t="s">
        <v>922</v>
      </c>
      <c r="P76" s="94" t="s">
        <v>28</v>
      </c>
      <c r="Q76" s="94">
        <v>8500068578</v>
      </c>
      <c r="R76" s="94">
        <v>5000217561</v>
      </c>
      <c r="S76" s="74"/>
      <c r="T76" s="90" t="s">
        <v>1558</v>
      </c>
      <c r="U76" s="90">
        <v>8500068577</v>
      </c>
      <c r="V76" s="90">
        <v>5000227338</v>
      </c>
      <c r="W76" s="376">
        <v>45350</v>
      </c>
      <c r="X76" s="106">
        <v>150</v>
      </c>
      <c r="Y76" s="106">
        <v>1500</v>
      </c>
      <c r="Z76" s="106" t="s">
        <v>800</v>
      </c>
      <c r="AA76" s="106">
        <f t="shared" si="1"/>
        <v>0</v>
      </c>
      <c r="AB76" s="106">
        <f t="shared" si="2"/>
        <v>0</v>
      </c>
      <c r="AC76" s="94"/>
      <c r="AD76" s="94"/>
      <c r="AE76" s="94"/>
      <c r="AF76" s="94"/>
      <c r="AG76" s="94"/>
      <c r="AH76" s="263"/>
    </row>
    <row r="77" spans="1:34" ht="20.25" customHeight="1">
      <c r="A77" s="45"/>
      <c r="B77" s="121"/>
      <c r="C77" s="192"/>
      <c r="D77" s="192"/>
      <c r="E77" s="74">
        <v>10</v>
      </c>
      <c r="F77" s="74">
        <v>300</v>
      </c>
      <c r="G77" s="45">
        <f t="shared" si="4"/>
        <v>3000</v>
      </c>
      <c r="H77" s="119" t="s">
        <v>37</v>
      </c>
      <c r="I77" s="128">
        <v>45299</v>
      </c>
      <c r="J77" s="74">
        <v>300</v>
      </c>
      <c r="K77" s="74">
        <v>5</v>
      </c>
      <c r="L77" s="156">
        <v>45299</v>
      </c>
      <c r="M77" s="90">
        <v>3000</v>
      </c>
      <c r="N77" s="90">
        <v>30</v>
      </c>
      <c r="O77" s="90" t="s">
        <v>1593</v>
      </c>
      <c r="P77" s="94" t="s">
        <v>28</v>
      </c>
      <c r="Q77" s="94">
        <v>8500066019</v>
      </c>
      <c r="R77" s="94">
        <v>5000030852</v>
      </c>
      <c r="S77" s="74">
        <v>300</v>
      </c>
      <c r="T77" s="90" t="s">
        <v>1558</v>
      </c>
      <c r="U77" s="90">
        <v>8500066018</v>
      </c>
      <c r="V77" s="90">
        <v>5000033710</v>
      </c>
      <c r="W77" s="376">
        <v>45318</v>
      </c>
      <c r="X77" s="106">
        <v>300</v>
      </c>
      <c r="Y77" s="106">
        <v>3000</v>
      </c>
      <c r="Z77" s="106" t="s">
        <v>2667</v>
      </c>
      <c r="AA77" s="106">
        <f t="shared" ref="AA77:AA140" si="5">J77-X77</f>
        <v>0</v>
      </c>
      <c r="AB77" s="106">
        <f t="shared" ref="AB77:AB140" si="6">M77-Y77</f>
        <v>0</v>
      </c>
      <c r="AC77" s="94"/>
      <c r="AD77" s="94"/>
      <c r="AE77" s="94"/>
      <c r="AF77" s="94"/>
      <c r="AG77" s="94"/>
      <c r="AH77" s="263"/>
    </row>
    <row r="78" spans="1:34" ht="19.5" customHeight="1">
      <c r="A78" s="45"/>
      <c r="B78" s="121"/>
      <c r="C78" s="192"/>
      <c r="D78" s="192"/>
      <c r="E78" s="74">
        <v>10</v>
      </c>
      <c r="F78" s="74">
        <v>500</v>
      </c>
      <c r="G78" s="45">
        <f t="shared" si="4"/>
        <v>5000</v>
      </c>
      <c r="H78" s="119" t="s">
        <v>146</v>
      </c>
      <c r="I78" s="128">
        <v>45299</v>
      </c>
      <c r="J78" s="74">
        <v>500</v>
      </c>
      <c r="K78" s="74">
        <v>5</v>
      </c>
      <c r="L78" s="156">
        <v>45299</v>
      </c>
      <c r="M78" s="90">
        <v>5000</v>
      </c>
      <c r="N78" s="90">
        <v>50</v>
      </c>
      <c r="O78" s="100" t="s">
        <v>1340</v>
      </c>
      <c r="P78" s="94" t="s">
        <v>28</v>
      </c>
      <c r="Q78" s="94">
        <v>8500066019</v>
      </c>
      <c r="R78" s="94">
        <v>5000030852</v>
      </c>
      <c r="S78" s="74">
        <v>500</v>
      </c>
      <c r="T78" s="90" t="s">
        <v>1558</v>
      </c>
      <c r="U78" s="90">
        <v>8500066018</v>
      </c>
      <c r="V78" s="90">
        <v>5000033710</v>
      </c>
      <c r="W78" s="376">
        <v>45301</v>
      </c>
      <c r="X78" s="106">
        <v>500</v>
      </c>
      <c r="Y78" s="106">
        <v>5000</v>
      </c>
      <c r="Z78" s="106" t="s">
        <v>800</v>
      </c>
      <c r="AA78" s="106">
        <f t="shared" si="5"/>
        <v>0</v>
      </c>
      <c r="AB78" s="106">
        <f t="shared" si="6"/>
        <v>0</v>
      </c>
      <c r="AC78" s="94"/>
      <c r="AD78" s="94"/>
      <c r="AE78" s="94"/>
      <c r="AF78" s="94"/>
      <c r="AG78" s="94"/>
      <c r="AH78" s="263"/>
    </row>
    <row r="79" spans="1:34" ht="38.25" customHeight="1">
      <c r="A79" s="260" t="s">
        <v>352</v>
      </c>
      <c r="B79" s="264">
        <v>6000027763</v>
      </c>
      <c r="C79" s="2" t="s">
        <v>520</v>
      </c>
      <c r="D79" s="2">
        <v>6000027763</v>
      </c>
      <c r="E79" s="74">
        <v>10</v>
      </c>
      <c r="F79" s="74">
        <v>150</v>
      </c>
      <c r="G79" s="45">
        <f t="shared" si="4"/>
        <v>1500</v>
      </c>
      <c r="H79" s="119" t="s">
        <v>37</v>
      </c>
      <c r="I79" s="128">
        <v>45299</v>
      </c>
      <c r="J79" s="74">
        <v>150</v>
      </c>
      <c r="K79" s="74">
        <v>2</v>
      </c>
      <c r="L79" s="156">
        <v>45299</v>
      </c>
      <c r="M79" s="90">
        <v>1500</v>
      </c>
      <c r="N79" s="90">
        <v>15</v>
      </c>
      <c r="O79" s="90" t="s">
        <v>1403</v>
      </c>
      <c r="P79" s="94" t="s">
        <v>28</v>
      </c>
      <c r="Q79" s="94">
        <v>8500066021</v>
      </c>
      <c r="R79" s="94">
        <v>5000030838</v>
      </c>
      <c r="S79" s="74">
        <v>150</v>
      </c>
      <c r="T79" s="90" t="s">
        <v>1558</v>
      </c>
      <c r="U79" s="90">
        <v>8500066020</v>
      </c>
      <c r="V79" s="90">
        <v>5000033711</v>
      </c>
      <c r="W79" s="376">
        <v>45307</v>
      </c>
      <c r="X79" s="106">
        <v>150</v>
      </c>
      <c r="Y79" s="106">
        <v>1500</v>
      </c>
      <c r="Z79" s="106" t="s">
        <v>1841</v>
      </c>
      <c r="AA79" s="106">
        <f t="shared" si="5"/>
        <v>0</v>
      </c>
      <c r="AB79" s="106">
        <f t="shared" si="6"/>
        <v>0</v>
      </c>
      <c r="AC79" s="94"/>
      <c r="AD79" s="94"/>
      <c r="AE79" s="94"/>
      <c r="AF79" s="94"/>
      <c r="AG79" s="94"/>
      <c r="AH79" s="263"/>
    </row>
    <row r="80" spans="1:34" ht="19.5" customHeight="1">
      <c r="A80" s="45"/>
      <c r="B80" s="121"/>
      <c r="C80" s="192"/>
      <c r="D80" s="192"/>
      <c r="E80" s="74">
        <v>10</v>
      </c>
      <c r="F80" s="74">
        <v>150</v>
      </c>
      <c r="G80" s="45">
        <f t="shared" si="4"/>
        <v>1500</v>
      </c>
      <c r="H80" s="119" t="s">
        <v>146</v>
      </c>
      <c r="I80" s="128">
        <v>45299</v>
      </c>
      <c r="J80" s="74">
        <v>150</v>
      </c>
      <c r="K80" s="74">
        <v>2</v>
      </c>
      <c r="L80" s="156">
        <v>45299</v>
      </c>
      <c r="M80" s="90">
        <v>1500</v>
      </c>
      <c r="N80" s="90">
        <v>15</v>
      </c>
      <c r="O80" s="90" t="s">
        <v>1344</v>
      </c>
      <c r="P80" s="94" t="s">
        <v>28</v>
      </c>
      <c r="Q80" s="94">
        <v>8500066021</v>
      </c>
      <c r="R80" s="94">
        <v>5000030838</v>
      </c>
      <c r="S80" s="74">
        <v>150</v>
      </c>
      <c r="T80" s="90" t="s">
        <v>1558</v>
      </c>
      <c r="U80" s="90">
        <v>8500066020</v>
      </c>
      <c r="V80" s="90">
        <v>5000033711</v>
      </c>
      <c r="W80" s="376">
        <v>45307</v>
      </c>
      <c r="X80" s="106">
        <v>150</v>
      </c>
      <c r="Y80" s="106">
        <v>1500</v>
      </c>
      <c r="Z80" s="106" t="s">
        <v>1840</v>
      </c>
      <c r="AA80" s="106">
        <f t="shared" si="5"/>
        <v>0</v>
      </c>
      <c r="AB80" s="106">
        <f t="shared" si="6"/>
        <v>0</v>
      </c>
      <c r="AC80" s="94"/>
      <c r="AD80" s="94"/>
      <c r="AE80" s="94"/>
      <c r="AF80" s="94"/>
      <c r="AG80" s="94"/>
      <c r="AH80" s="263"/>
    </row>
    <row r="81" spans="1:34" ht="19.5" customHeight="1">
      <c r="A81" s="45"/>
      <c r="B81" s="121"/>
      <c r="C81" s="192"/>
      <c r="D81" s="192"/>
      <c r="E81" s="74">
        <v>10</v>
      </c>
      <c r="F81" s="74">
        <v>100</v>
      </c>
      <c r="G81" s="45">
        <f t="shared" si="4"/>
        <v>1000</v>
      </c>
      <c r="H81" s="119" t="s">
        <v>365</v>
      </c>
      <c r="I81" s="128">
        <v>45299</v>
      </c>
      <c r="J81" s="74">
        <v>100</v>
      </c>
      <c r="K81" s="74">
        <v>3</v>
      </c>
      <c r="L81" s="156">
        <v>45299</v>
      </c>
      <c r="M81" s="90">
        <v>1000</v>
      </c>
      <c r="N81" s="90">
        <v>10</v>
      </c>
      <c r="O81" s="90" t="s">
        <v>1344</v>
      </c>
      <c r="P81" s="94" t="s">
        <v>28</v>
      </c>
      <c r="Q81" s="94">
        <v>8500066021</v>
      </c>
      <c r="R81" s="94">
        <v>5000030838</v>
      </c>
      <c r="S81" s="74">
        <v>100</v>
      </c>
      <c r="T81" s="90" t="s">
        <v>1558</v>
      </c>
      <c r="U81" s="90">
        <v>8500066020</v>
      </c>
      <c r="V81" s="90">
        <v>5000033711</v>
      </c>
      <c r="W81" s="376">
        <v>45306</v>
      </c>
      <c r="X81" s="106">
        <v>100</v>
      </c>
      <c r="Y81" s="106">
        <v>1000</v>
      </c>
      <c r="Z81" s="106" t="s">
        <v>800</v>
      </c>
      <c r="AA81" s="106">
        <f t="shared" si="5"/>
        <v>0</v>
      </c>
      <c r="AB81" s="106">
        <f t="shared" si="6"/>
        <v>0</v>
      </c>
      <c r="AC81" s="94"/>
      <c r="AD81" s="94"/>
      <c r="AE81" s="94"/>
      <c r="AF81" s="94"/>
      <c r="AG81" s="94"/>
      <c r="AH81" s="263"/>
    </row>
    <row r="82" spans="1:34" ht="19.5" customHeight="1">
      <c r="A82" s="260" t="s">
        <v>352</v>
      </c>
      <c r="B82" s="264">
        <v>6000027763</v>
      </c>
      <c r="C82" s="2" t="s">
        <v>1952</v>
      </c>
      <c r="D82" s="2">
        <v>6000027763</v>
      </c>
      <c r="E82" s="74">
        <v>10</v>
      </c>
      <c r="F82" s="74">
        <v>100</v>
      </c>
      <c r="G82" s="45">
        <f t="shared" si="4"/>
        <v>1000</v>
      </c>
      <c r="H82" s="119" t="s">
        <v>27</v>
      </c>
      <c r="I82" s="128">
        <v>45346</v>
      </c>
      <c r="J82" s="74">
        <v>100</v>
      </c>
      <c r="K82" s="74">
        <f>1+1</f>
        <v>2</v>
      </c>
      <c r="L82" s="156">
        <v>45348</v>
      </c>
      <c r="M82" s="90">
        <v>1000</v>
      </c>
      <c r="N82" s="90">
        <v>10</v>
      </c>
      <c r="O82" s="90" t="s">
        <v>1580</v>
      </c>
      <c r="P82" s="94" t="s">
        <v>28</v>
      </c>
      <c r="Q82" s="94">
        <v>8500067842</v>
      </c>
      <c r="R82" s="94">
        <v>5000217477</v>
      </c>
      <c r="S82" s="74"/>
      <c r="T82" s="90" t="s">
        <v>1558</v>
      </c>
      <c r="U82" s="90">
        <v>8500067841</v>
      </c>
      <c r="V82" s="90">
        <v>5000227334</v>
      </c>
      <c r="W82" s="376">
        <v>45352</v>
      </c>
      <c r="X82" s="106">
        <v>100</v>
      </c>
      <c r="Y82" s="106">
        <v>1000</v>
      </c>
      <c r="Z82" s="106" t="s">
        <v>800</v>
      </c>
      <c r="AA82" s="106">
        <f t="shared" si="5"/>
        <v>0</v>
      </c>
      <c r="AB82" s="106">
        <f t="shared" si="6"/>
        <v>0</v>
      </c>
      <c r="AC82" s="94"/>
      <c r="AD82" s="94"/>
      <c r="AE82" s="94"/>
      <c r="AF82" s="94"/>
      <c r="AG82" s="94"/>
      <c r="AH82" s="263"/>
    </row>
    <row r="83" spans="1:34" ht="19.5" customHeight="1">
      <c r="A83" s="45"/>
      <c r="B83" s="121"/>
      <c r="C83" s="192"/>
      <c r="D83" s="192"/>
      <c r="E83" s="74">
        <v>10</v>
      </c>
      <c r="F83" s="74">
        <v>200</v>
      </c>
      <c r="G83" s="45">
        <f t="shared" si="4"/>
        <v>2000</v>
      </c>
      <c r="H83" s="119" t="s">
        <v>46</v>
      </c>
      <c r="I83" s="128">
        <v>45346</v>
      </c>
      <c r="J83" s="74">
        <v>200</v>
      </c>
      <c r="K83" s="74">
        <v>2</v>
      </c>
      <c r="L83" s="156">
        <v>45348</v>
      </c>
      <c r="M83" s="90">
        <v>2000</v>
      </c>
      <c r="N83" s="90">
        <v>20</v>
      </c>
      <c r="O83" s="90" t="s">
        <v>1746</v>
      </c>
      <c r="P83" s="94" t="s">
        <v>28</v>
      </c>
      <c r="Q83" s="94">
        <v>8500067842</v>
      </c>
      <c r="R83" s="94">
        <v>5000217477</v>
      </c>
      <c r="S83" s="74"/>
      <c r="T83" s="90" t="s">
        <v>1558</v>
      </c>
      <c r="U83" s="90">
        <v>8500067841</v>
      </c>
      <c r="V83" s="90">
        <v>5000227334</v>
      </c>
      <c r="W83" s="376">
        <v>45352</v>
      </c>
      <c r="X83" s="106">
        <v>200</v>
      </c>
      <c r="Y83" s="106">
        <v>2000</v>
      </c>
      <c r="Z83" s="106" t="s">
        <v>800</v>
      </c>
      <c r="AA83" s="106">
        <f t="shared" si="5"/>
        <v>0</v>
      </c>
      <c r="AB83" s="106">
        <f t="shared" si="6"/>
        <v>0</v>
      </c>
      <c r="AC83" s="94"/>
      <c r="AD83" s="94"/>
      <c r="AE83" s="94"/>
      <c r="AF83" s="94"/>
      <c r="AG83" s="94"/>
      <c r="AH83" s="263"/>
    </row>
    <row r="84" spans="1:34" ht="19.5" customHeight="1">
      <c r="A84" s="45"/>
      <c r="B84" s="121"/>
      <c r="C84" s="192"/>
      <c r="D84" s="192"/>
      <c r="E84" s="74">
        <v>10</v>
      </c>
      <c r="F84" s="74">
        <v>100</v>
      </c>
      <c r="G84" s="45">
        <f t="shared" si="4"/>
        <v>1000</v>
      </c>
      <c r="H84" s="119" t="s">
        <v>37</v>
      </c>
      <c r="I84" s="128">
        <v>45346</v>
      </c>
      <c r="J84" s="74">
        <v>100</v>
      </c>
      <c r="K84" s="74">
        <f>1+1</f>
        <v>2</v>
      </c>
      <c r="L84" s="156">
        <v>45348</v>
      </c>
      <c r="M84" s="90">
        <v>1000</v>
      </c>
      <c r="N84" s="90">
        <v>10</v>
      </c>
      <c r="O84" s="90" t="s">
        <v>898</v>
      </c>
      <c r="P84" s="94" t="s">
        <v>28</v>
      </c>
      <c r="Q84" s="94">
        <v>8500067842</v>
      </c>
      <c r="R84" s="94">
        <v>5000217477</v>
      </c>
      <c r="S84" s="74"/>
      <c r="T84" s="90" t="s">
        <v>1558</v>
      </c>
      <c r="U84" s="90">
        <v>8500067841</v>
      </c>
      <c r="V84" s="90">
        <v>5000227334</v>
      </c>
      <c r="W84" s="376">
        <v>45350</v>
      </c>
      <c r="X84" s="106">
        <v>100</v>
      </c>
      <c r="Y84" s="106">
        <v>1000</v>
      </c>
      <c r="Z84" s="106" t="s">
        <v>800</v>
      </c>
      <c r="AA84" s="106">
        <f t="shared" si="5"/>
        <v>0</v>
      </c>
      <c r="AB84" s="106">
        <f t="shared" si="6"/>
        <v>0</v>
      </c>
      <c r="AC84" s="94"/>
      <c r="AD84" s="94"/>
      <c r="AE84" s="94"/>
      <c r="AF84" s="94"/>
      <c r="AG84" s="94"/>
      <c r="AH84" s="263"/>
    </row>
    <row r="85" spans="1:34" ht="19.5" customHeight="1">
      <c r="A85" s="45"/>
      <c r="B85" s="121"/>
      <c r="C85" s="192"/>
      <c r="D85" s="192"/>
      <c r="E85" s="74">
        <v>10</v>
      </c>
      <c r="F85" s="74">
        <v>100</v>
      </c>
      <c r="G85" s="45">
        <f t="shared" si="4"/>
        <v>1000</v>
      </c>
      <c r="H85" s="119" t="s">
        <v>146</v>
      </c>
      <c r="I85" s="128">
        <v>45346</v>
      </c>
      <c r="J85" s="74">
        <v>100</v>
      </c>
      <c r="K85" s="74">
        <f>1+1</f>
        <v>2</v>
      </c>
      <c r="L85" s="156">
        <v>45348</v>
      </c>
      <c r="M85" s="90">
        <v>1000</v>
      </c>
      <c r="N85" s="90">
        <v>10</v>
      </c>
      <c r="O85" s="90" t="s">
        <v>1746</v>
      </c>
      <c r="P85" s="94" t="s">
        <v>28</v>
      </c>
      <c r="Q85" s="94">
        <v>8500067842</v>
      </c>
      <c r="R85" s="94">
        <v>5000217477</v>
      </c>
      <c r="S85" s="74"/>
      <c r="T85" s="90" t="s">
        <v>1558</v>
      </c>
      <c r="U85" s="90">
        <v>8500067841</v>
      </c>
      <c r="V85" s="90">
        <v>5000227334</v>
      </c>
      <c r="W85" s="376">
        <v>45365</v>
      </c>
      <c r="X85" s="106">
        <v>100</v>
      </c>
      <c r="Y85" s="106">
        <v>1000</v>
      </c>
      <c r="Z85" s="106" t="s">
        <v>1609</v>
      </c>
      <c r="AA85" s="106">
        <f t="shared" si="5"/>
        <v>0</v>
      </c>
      <c r="AB85" s="106">
        <f t="shared" si="6"/>
        <v>0</v>
      </c>
      <c r="AC85" s="94"/>
      <c r="AD85" s="94"/>
      <c r="AE85" s="94"/>
      <c r="AF85" s="94"/>
      <c r="AG85" s="94"/>
      <c r="AH85" s="263"/>
    </row>
    <row r="86" spans="1:34" ht="19.5" customHeight="1">
      <c r="A86" s="260" t="s">
        <v>352</v>
      </c>
      <c r="B86" s="264">
        <v>6000027763</v>
      </c>
      <c r="C86" s="2" t="s">
        <v>1953</v>
      </c>
      <c r="D86" s="2">
        <v>6000027763</v>
      </c>
      <c r="E86" s="74">
        <v>10</v>
      </c>
      <c r="F86" s="74">
        <v>100</v>
      </c>
      <c r="G86" s="45">
        <f t="shared" si="4"/>
        <v>1000</v>
      </c>
      <c r="H86" s="119" t="s">
        <v>146</v>
      </c>
      <c r="I86" s="128">
        <v>45346</v>
      </c>
      <c r="J86" s="74">
        <v>100</v>
      </c>
      <c r="K86" s="74">
        <f>1+1</f>
        <v>2</v>
      </c>
      <c r="L86" s="156">
        <v>45348</v>
      </c>
      <c r="M86" s="90">
        <v>1000</v>
      </c>
      <c r="N86" s="90">
        <v>10</v>
      </c>
      <c r="O86" s="90" t="s">
        <v>899</v>
      </c>
      <c r="P86" s="94" t="s">
        <v>28</v>
      </c>
      <c r="Q86" s="94">
        <v>8500067844</v>
      </c>
      <c r="R86" s="94">
        <v>5000217474</v>
      </c>
      <c r="S86" s="74"/>
      <c r="T86" s="90" t="s">
        <v>1558</v>
      </c>
      <c r="U86" s="90">
        <v>8500067843</v>
      </c>
      <c r="V86" s="90">
        <v>5000227335</v>
      </c>
      <c r="W86" s="376">
        <v>45350</v>
      </c>
      <c r="X86" s="106">
        <v>100</v>
      </c>
      <c r="Y86" s="106">
        <v>1000</v>
      </c>
      <c r="Z86" s="106" t="s">
        <v>800</v>
      </c>
      <c r="AA86" s="106">
        <f t="shared" si="5"/>
        <v>0</v>
      </c>
      <c r="AB86" s="106">
        <f t="shared" si="6"/>
        <v>0</v>
      </c>
      <c r="AC86" s="94"/>
      <c r="AD86" s="94"/>
      <c r="AE86" s="94"/>
      <c r="AF86" s="94"/>
      <c r="AG86" s="94"/>
      <c r="AH86" s="263"/>
    </row>
    <row r="87" spans="1:34" ht="25.5" customHeight="1">
      <c r="A87" s="260" t="s">
        <v>692</v>
      </c>
      <c r="B87" s="264">
        <v>6000027934</v>
      </c>
      <c r="C87" s="2" t="s">
        <v>1529</v>
      </c>
      <c r="D87" s="2" t="s">
        <v>2472</v>
      </c>
      <c r="E87" s="74">
        <v>20</v>
      </c>
      <c r="F87" s="74">
        <v>200</v>
      </c>
      <c r="G87" s="45">
        <f t="shared" si="4"/>
        <v>4000</v>
      </c>
      <c r="H87" s="119" t="s">
        <v>27</v>
      </c>
      <c r="I87" s="128">
        <v>45304</v>
      </c>
      <c r="J87" s="74">
        <v>200</v>
      </c>
      <c r="K87" s="74">
        <f>2+1</f>
        <v>3</v>
      </c>
      <c r="L87" s="156">
        <v>45303</v>
      </c>
      <c r="M87" s="90">
        <v>4000</v>
      </c>
      <c r="N87" s="90">
        <v>40</v>
      </c>
      <c r="O87" s="90" t="s">
        <v>916</v>
      </c>
      <c r="P87" s="94" t="s">
        <v>160</v>
      </c>
      <c r="Q87" s="94">
        <v>8500066284</v>
      </c>
      <c r="R87" s="94">
        <v>5000051927</v>
      </c>
      <c r="S87" s="74">
        <v>200</v>
      </c>
      <c r="T87" s="90" t="s">
        <v>1558</v>
      </c>
      <c r="U87" s="90">
        <v>8500066283</v>
      </c>
      <c r="V87" s="90">
        <v>5000051464</v>
      </c>
      <c r="W87" s="376">
        <v>45306</v>
      </c>
      <c r="X87" s="106">
        <v>200</v>
      </c>
      <c r="Y87" s="106">
        <v>4000</v>
      </c>
      <c r="Z87" s="106" t="s">
        <v>800</v>
      </c>
      <c r="AA87" s="106">
        <f t="shared" si="5"/>
        <v>0</v>
      </c>
      <c r="AB87" s="106">
        <f t="shared" si="6"/>
        <v>0</v>
      </c>
      <c r="AC87" s="94"/>
      <c r="AD87" s="94"/>
      <c r="AE87" s="94"/>
      <c r="AF87" s="94"/>
      <c r="AG87" s="94"/>
      <c r="AH87" s="263"/>
    </row>
    <row r="88" spans="1:34" ht="26.25" customHeight="1">
      <c r="A88" s="260"/>
      <c r="B88" s="264"/>
      <c r="C88" s="2"/>
      <c r="D88" s="2" t="s">
        <v>2473</v>
      </c>
      <c r="E88" s="74">
        <v>20</v>
      </c>
      <c r="F88" s="74">
        <v>790</v>
      </c>
      <c r="G88" s="45">
        <f t="shared" si="4"/>
        <v>15800</v>
      </c>
      <c r="H88" s="119" t="s">
        <v>46</v>
      </c>
      <c r="I88" s="128">
        <v>45304</v>
      </c>
      <c r="J88" s="74">
        <v>790</v>
      </c>
      <c r="K88" s="74">
        <v>9</v>
      </c>
      <c r="L88" s="156">
        <v>45303</v>
      </c>
      <c r="M88" s="90">
        <v>15800</v>
      </c>
      <c r="N88" s="90">
        <v>158</v>
      </c>
      <c r="O88" s="90" t="s">
        <v>2475</v>
      </c>
      <c r="P88" s="94" t="s">
        <v>160</v>
      </c>
      <c r="Q88" s="94">
        <v>8500066293</v>
      </c>
      <c r="R88" s="94">
        <v>5000051929</v>
      </c>
      <c r="S88" s="74">
        <v>790</v>
      </c>
      <c r="T88" s="90" t="s">
        <v>1558</v>
      </c>
      <c r="U88" s="90">
        <v>8500066281</v>
      </c>
      <c r="V88" s="90">
        <v>5000051463</v>
      </c>
      <c r="W88" s="376">
        <v>45306</v>
      </c>
      <c r="X88" s="106">
        <v>790</v>
      </c>
      <c r="Y88" s="106">
        <v>15800</v>
      </c>
      <c r="Z88" s="106" t="s">
        <v>1743</v>
      </c>
      <c r="AA88" s="106">
        <f t="shared" si="5"/>
        <v>0</v>
      </c>
      <c r="AB88" s="106">
        <f t="shared" si="6"/>
        <v>0</v>
      </c>
      <c r="AC88" s="94"/>
      <c r="AD88" s="94"/>
      <c r="AE88" s="94"/>
      <c r="AF88" s="94"/>
      <c r="AG88" s="94"/>
      <c r="AH88" s="263"/>
    </row>
    <row r="89" spans="1:34" ht="26.25" customHeight="1">
      <c r="A89" s="260"/>
      <c r="B89" s="264"/>
      <c r="C89" s="2"/>
      <c r="D89" s="2" t="s">
        <v>2471</v>
      </c>
      <c r="E89" s="74">
        <v>20</v>
      </c>
      <c r="F89" s="74">
        <v>300</v>
      </c>
      <c r="G89" s="45">
        <f t="shared" si="4"/>
        <v>6000</v>
      </c>
      <c r="H89" s="119" t="s">
        <v>37</v>
      </c>
      <c r="I89" s="128">
        <v>45304</v>
      </c>
      <c r="J89" s="74">
        <v>300</v>
      </c>
      <c r="K89" s="74">
        <f>2</f>
        <v>2</v>
      </c>
      <c r="L89" s="156">
        <v>45303</v>
      </c>
      <c r="M89" s="90">
        <v>6000</v>
      </c>
      <c r="N89" s="90">
        <v>60</v>
      </c>
      <c r="O89" s="90" t="s">
        <v>916</v>
      </c>
      <c r="P89" s="94" t="s">
        <v>160</v>
      </c>
      <c r="Q89" s="94">
        <v>8500066280</v>
      </c>
      <c r="R89" s="94">
        <v>5000051931</v>
      </c>
      <c r="S89" s="74">
        <v>300</v>
      </c>
      <c r="T89" s="90" t="s">
        <v>1558</v>
      </c>
      <c r="U89" s="90">
        <v>8500066279</v>
      </c>
      <c r="V89" s="90">
        <v>5000051465</v>
      </c>
      <c r="W89" s="376">
        <v>45306</v>
      </c>
      <c r="X89" s="106">
        <v>300</v>
      </c>
      <c r="Y89" s="106">
        <v>6000</v>
      </c>
      <c r="Z89" s="106" t="s">
        <v>1784</v>
      </c>
      <c r="AA89" s="106">
        <f t="shared" si="5"/>
        <v>0</v>
      </c>
      <c r="AB89" s="106">
        <f t="shared" si="6"/>
        <v>0</v>
      </c>
      <c r="AC89" s="94"/>
      <c r="AD89" s="94"/>
      <c r="AE89" s="94"/>
      <c r="AF89" s="94"/>
      <c r="AG89" s="94"/>
      <c r="AH89" s="263"/>
    </row>
    <row r="90" spans="1:34" ht="26.25" customHeight="1">
      <c r="A90" s="260"/>
      <c r="B90" s="264"/>
      <c r="C90" s="2"/>
      <c r="D90" s="2" t="s">
        <v>2474</v>
      </c>
      <c r="E90" s="74">
        <v>20</v>
      </c>
      <c r="F90" s="74">
        <v>250</v>
      </c>
      <c r="G90" s="45">
        <f t="shared" si="4"/>
        <v>5000</v>
      </c>
      <c r="H90" s="119" t="s">
        <v>146</v>
      </c>
      <c r="I90" s="128">
        <v>45304</v>
      </c>
      <c r="J90" s="74">
        <v>250</v>
      </c>
      <c r="K90" s="74">
        <f>3+2</f>
        <v>5</v>
      </c>
      <c r="L90" s="156" t="s">
        <v>2567</v>
      </c>
      <c r="M90" s="90">
        <f>4750+250</f>
        <v>5000</v>
      </c>
      <c r="N90" s="90">
        <v>50</v>
      </c>
      <c r="O90" s="90" t="s">
        <v>2570</v>
      </c>
      <c r="P90" s="94" t="s">
        <v>160</v>
      </c>
      <c r="Q90" s="94">
        <v>8500066286</v>
      </c>
      <c r="R90" s="94">
        <v>5000051933</v>
      </c>
      <c r="S90" s="74">
        <v>250</v>
      </c>
      <c r="T90" s="90" t="s">
        <v>1558</v>
      </c>
      <c r="U90" s="90">
        <v>8500066285</v>
      </c>
      <c r="V90" s="90"/>
      <c r="W90" s="376" t="s">
        <v>2602</v>
      </c>
      <c r="X90" s="106">
        <f>237+13</f>
        <v>250</v>
      </c>
      <c r="Y90" s="106">
        <f>4740+260</f>
        <v>5000</v>
      </c>
      <c r="Z90" s="106" t="s">
        <v>2603</v>
      </c>
      <c r="AA90" s="106">
        <f t="shared" si="5"/>
        <v>0</v>
      </c>
      <c r="AB90" s="106">
        <f t="shared" si="6"/>
        <v>0</v>
      </c>
      <c r="AC90" s="94"/>
      <c r="AD90" s="94"/>
      <c r="AE90" s="94"/>
      <c r="AF90" s="94"/>
      <c r="AG90" s="94"/>
      <c r="AH90" s="263"/>
    </row>
    <row r="91" spans="1:34" ht="26.25" customHeight="1">
      <c r="A91" s="260" t="s">
        <v>316</v>
      </c>
      <c r="B91" s="264">
        <v>6000027696</v>
      </c>
      <c r="C91" s="2" t="s">
        <v>317</v>
      </c>
      <c r="D91" s="2" t="s">
        <v>2478</v>
      </c>
      <c r="E91" s="74">
        <v>10</v>
      </c>
      <c r="F91" s="74">
        <v>336</v>
      </c>
      <c r="G91" s="45">
        <f t="shared" si="4"/>
        <v>3360</v>
      </c>
      <c r="H91" s="119" t="s">
        <v>27</v>
      </c>
      <c r="I91" s="128" t="s">
        <v>2925</v>
      </c>
      <c r="J91" s="74">
        <f>327+9</f>
        <v>336</v>
      </c>
      <c r="K91" s="74">
        <v>7</v>
      </c>
      <c r="L91" s="156">
        <v>45311</v>
      </c>
      <c r="M91" s="90">
        <v>3360</v>
      </c>
      <c r="N91" s="90">
        <v>17</v>
      </c>
      <c r="O91" s="90" t="s">
        <v>1664</v>
      </c>
      <c r="P91" s="94" t="s">
        <v>160</v>
      </c>
      <c r="Q91" s="94">
        <v>8500065834</v>
      </c>
      <c r="R91" s="94">
        <v>5000051526</v>
      </c>
      <c r="S91" s="74">
        <v>336</v>
      </c>
      <c r="T91" s="90" t="s">
        <v>152</v>
      </c>
      <c r="U91" s="90">
        <v>8500065833</v>
      </c>
      <c r="V91" s="90">
        <v>5000083304</v>
      </c>
      <c r="W91" s="376">
        <v>45345</v>
      </c>
      <c r="X91" s="106">
        <v>336</v>
      </c>
      <c r="Y91" s="106">
        <v>3360</v>
      </c>
      <c r="Z91" s="106" t="s">
        <v>1502</v>
      </c>
      <c r="AA91" s="106">
        <f t="shared" si="5"/>
        <v>0</v>
      </c>
      <c r="AB91" s="106">
        <f t="shared" si="6"/>
        <v>0</v>
      </c>
      <c r="AC91" s="94"/>
      <c r="AD91" s="94"/>
      <c r="AE91" s="94"/>
      <c r="AF91" s="94"/>
      <c r="AG91" s="94"/>
      <c r="AH91" s="263"/>
    </row>
    <row r="92" spans="1:34" ht="26.25" customHeight="1">
      <c r="A92" s="45"/>
      <c r="B92" s="121"/>
      <c r="C92" s="192"/>
      <c r="D92" s="192"/>
      <c r="E92" s="74">
        <v>10</v>
      </c>
      <c r="F92" s="74">
        <v>1568</v>
      </c>
      <c r="G92" s="45">
        <f t="shared" si="4"/>
        <v>15680</v>
      </c>
      <c r="H92" s="119" t="s">
        <v>46</v>
      </c>
      <c r="I92" s="128">
        <v>45310</v>
      </c>
      <c r="J92" s="74">
        <v>1568</v>
      </c>
      <c r="K92" s="74">
        <v>19</v>
      </c>
      <c r="L92" s="156">
        <v>45311</v>
      </c>
      <c r="M92" s="90">
        <v>15680</v>
      </c>
      <c r="N92" s="90">
        <v>79</v>
      </c>
      <c r="O92" s="90"/>
      <c r="P92" s="94" t="s">
        <v>160</v>
      </c>
      <c r="Q92" s="94">
        <v>8500065834</v>
      </c>
      <c r="R92" s="94">
        <v>5000082074</v>
      </c>
      <c r="S92" s="74">
        <v>1568</v>
      </c>
      <c r="T92" s="90" t="s">
        <v>152</v>
      </c>
      <c r="U92" s="90">
        <v>8500065833</v>
      </c>
      <c r="V92" s="90">
        <v>5000083304</v>
      </c>
      <c r="W92" s="376">
        <v>45337</v>
      </c>
      <c r="X92" s="106">
        <v>1568</v>
      </c>
      <c r="Y92" s="106">
        <v>15680</v>
      </c>
      <c r="Z92" s="106" t="s">
        <v>817</v>
      </c>
      <c r="AA92" s="106">
        <f t="shared" si="5"/>
        <v>0</v>
      </c>
      <c r="AB92" s="106">
        <f t="shared" si="6"/>
        <v>0</v>
      </c>
      <c r="AC92" s="94"/>
      <c r="AD92" s="94"/>
      <c r="AE92" s="94"/>
      <c r="AF92" s="94"/>
      <c r="AG92" s="94"/>
      <c r="AH92" s="263"/>
    </row>
    <row r="93" spans="1:34" ht="26.25" customHeight="1">
      <c r="A93" s="45"/>
      <c r="B93" s="121"/>
      <c r="C93" s="192"/>
      <c r="D93" s="192"/>
      <c r="E93" s="74">
        <v>10</v>
      </c>
      <c r="F93" s="74">
        <v>1568</v>
      </c>
      <c r="G93" s="45">
        <f t="shared" si="4"/>
        <v>15680</v>
      </c>
      <c r="H93" s="119" t="s">
        <v>37</v>
      </c>
      <c r="I93" s="128">
        <v>45303</v>
      </c>
      <c r="J93" s="74">
        <v>1568</v>
      </c>
      <c r="K93" s="74">
        <f>32+20</f>
        <v>52</v>
      </c>
      <c r="L93" s="156">
        <v>45311</v>
      </c>
      <c r="M93" s="90">
        <v>15680</v>
      </c>
      <c r="N93" s="90">
        <v>79</v>
      </c>
      <c r="O93" s="90"/>
      <c r="P93" s="94" t="s">
        <v>160</v>
      </c>
      <c r="Q93" s="94">
        <v>8500065834</v>
      </c>
      <c r="R93" s="94">
        <v>5000051526</v>
      </c>
      <c r="S93" s="74">
        <v>1568</v>
      </c>
      <c r="T93" s="90" t="s">
        <v>152</v>
      </c>
      <c r="U93" s="90">
        <v>8500065833</v>
      </c>
      <c r="V93" s="90">
        <v>5000083304</v>
      </c>
      <c r="W93" s="376">
        <v>45337</v>
      </c>
      <c r="X93" s="106">
        <v>1568</v>
      </c>
      <c r="Y93" s="106">
        <v>15680</v>
      </c>
      <c r="Z93" s="106" t="s">
        <v>197</v>
      </c>
      <c r="AA93" s="106">
        <f t="shared" si="5"/>
        <v>0</v>
      </c>
      <c r="AB93" s="106">
        <f t="shared" si="6"/>
        <v>0</v>
      </c>
      <c r="AC93" s="94"/>
      <c r="AD93" s="94"/>
      <c r="AE93" s="94"/>
      <c r="AF93" s="94"/>
      <c r="AG93" s="94"/>
      <c r="AH93" s="263"/>
    </row>
    <row r="94" spans="1:34" ht="26.25" customHeight="1">
      <c r="A94" s="45"/>
      <c r="B94" s="121"/>
      <c r="C94" s="192"/>
      <c r="D94" s="192"/>
      <c r="E94" s="74">
        <v>10</v>
      </c>
      <c r="F94" s="74">
        <v>528</v>
      </c>
      <c r="G94" s="45">
        <f t="shared" si="4"/>
        <v>5280</v>
      </c>
      <c r="H94" s="119" t="s">
        <v>146</v>
      </c>
      <c r="I94" s="128">
        <v>45310</v>
      </c>
      <c r="J94" s="74">
        <v>528</v>
      </c>
      <c r="K94" s="74">
        <v>11</v>
      </c>
      <c r="L94" s="156">
        <v>45311</v>
      </c>
      <c r="M94" s="90">
        <v>5280</v>
      </c>
      <c r="N94" s="90">
        <v>27</v>
      </c>
      <c r="O94" s="90" t="s">
        <v>1664</v>
      </c>
      <c r="P94" s="94" t="s">
        <v>160</v>
      </c>
      <c r="Q94" s="94">
        <v>8500065836</v>
      </c>
      <c r="R94" s="94">
        <v>5000082075</v>
      </c>
      <c r="S94" s="74">
        <v>528</v>
      </c>
      <c r="T94" s="90" t="s">
        <v>152</v>
      </c>
      <c r="U94" s="90">
        <v>8500065835</v>
      </c>
      <c r="V94" s="90">
        <v>5000083307</v>
      </c>
      <c r="W94" s="376">
        <v>45348</v>
      </c>
      <c r="X94" s="106">
        <v>528</v>
      </c>
      <c r="Y94" s="106">
        <v>5280</v>
      </c>
      <c r="Z94" s="106" t="s">
        <v>798</v>
      </c>
      <c r="AA94" s="106">
        <f t="shared" si="5"/>
        <v>0</v>
      </c>
      <c r="AB94" s="106">
        <f t="shared" si="6"/>
        <v>0</v>
      </c>
      <c r="AC94" s="94"/>
      <c r="AD94" s="94"/>
      <c r="AE94" s="94"/>
      <c r="AF94" s="94"/>
      <c r="AG94" s="94"/>
      <c r="AH94" s="263"/>
    </row>
    <row r="95" spans="1:34" ht="26.25" customHeight="1">
      <c r="A95" s="260" t="s">
        <v>707</v>
      </c>
      <c r="B95" s="264">
        <v>2000001258</v>
      </c>
      <c r="C95" s="2" t="s">
        <v>1519</v>
      </c>
      <c r="D95" s="2">
        <v>2000001258</v>
      </c>
      <c r="E95" s="74">
        <v>10</v>
      </c>
      <c r="F95" s="74">
        <v>45</v>
      </c>
      <c r="G95" s="45">
        <f t="shared" si="4"/>
        <v>450</v>
      </c>
      <c r="H95" s="119" t="s">
        <v>27</v>
      </c>
      <c r="I95" s="128">
        <v>45310</v>
      </c>
      <c r="J95" s="74">
        <v>45</v>
      </c>
      <c r="K95" s="74">
        <f>2+2</f>
        <v>4</v>
      </c>
      <c r="L95" s="156">
        <v>45315</v>
      </c>
      <c r="M95" s="90">
        <v>450</v>
      </c>
      <c r="N95" s="90">
        <v>5</v>
      </c>
      <c r="O95" s="90" t="s">
        <v>1602</v>
      </c>
      <c r="P95" s="94" t="s">
        <v>160</v>
      </c>
      <c r="Q95" s="94">
        <v>8500065968</v>
      </c>
      <c r="R95" s="94">
        <v>5000082079</v>
      </c>
      <c r="S95" s="74">
        <v>45</v>
      </c>
      <c r="T95" s="90" t="s">
        <v>87</v>
      </c>
      <c r="U95" s="90">
        <v>8500065967</v>
      </c>
      <c r="V95" s="90">
        <v>5000104091</v>
      </c>
      <c r="W95" s="376">
        <v>45325</v>
      </c>
      <c r="X95" s="106">
        <v>45</v>
      </c>
      <c r="Y95" s="106">
        <v>450</v>
      </c>
      <c r="Z95" s="106" t="s">
        <v>727</v>
      </c>
      <c r="AA95" s="106">
        <f t="shared" si="5"/>
        <v>0</v>
      </c>
      <c r="AB95" s="106">
        <f t="shared" si="6"/>
        <v>0</v>
      </c>
      <c r="AC95" s="94"/>
      <c r="AD95" s="94"/>
      <c r="AE95" s="94"/>
      <c r="AF95" s="94"/>
      <c r="AG95" s="94"/>
      <c r="AH95" s="263"/>
    </row>
    <row r="96" spans="1:34" ht="26.25" customHeight="1">
      <c r="A96" s="260"/>
      <c r="B96" s="264"/>
      <c r="C96" s="2"/>
      <c r="D96" s="2"/>
      <c r="E96" s="74">
        <v>10</v>
      </c>
      <c r="F96" s="74">
        <v>90</v>
      </c>
      <c r="G96" s="45">
        <f t="shared" si="4"/>
        <v>900</v>
      </c>
      <c r="H96" s="119" t="s">
        <v>46</v>
      </c>
      <c r="I96" s="128">
        <v>45310</v>
      </c>
      <c r="J96" s="74">
        <v>90</v>
      </c>
      <c r="K96" s="74">
        <f>2+4</f>
        <v>6</v>
      </c>
      <c r="L96" s="156">
        <v>45315</v>
      </c>
      <c r="M96" s="90">
        <v>900</v>
      </c>
      <c r="N96" s="90">
        <v>9</v>
      </c>
      <c r="O96" s="90" t="s">
        <v>1602</v>
      </c>
      <c r="P96" s="94" t="s">
        <v>160</v>
      </c>
      <c r="Q96" s="94">
        <v>8500065968</v>
      </c>
      <c r="R96" s="94">
        <v>5000082079</v>
      </c>
      <c r="S96" s="74">
        <v>90</v>
      </c>
      <c r="T96" s="90" t="s">
        <v>87</v>
      </c>
      <c r="U96" s="90">
        <v>8500065967</v>
      </c>
      <c r="V96" s="90">
        <v>5000104091</v>
      </c>
      <c r="W96" s="376">
        <v>45335</v>
      </c>
      <c r="X96" s="106">
        <v>90</v>
      </c>
      <c r="Y96" s="106">
        <v>900</v>
      </c>
      <c r="Z96" s="106" t="s">
        <v>2325</v>
      </c>
      <c r="AA96" s="106">
        <f t="shared" si="5"/>
        <v>0</v>
      </c>
      <c r="AB96" s="106">
        <f t="shared" si="6"/>
        <v>0</v>
      </c>
      <c r="AC96" s="94"/>
      <c r="AD96" s="94"/>
      <c r="AE96" s="94"/>
      <c r="AF96" s="94"/>
      <c r="AG96" s="94"/>
      <c r="AH96" s="263"/>
    </row>
    <row r="97" spans="1:34" ht="26.25" customHeight="1">
      <c r="A97" s="260"/>
      <c r="B97" s="264"/>
      <c r="C97" s="2"/>
      <c r="D97" s="2"/>
      <c r="E97" s="74">
        <v>10</v>
      </c>
      <c r="F97" s="74">
        <v>80</v>
      </c>
      <c r="G97" s="45">
        <f t="shared" si="4"/>
        <v>800</v>
      </c>
      <c r="H97" s="119" t="s">
        <v>37</v>
      </c>
      <c r="I97" s="128">
        <v>45310</v>
      </c>
      <c r="J97" s="74">
        <v>80</v>
      </c>
      <c r="K97" s="74">
        <f>2+5</f>
        <v>7</v>
      </c>
      <c r="L97" s="156">
        <v>45315</v>
      </c>
      <c r="M97" s="90">
        <v>800</v>
      </c>
      <c r="N97" s="90">
        <v>8</v>
      </c>
      <c r="O97" s="90" t="s">
        <v>1602</v>
      </c>
      <c r="P97" s="94" t="s">
        <v>160</v>
      </c>
      <c r="Q97" s="94">
        <v>8500065968</v>
      </c>
      <c r="R97" s="94">
        <v>5000082079</v>
      </c>
      <c r="S97" s="74">
        <v>80</v>
      </c>
      <c r="T97" s="90" t="s">
        <v>87</v>
      </c>
      <c r="U97" s="90">
        <v>8500065967</v>
      </c>
      <c r="V97" s="90">
        <v>5000104091</v>
      </c>
      <c r="W97" s="376">
        <v>45339</v>
      </c>
      <c r="X97" s="106">
        <v>80</v>
      </c>
      <c r="Y97" s="106">
        <v>800</v>
      </c>
      <c r="Z97" s="106" t="s">
        <v>2878</v>
      </c>
      <c r="AA97" s="106">
        <f t="shared" si="5"/>
        <v>0</v>
      </c>
      <c r="AB97" s="106">
        <f t="shared" si="6"/>
        <v>0</v>
      </c>
      <c r="AC97" s="94"/>
      <c r="AD97" s="94"/>
      <c r="AE97" s="94"/>
      <c r="AF97" s="94"/>
      <c r="AG97" s="94"/>
      <c r="AH97" s="263"/>
    </row>
    <row r="98" spans="1:34" ht="26.25" customHeight="1">
      <c r="A98" s="260"/>
      <c r="B98" s="264"/>
      <c r="C98" s="2"/>
      <c r="D98" s="2"/>
      <c r="E98" s="74">
        <v>10</v>
      </c>
      <c r="F98" s="74">
        <v>45</v>
      </c>
      <c r="G98" s="45">
        <f t="shared" si="4"/>
        <v>450</v>
      </c>
      <c r="H98" s="119" t="s">
        <v>146</v>
      </c>
      <c r="I98" s="128">
        <v>45310</v>
      </c>
      <c r="J98" s="74">
        <v>45</v>
      </c>
      <c r="K98" s="74">
        <f>6+5</f>
        <v>11</v>
      </c>
      <c r="L98" s="156">
        <v>45315</v>
      </c>
      <c r="M98" s="90">
        <v>450</v>
      </c>
      <c r="N98" s="90">
        <v>5</v>
      </c>
      <c r="O98" s="90" t="s">
        <v>1602</v>
      </c>
      <c r="P98" s="94" t="s">
        <v>160</v>
      </c>
      <c r="Q98" s="94">
        <v>8500065972</v>
      </c>
      <c r="R98" s="94">
        <v>5000082101</v>
      </c>
      <c r="S98" s="74">
        <v>45</v>
      </c>
      <c r="T98" s="90" t="s">
        <v>87</v>
      </c>
      <c r="U98" s="90">
        <v>8500065969</v>
      </c>
      <c r="V98" s="90">
        <v>5000104092</v>
      </c>
      <c r="W98" s="376">
        <v>45325</v>
      </c>
      <c r="X98" s="106">
        <v>45</v>
      </c>
      <c r="Y98" s="106">
        <v>450</v>
      </c>
      <c r="Z98" s="106" t="s">
        <v>803</v>
      </c>
      <c r="AA98" s="106">
        <f t="shared" si="5"/>
        <v>0</v>
      </c>
      <c r="AB98" s="106">
        <f t="shared" si="6"/>
        <v>0</v>
      </c>
      <c r="AC98" s="94"/>
      <c r="AD98" s="94"/>
      <c r="AE98" s="94"/>
      <c r="AF98" s="94"/>
      <c r="AG98" s="94"/>
      <c r="AH98" s="263"/>
    </row>
    <row r="99" spans="1:34" ht="26.25" customHeight="1">
      <c r="A99" s="260" t="s">
        <v>707</v>
      </c>
      <c r="B99" s="264">
        <v>2000001258</v>
      </c>
      <c r="C99" s="2" t="s">
        <v>2479</v>
      </c>
      <c r="D99" s="2">
        <v>2000001258</v>
      </c>
      <c r="E99" s="74">
        <v>10</v>
      </c>
      <c r="F99" s="74">
        <v>90</v>
      </c>
      <c r="G99" s="45">
        <f t="shared" si="4"/>
        <v>900</v>
      </c>
      <c r="H99" s="119" t="s">
        <v>27</v>
      </c>
      <c r="I99" s="128">
        <v>45310</v>
      </c>
      <c r="J99" s="74">
        <v>90</v>
      </c>
      <c r="K99" s="74">
        <f>7+3</f>
        <v>10</v>
      </c>
      <c r="L99" s="156">
        <v>45313</v>
      </c>
      <c r="M99" s="90">
        <v>900</v>
      </c>
      <c r="N99" s="90">
        <v>9</v>
      </c>
      <c r="O99" s="90" t="s">
        <v>1732</v>
      </c>
      <c r="P99" s="94" t="s">
        <v>160</v>
      </c>
      <c r="Q99" s="94">
        <v>8500066002</v>
      </c>
      <c r="R99" s="94">
        <v>5000082123</v>
      </c>
      <c r="S99" s="74">
        <v>90</v>
      </c>
      <c r="T99" s="90" t="s">
        <v>87</v>
      </c>
      <c r="U99" s="90">
        <v>8500065977</v>
      </c>
      <c r="V99" s="90">
        <v>5000092255</v>
      </c>
      <c r="W99" s="376">
        <v>45351</v>
      </c>
      <c r="X99" s="106">
        <v>90</v>
      </c>
      <c r="Y99" s="106">
        <v>900</v>
      </c>
      <c r="Z99" s="106" t="s">
        <v>803</v>
      </c>
      <c r="AA99" s="106">
        <f t="shared" si="5"/>
        <v>0</v>
      </c>
      <c r="AB99" s="106">
        <f t="shared" si="6"/>
        <v>0</v>
      </c>
      <c r="AC99" s="94"/>
      <c r="AD99" s="94"/>
      <c r="AE99" s="94"/>
      <c r="AF99" s="94"/>
      <c r="AG99" s="94"/>
      <c r="AH99" s="263"/>
    </row>
    <row r="100" spans="1:34" ht="26.25" customHeight="1">
      <c r="A100" s="260"/>
      <c r="B100" s="264"/>
      <c r="C100" s="2"/>
      <c r="D100" s="2"/>
      <c r="E100" s="74">
        <v>10</v>
      </c>
      <c r="F100" s="74">
        <v>145</v>
      </c>
      <c r="G100" s="45">
        <f t="shared" si="4"/>
        <v>1450</v>
      </c>
      <c r="H100" s="119" t="s">
        <v>46</v>
      </c>
      <c r="I100" s="128">
        <v>45310</v>
      </c>
      <c r="J100" s="74">
        <v>145</v>
      </c>
      <c r="K100" s="74">
        <f>7+8</f>
        <v>15</v>
      </c>
      <c r="L100" s="156">
        <v>45313</v>
      </c>
      <c r="M100" s="90">
        <v>1450</v>
      </c>
      <c r="N100" s="90">
        <v>15</v>
      </c>
      <c r="O100" s="90" t="s">
        <v>1732</v>
      </c>
      <c r="P100" s="94" t="s">
        <v>160</v>
      </c>
      <c r="Q100" s="94">
        <v>8500066002</v>
      </c>
      <c r="R100" s="94">
        <v>5000082123</v>
      </c>
      <c r="S100" s="74">
        <v>145</v>
      </c>
      <c r="T100" s="90" t="s">
        <v>87</v>
      </c>
      <c r="U100" s="90">
        <v>8500065977</v>
      </c>
      <c r="V100" s="90">
        <v>5000092255</v>
      </c>
      <c r="W100" s="376">
        <v>45316</v>
      </c>
      <c r="X100" s="106">
        <v>145</v>
      </c>
      <c r="Y100" s="106">
        <v>1450</v>
      </c>
      <c r="Z100" s="106" t="s">
        <v>755</v>
      </c>
      <c r="AA100" s="106">
        <f t="shared" si="5"/>
        <v>0</v>
      </c>
      <c r="AB100" s="106">
        <f t="shared" si="6"/>
        <v>0</v>
      </c>
      <c r="AC100" s="94"/>
      <c r="AD100" s="94"/>
      <c r="AE100" s="94"/>
      <c r="AF100" s="94"/>
      <c r="AG100" s="94"/>
      <c r="AH100" s="263"/>
    </row>
    <row r="101" spans="1:34" ht="26.25" customHeight="1">
      <c r="A101" s="260"/>
      <c r="B101" s="264"/>
      <c r="C101" s="2"/>
      <c r="D101" s="2"/>
      <c r="E101" s="74">
        <v>10</v>
      </c>
      <c r="F101" s="74">
        <v>105</v>
      </c>
      <c r="G101" s="45">
        <f t="shared" si="4"/>
        <v>1050</v>
      </c>
      <c r="H101" s="119" t="s">
        <v>37</v>
      </c>
      <c r="I101" s="128">
        <v>45310</v>
      </c>
      <c r="J101" s="74">
        <v>105</v>
      </c>
      <c r="K101" s="74">
        <f>7+3</f>
        <v>10</v>
      </c>
      <c r="L101" s="156">
        <v>45313</v>
      </c>
      <c r="M101" s="90">
        <v>1050</v>
      </c>
      <c r="N101" s="90">
        <v>11</v>
      </c>
      <c r="O101" s="90" t="s">
        <v>1732</v>
      </c>
      <c r="P101" s="94" t="s">
        <v>160</v>
      </c>
      <c r="Q101" s="94">
        <v>8500066002</v>
      </c>
      <c r="R101" s="94">
        <v>5000082123</v>
      </c>
      <c r="S101" s="74">
        <v>105</v>
      </c>
      <c r="T101" s="90" t="s">
        <v>87</v>
      </c>
      <c r="U101" s="90">
        <v>8500065977</v>
      </c>
      <c r="V101" s="90">
        <v>5000092255</v>
      </c>
      <c r="W101" s="376">
        <v>45342</v>
      </c>
      <c r="X101" s="106">
        <v>105</v>
      </c>
      <c r="Y101" s="106">
        <v>1050</v>
      </c>
      <c r="Z101" s="106" t="s">
        <v>927</v>
      </c>
      <c r="AA101" s="106">
        <f t="shared" si="5"/>
        <v>0</v>
      </c>
      <c r="AB101" s="106">
        <f t="shared" si="6"/>
        <v>0</v>
      </c>
      <c r="AC101" s="94"/>
      <c r="AD101" s="94"/>
      <c r="AE101" s="94"/>
      <c r="AF101" s="94"/>
      <c r="AG101" s="94"/>
      <c r="AH101" s="263"/>
    </row>
    <row r="102" spans="1:34" ht="26.25" customHeight="1">
      <c r="A102" s="260"/>
      <c r="B102" s="264"/>
      <c r="C102" s="2"/>
      <c r="D102" s="2"/>
      <c r="E102" s="74">
        <v>10</v>
      </c>
      <c r="F102" s="74">
        <v>10</v>
      </c>
      <c r="G102" s="45">
        <f t="shared" si="4"/>
        <v>100</v>
      </c>
      <c r="H102" s="119" t="s">
        <v>146</v>
      </c>
      <c r="I102" s="128">
        <v>45310</v>
      </c>
      <c r="J102" s="74">
        <v>10</v>
      </c>
      <c r="K102" s="74">
        <f>6+1</f>
        <v>7</v>
      </c>
      <c r="L102" s="156">
        <v>45315</v>
      </c>
      <c r="M102" s="90">
        <v>100</v>
      </c>
      <c r="N102" s="90">
        <v>1</v>
      </c>
      <c r="O102" s="90" t="s">
        <v>1348</v>
      </c>
      <c r="P102" s="94" t="s">
        <v>160</v>
      </c>
      <c r="Q102" s="94">
        <v>8500066003</v>
      </c>
      <c r="R102" s="94">
        <v>5000082125</v>
      </c>
      <c r="S102" s="74">
        <v>10</v>
      </c>
      <c r="T102" s="90" t="s">
        <v>87</v>
      </c>
      <c r="U102" s="90">
        <v>8500065979</v>
      </c>
      <c r="V102" s="90">
        <v>5000104093</v>
      </c>
      <c r="W102" s="376">
        <v>45316</v>
      </c>
      <c r="X102" s="106">
        <v>10</v>
      </c>
      <c r="Y102" s="106">
        <v>100</v>
      </c>
      <c r="Z102" s="106" t="s">
        <v>800</v>
      </c>
      <c r="AA102" s="106">
        <f t="shared" si="5"/>
        <v>0</v>
      </c>
      <c r="AB102" s="106">
        <f t="shared" si="6"/>
        <v>0</v>
      </c>
      <c r="AC102" s="94"/>
      <c r="AD102" s="94"/>
      <c r="AE102" s="94"/>
      <c r="AF102" s="94"/>
      <c r="AG102" s="94"/>
      <c r="AH102" s="263"/>
    </row>
    <row r="103" spans="1:34" ht="25.5" customHeight="1">
      <c r="A103" s="260" t="s">
        <v>707</v>
      </c>
      <c r="B103" s="264">
        <v>2000001258</v>
      </c>
      <c r="C103" s="2" t="s">
        <v>2480</v>
      </c>
      <c r="D103" s="2">
        <v>2000001258</v>
      </c>
      <c r="E103" s="74">
        <v>10</v>
      </c>
      <c r="F103" s="74">
        <v>30</v>
      </c>
      <c r="G103" s="45">
        <f t="shared" si="4"/>
        <v>300</v>
      </c>
      <c r="H103" s="119" t="s">
        <v>27</v>
      </c>
      <c r="I103" s="128">
        <v>45310</v>
      </c>
      <c r="J103" s="74">
        <v>30</v>
      </c>
      <c r="K103" s="74">
        <f>5+4</f>
        <v>9</v>
      </c>
      <c r="L103" s="156">
        <v>45314</v>
      </c>
      <c r="M103" s="90">
        <v>300</v>
      </c>
      <c r="N103" s="90">
        <v>3</v>
      </c>
      <c r="O103" s="90" t="s">
        <v>845</v>
      </c>
      <c r="P103" s="94" t="s">
        <v>160</v>
      </c>
      <c r="Q103" s="94">
        <v>8500066004</v>
      </c>
      <c r="R103" s="94">
        <v>5000082129</v>
      </c>
      <c r="S103" s="74">
        <v>30</v>
      </c>
      <c r="T103" s="90" t="s">
        <v>87</v>
      </c>
      <c r="U103" s="90">
        <v>8500065981</v>
      </c>
      <c r="V103" s="90">
        <v>5000099656</v>
      </c>
      <c r="W103" s="376">
        <v>45320</v>
      </c>
      <c r="X103" s="106">
        <v>30</v>
      </c>
      <c r="Y103" s="106">
        <v>300</v>
      </c>
      <c r="Z103" s="106" t="s">
        <v>800</v>
      </c>
      <c r="AA103" s="106">
        <f t="shared" si="5"/>
        <v>0</v>
      </c>
      <c r="AB103" s="106">
        <f t="shared" si="6"/>
        <v>0</v>
      </c>
      <c r="AC103" s="94"/>
      <c r="AD103" s="94"/>
      <c r="AE103" s="94"/>
      <c r="AF103" s="94"/>
      <c r="AG103" s="94"/>
      <c r="AH103" s="263"/>
    </row>
    <row r="104" spans="1:34" ht="26.25" customHeight="1">
      <c r="A104" s="260"/>
      <c r="B104" s="264"/>
      <c r="C104" s="2"/>
      <c r="D104" s="2"/>
      <c r="E104" s="74">
        <v>10</v>
      </c>
      <c r="F104" s="74">
        <v>25</v>
      </c>
      <c r="G104" s="45">
        <f t="shared" si="4"/>
        <v>250</v>
      </c>
      <c r="H104" s="119" t="s">
        <v>46</v>
      </c>
      <c r="I104" s="128">
        <v>45310</v>
      </c>
      <c r="J104" s="74">
        <v>25</v>
      </c>
      <c r="K104" s="74">
        <f>6+5</f>
        <v>11</v>
      </c>
      <c r="L104" s="156">
        <v>45314</v>
      </c>
      <c r="M104" s="90">
        <v>250</v>
      </c>
      <c r="N104" s="90">
        <f>1+3</f>
        <v>4</v>
      </c>
      <c r="O104" s="90" t="s">
        <v>845</v>
      </c>
      <c r="P104" s="94" t="s">
        <v>160</v>
      </c>
      <c r="Q104" s="94">
        <v>8500066004</v>
      </c>
      <c r="R104" s="94">
        <v>5000082129</v>
      </c>
      <c r="S104" s="74">
        <v>25</v>
      </c>
      <c r="T104" s="90" t="s">
        <v>87</v>
      </c>
      <c r="U104" s="90">
        <v>8500065981</v>
      </c>
      <c r="V104" s="90">
        <v>5000099656</v>
      </c>
      <c r="W104" s="376">
        <v>45320</v>
      </c>
      <c r="X104" s="106">
        <v>25</v>
      </c>
      <c r="Y104" s="106">
        <v>250</v>
      </c>
      <c r="Z104" s="106" t="s">
        <v>800</v>
      </c>
      <c r="AA104" s="106">
        <f t="shared" si="5"/>
        <v>0</v>
      </c>
      <c r="AB104" s="106">
        <f t="shared" si="6"/>
        <v>0</v>
      </c>
      <c r="AC104" s="94"/>
      <c r="AD104" s="94"/>
      <c r="AE104" s="94"/>
      <c r="AF104" s="94"/>
      <c r="AG104" s="94"/>
      <c r="AH104" s="263"/>
    </row>
    <row r="105" spans="1:34" ht="26.25" customHeight="1">
      <c r="A105" s="260"/>
      <c r="B105" s="264"/>
      <c r="C105" s="2"/>
      <c r="D105" s="2"/>
      <c r="E105" s="74">
        <v>10</v>
      </c>
      <c r="F105" s="74">
        <v>25</v>
      </c>
      <c r="G105" s="45">
        <f t="shared" si="4"/>
        <v>250</v>
      </c>
      <c r="H105" s="119" t="s">
        <v>37</v>
      </c>
      <c r="I105" s="128">
        <v>45310</v>
      </c>
      <c r="J105" s="74">
        <v>25</v>
      </c>
      <c r="K105" s="74">
        <f>6+8</f>
        <v>14</v>
      </c>
      <c r="L105" s="156">
        <v>45315</v>
      </c>
      <c r="M105" s="90">
        <v>250</v>
      </c>
      <c r="N105" s="90">
        <v>3</v>
      </c>
      <c r="O105" s="90" t="s">
        <v>1603</v>
      </c>
      <c r="P105" s="94" t="s">
        <v>160</v>
      </c>
      <c r="Q105" s="94">
        <v>8500066004</v>
      </c>
      <c r="R105" s="94">
        <v>5000082129</v>
      </c>
      <c r="S105" s="74">
        <v>25</v>
      </c>
      <c r="T105" s="90" t="s">
        <v>87</v>
      </c>
      <c r="U105" s="90">
        <v>8500065981</v>
      </c>
      <c r="V105" s="90">
        <v>5000104094</v>
      </c>
      <c r="W105" s="376">
        <v>45320</v>
      </c>
      <c r="X105" s="106">
        <v>25</v>
      </c>
      <c r="Y105" s="106">
        <v>250</v>
      </c>
      <c r="Z105" s="106" t="s">
        <v>800</v>
      </c>
      <c r="AA105" s="106">
        <f t="shared" si="5"/>
        <v>0</v>
      </c>
      <c r="AB105" s="106">
        <f t="shared" si="6"/>
        <v>0</v>
      </c>
      <c r="AC105" s="94"/>
      <c r="AD105" s="94"/>
      <c r="AE105" s="94"/>
      <c r="AF105" s="94"/>
      <c r="AG105" s="94"/>
      <c r="AH105" s="263"/>
    </row>
    <row r="106" spans="1:34" ht="26.25" customHeight="1">
      <c r="A106" s="260" t="s">
        <v>279</v>
      </c>
      <c r="B106" s="264">
        <v>6000028099</v>
      </c>
      <c r="C106" s="2" t="s">
        <v>907</v>
      </c>
      <c r="D106" s="2" t="s">
        <v>2492</v>
      </c>
      <c r="E106" s="74">
        <v>10</v>
      </c>
      <c r="F106" s="74">
        <v>882</v>
      </c>
      <c r="G106" s="45">
        <f t="shared" si="4"/>
        <v>8820</v>
      </c>
      <c r="H106" s="119" t="s">
        <v>27</v>
      </c>
      <c r="I106" s="128">
        <v>45304</v>
      </c>
      <c r="J106" s="74">
        <v>882</v>
      </c>
      <c r="K106" s="74">
        <f>10+10</f>
        <v>20</v>
      </c>
      <c r="L106" s="156">
        <v>45308</v>
      </c>
      <c r="M106" s="90">
        <v>8820</v>
      </c>
      <c r="N106" s="90">
        <v>103</v>
      </c>
      <c r="O106" s="90" t="s">
        <v>862</v>
      </c>
      <c r="P106" s="94" t="s">
        <v>28</v>
      </c>
      <c r="Q106" s="94">
        <v>8500066359</v>
      </c>
      <c r="R106" s="94">
        <v>5000053163</v>
      </c>
      <c r="S106" s="94"/>
      <c r="T106" s="90" t="s">
        <v>87</v>
      </c>
      <c r="U106" s="90">
        <v>8500066358</v>
      </c>
      <c r="V106" s="90">
        <v>5000073113</v>
      </c>
      <c r="W106" s="376">
        <v>45327</v>
      </c>
      <c r="X106" s="106">
        <v>882</v>
      </c>
      <c r="Y106" s="106">
        <v>8820</v>
      </c>
      <c r="Z106" s="106" t="s">
        <v>849</v>
      </c>
      <c r="AA106" s="106">
        <f t="shared" si="5"/>
        <v>0</v>
      </c>
      <c r="AB106" s="106">
        <f t="shared" si="6"/>
        <v>0</v>
      </c>
      <c r="AC106" s="94"/>
      <c r="AD106" s="94"/>
      <c r="AE106" s="94"/>
      <c r="AF106" s="94"/>
      <c r="AG106" s="94"/>
      <c r="AH106" s="263"/>
    </row>
    <row r="107" spans="1:34" ht="26.25" customHeight="1">
      <c r="A107" s="260"/>
      <c r="B107" s="264"/>
      <c r="C107" s="2"/>
      <c r="D107" s="2"/>
      <c r="E107" s="74">
        <v>10</v>
      </c>
      <c r="F107" s="74">
        <v>588</v>
      </c>
      <c r="G107" s="45">
        <f t="shared" si="4"/>
        <v>5880</v>
      </c>
      <c r="H107" s="119" t="s">
        <v>46</v>
      </c>
      <c r="I107" s="128">
        <v>45304</v>
      </c>
      <c r="J107" s="74">
        <v>588</v>
      </c>
      <c r="K107" s="74">
        <f>10+6</f>
        <v>16</v>
      </c>
      <c r="L107" s="156">
        <v>45308</v>
      </c>
      <c r="M107" s="90">
        <v>5880</v>
      </c>
      <c r="N107" s="90">
        <v>74</v>
      </c>
      <c r="O107" s="90" t="s">
        <v>862</v>
      </c>
      <c r="P107" s="94" t="s">
        <v>28</v>
      </c>
      <c r="Q107" s="94">
        <v>8500066359</v>
      </c>
      <c r="R107" s="94">
        <v>5000053163</v>
      </c>
      <c r="S107" s="74">
        <v>588</v>
      </c>
      <c r="T107" s="90" t="s">
        <v>87</v>
      </c>
      <c r="U107" s="90">
        <v>8500066358</v>
      </c>
      <c r="V107" s="90">
        <v>5000073113</v>
      </c>
      <c r="W107" s="376">
        <v>45315</v>
      </c>
      <c r="X107" s="106">
        <v>588</v>
      </c>
      <c r="Y107" s="106">
        <v>5880</v>
      </c>
      <c r="Z107" s="106" t="s">
        <v>849</v>
      </c>
      <c r="AA107" s="106">
        <f t="shared" si="5"/>
        <v>0</v>
      </c>
      <c r="AB107" s="106">
        <f t="shared" si="6"/>
        <v>0</v>
      </c>
      <c r="AC107" s="94"/>
      <c r="AD107" s="94"/>
      <c r="AE107" s="94"/>
      <c r="AF107" s="94"/>
      <c r="AG107" s="94"/>
      <c r="AH107" s="263"/>
    </row>
    <row r="108" spans="1:34" ht="26.25" customHeight="1">
      <c r="A108" s="260"/>
      <c r="B108" s="264"/>
      <c r="C108" s="2"/>
      <c r="D108" s="2"/>
      <c r="E108" s="74">
        <v>10</v>
      </c>
      <c r="F108" s="74">
        <v>1632</v>
      </c>
      <c r="G108" s="45">
        <f t="shared" si="4"/>
        <v>16320</v>
      </c>
      <c r="H108" s="119" t="s">
        <v>37</v>
      </c>
      <c r="I108" s="128">
        <v>45304</v>
      </c>
      <c r="J108" s="74">
        <v>1632</v>
      </c>
      <c r="K108" s="74">
        <f>10+14</f>
        <v>24</v>
      </c>
      <c r="L108" s="156">
        <v>45308</v>
      </c>
      <c r="M108" s="90">
        <v>16320</v>
      </c>
      <c r="N108" s="90">
        <v>178</v>
      </c>
      <c r="O108" s="90" t="s">
        <v>862</v>
      </c>
      <c r="P108" s="94" t="s">
        <v>28</v>
      </c>
      <c r="Q108" s="94">
        <v>8500066359</v>
      </c>
      <c r="R108" s="94">
        <v>5000053163</v>
      </c>
      <c r="S108" s="74">
        <v>1632</v>
      </c>
      <c r="T108" s="90" t="s">
        <v>87</v>
      </c>
      <c r="U108" s="90">
        <v>8500066358</v>
      </c>
      <c r="V108" s="90">
        <v>5000073113</v>
      </c>
      <c r="W108" s="376">
        <v>45320</v>
      </c>
      <c r="X108" s="106">
        <v>1632</v>
      </c>
      <c r="Y108" s="106">
        <v>16320</v>
      </c>
      <c r="Z108" s="106" t="s">
        <v>848</v>
      </c>
      <c r="AA108" s="106">
        <f t="shared" si="5"/>
        <v>0</v>
      </c>
      <c r="AB108" s="106">
        <f t="shared" si="6"/>
        <v>0</v>
      </c>
      <c r="AC108" s="94"/>
      <c r="AD108" s="94"/>
      <c r="AE108" s="94"/>
      <c r="AF108" s="94"/>
      <c r="AG108" s="94"/>
      <c r="AH108" s="263"/>
    </row>
    <row r="109" spans="1:34" ht="26.25" customHeight="1">
      <c r="A109" s="260"/>
      <c r="B109" s="264"/>
      <c r="C109" s="2"/>
      <c r="D109" s="2"/>
      <c r="E109" s="74">
        <v>10</v>
      </c>
      <c r="F109" s="74">
        <v>238</v>
      </c>
      <c r="G109" s="45">
        <f t="shared" si="4"/>
        <v>2380</v>
      </c>
      <c r="H109" s="119" t="s">
        <v>146</v>
      </c>
      <c r="I109" s="128">
        <v>45304</v>
      </c>
      <c r="J109" s="74">
        <v>238</v>
      </c>
      <c r="K109" s="74">
        <f>10+2</f>
        <v>12</v>
      </c>
      <c r="L109" s="156">
        <v>45308</v>
      </c>
      <c r="M109" s="90">
        <v>2380</v>
      </c>
      <c r="N109" s="90">
        <v>39</v>
      </c>
      <c r="O109" s="90" t="s">
        <v>736</v>
      </c>
      <c r="P109" s="94" t="s">
        <v>28</v>
      </c>
      <c r="Q109" s="94">
        <v>8500066359</v>
      </c>
      <c r="R109" s="94">
        <v>5000053163</v>
      </c>
      <c r="S109" s="74">
        <v>238</v>
      </c>
      <c r="T109" s="90" t="s">
        <v>87</v>
      </c>
      <c r="U109" s="90">
        <v>8500066358</v>
      </c>
      <c r="V109" s="90">
        <v>5000073114</v>
      </c>
      <c r="W109" s="376">
        <v>45314</v>
      </c>
      <c r="X109" s="106">
        <v>238</v>
      </c>
      <c r="Y109" s="106">
        <v>2380</v>
      </c>
      <c r="Z109" s="106" t="s">
        <v>848</v>
      </c>
      <c r="AA109" s="106">
        <f t="shared" si="5"/>
        <v>0</v>
      </c>
      <c r="AB109" s="106">
        <f t="shared" si="6"/>
        <v>0</v>
      </c>
      <c r="AC109" s="94"/>
      <c r="AD109" s="94"/>
      <c r="AE109" s="94"/>
      <c r="AF109" s="94"/>
      <c r="AG109" s="94"/>
      <c r="AH109" s="263"/>
    </row>
    <row r="110" spans="1:34" ht="26.25" customHeight="1">
      <c r="A110" s="260" t="s">
        <v>279</v>
      </c>
      <c r="B110" s="264">
        <v>6000028100</v>
      </c>
      <c r="C110" s="2" t="s">
        <v>907</v>
      </c>
      <c r="D110" s="2" t="s">
        <v>2493</v>
      </c>
      <c r="E110" s="74">
        <v>10</v>
      </c>
      <c r="F110" s="74">
        <v>882</v>
      </c>
      <c r="G110" s="45">
        <f t="shared" ref="G110:G133" si="7">F110*E110</f>
        <v>8820</v>
      </c>
      <c r="H110" s="119" t="s">
        <v>27</v>
      </c>
      <c r="I110" s="128">
        <v>45304</v>
      </c>
      <c r="J110" s="74">
        <v>882</v>
      </c>
      <c r="K110" s="74">
        <f>10+9</f>
        <v>19</v>
      </c>
      <c r="L110" s="156">
        <v>45308</v>
      </c>
      <c r="M110" s="90">
        <v>8820</v>
      </c>
      <c r="N110" s="90">
        <v>74</v>
      </c>
      <c r="O110" s="90" t="s">
        <v>1743</v>
      </c>
      <c r="P110" s="94" t="s">
        <v>28</v>
      </c>
      <c r="Q110" s="94">
        <v>8500066361</v>
      </c>
      <c r="R110" s="94">
        <v>5000053165</v>
      </c>
      <c r="S110" s="74">
        <v>882</v>
      </c>
      <c r="T110" s="90" t="s">
        <v>87</v>
      </c>
      <c r="U110" s="90">
        <v>8500066360</v>
      </c>
      <c r="V110" s="90">
        <v>5000073115</v>
      </c>
      <c r="W110" s="376" t="s">
        <v>2816</v>
      </c>
      <c r="X110" s="106">
        <f>130-19+771</f>
        <v>882</v>
      </c>
      <c r="Y110" s="106">
        <f>1300-190 +7710</f>
        <v>8820</v>
      </c>
      <c r="Z110" s="106" t="s">
        <v>1691</v>
      </c>
      <c r="AA110" s="106">
        <f t="shared" si="5"/>
        <v>0</v>
      </c>
      <c r="AB110" s="106">
        <f t="shared" si="6"/>
        <v>0</v>
      </c>
      <c r="AC110" s="94"/>
      <c r="AD110" s="94"/>
      <c r="AE110" s="94"/>
      <c r="AF110" s="94"/>
      <c r="AG110" s="94"/>
      <c r="AH110" s="263"/>
    </row>
    <row r="111" spans="1:34" ht="26.25" customHeight="1">
      <c r="A111" s="260"/>
      <c r="B111" s="264"/>
      <c r="C111" s="2"/>
      <c r="D111" s="2"/>
      <c r="E111" s="74">
        <v>10</v>
      </c>
      <c r="F111" s="74">
        <v>588</v>
      </c>
      <c r="G111" s="45">
        <f t="shared" si="7"/>
        <v>5880</v>
      </c>
      <c r="H111" s="119" t="s">
        <v>46</v>
      </c>
      <c r="I111" s="128">
        <v>45304</v>
      </c>
      <c r="J111" s="74">
        <v>588</v>
      </c>
      <c r="K111" s="74">
        <f>10+8</f>
        <v>18</v>
      </c>
      <c r="L111" s="156">
        <v>45308</v>
      </c>
      <c r="M111" s="90">
        <v>5880</v>
      </c>
      <c r="N111" s="90">
        <v>103</v>
      </c>
      <c r="O111" s="90" t="s">
        <v>1848</v>
      </c>
      <c r="P111" s="94" t="s">
        <v>28</v>
      </c>
      <c r="Q111" s="94">
        <v>8500066361</v>
      </c>
      <c r="R111" s="94">
        <v>5000053165</v>
      </c>
      <c r="S111" s="74">
        <v>588</v>
      </c>
      <c r="T111" s="90" t="s">
        <v>87</v>
      </c>
      <c r="U111" s="90">
        <v>8500066360</v>
      </c>
      <c r="V111" s="90">
        <v>5000073115</v>
      </c>
      <c r="W111" s="376">
        <v>45317</v>
      </c>
      <c r="X111" s="106">
        <v>588</v>
      </c>
      <c r="Y111" s="106">
        <v>5880</v>
      </c>
      <c r="Z111" s="106" t="s">
        <v>849</v>
      </c>
      <c r="AA111" s="106">
        <f t="shared" si="5"/>
        <v>0</v>
      </c>
      <c r="AB111" s="106">
        <f t="shared" si="6"/>
        <v>0</v>
      </c>
      <c r="AC111" s="94"/>
      <c r="AD111" s="94"/>
      <c r="AE111" s="94"/>
      <c r="AF111" s="94"/>
      <c r="AG111" s="94"/>
      <c r="AH111" s="263"/>
    </row>
    <row r="112" spans="1:34" ht="26.25" customHeight="1">
      <c r="A112" s="260"/>
      <c r="B112" s="264"/>
      <c r="C112" s="2"/>
      <c r="D112" s="2"/>
      <c r="E112" s="74">
        <v>10</v>
      </c>
      <c r="F112" s="74">
        <v>1632</v>
      </c>
      <c r="G112" s="45">
        <f t="shared" si="7"/>
        <v>16320</v>
      </c>
      <c r="H112" s="119" t="s">
        <v>37</v>
      </c>
      <c r="I112" s="128" t="s">
        <v>2524</v>
      </c>
      <c r="J112" s="74">
        <f>800+832</f>
        <v>1632</v>
      </c>
      <c r="K112" s="74">
        <f>10+14</f>
        <v>24</v>
      </c>
      <c r="L112" s="156">
        <v>45309</v>
      </c>
      <c r="M112" s="90">
        <v>16320</v>
      </c>
      <c r="N112" s="90">
        <v>178</v>
      </c>
      <c r="O112" s="90"/>
      <c r="P112" s="94" t="s">
        <v>28</v>
      </c>
      <c r="Q112" s="94">
        <v>8500066361</v>
      </c>
      <c r="R112" s="94">
        <v>5000053165</v>
      </c>
      <c r="S112" s="74">
        <f>800+832</f>
        <v>1632</v>
      </c>
      <c r="T112" s="90" t="s">
        <v>87</v>
      </c>
      <c r="U112" s="90">
        <v>8500066360</v>
      </c>
      <c r="V112" s="90">
        <v>5000074383</v>
      </c>
      <c r="W112" s="376">
        <v>45321</v>
      </c>
      <c r="X112" s="112">
        <v>1632</v>
      </c>
      <c r="Y112" s="106">
        <v>16320</v>
      </c>
      <c r="Z112" s="106" t="s">
        <v>848</v>
      </c>
      <c r="AA112" s="106">
        <f t="shared" si="5"/>
        <v>0</v>
      </c>
      <c r="AB112" s="106">
        <f t="shared" si="6"/>
        <v>0</v>
      </c>
      <c r="AC112" s="485"/>
      <c r="AD112" s="94"/>
      <c r="AE112" s="94"/>
      <c r="AF112" s="94"/>
      <c r="AG112" s="94"/>
      <c r="AH112" s="263"/>
    </row>
    <row r="113" spans="1:34" ht="26.25" customHeight="1">
      <c r="A113" s="260"/>
      <c r="B113" s="264"/>
      <c r="C113" s="2"/>
      <c r="D113" s="2"/>
      <c r="E113" s="74">
        <v>10</v>
      </c>
      <c r="F113" s="74">
        <v>238</v>
      </c>
      <c r="G113" s="45">
        <f t="shared" si="7"/>
        <v>2380</v>
      </c>
      <c r="H113" s="119" t="s">
        <v>146</v>
      </c>
      <c r="I113" s="128">
        <v>45304</v>
      </c>
      <c r="J113" s="74">
        <v>238</v>
      </c>
      <c r="K113" s="74">
        <f>10+3</f>
        <v>13</v>
      </c>
      <c r="L113" s="156">
        <v>45308</v>
      </c>
      <c r="M113" s="90">
        <v>2380</v>
      </c>
      <c r="N113" s="90">
        <v>39</v>
      </c>
      <c r="O113" s="90" t="s">
        <v>845</v>
      </c>
      <c r="P113" s="94" t="s">
        <v>28</v>
      </c>
      <c r="Q113" s="94">
        <v>8500066361</v>
      </c>
      <c r="R113" s="94">
        <v>5000053165</v>
      </c>
      <c r="S113" s="74">
        <v>238</v>
      </c>
      <c r="T113" s="90" t="s">
        <v>87</v>
      </c>
      <c r="U113" s="90">
        <v>8500066360</v>
      </c>
      <c r="V113" s="90">
        <v>5000073115</v>
      </c>
      <c r="W113" s="376">
        <v>45315</v>
      </c>
      <c r="X113" s="106">
        <v>238</v>
      </c>
      <c r="Y113" s="106">
        <v>2380</v>
      </c>
      <c r="Z113" s="106" t="s">
        <v>848</v>
      </c>
      <c r="AA113" s="106">
        <f t="shared" si="5"/>
        <v>0</v>
      </c>
      <c r="AB113" s="106">
        <f t="shared" si="6"/>
        <v>0</v>
      </c>
      <c r="AC113" s="486"/>
      <c r="AD113" s="94"/>
      <c r="AE113" s="94"/>
      <c r="AF113" s="94"/>
      <c r="AG113" s="94"/>
      <c r="AH113" s="263"/>
    </row>
    <row r="114" spans="1:34" ht="26.25" customHeight="1">
      <c r="A114" s="260" t="s">
        <v>279</v>
      </c>
      <c r="B114" s="264">
        <v>6000028101</v>
      </c>
      <c r="C114" s="2" t="s">
        <v>907</v>
      </c>
      <c r="D114" s="2" t="s">
        <v>2494</v>
      </c>
      <c r="E114" s="74">
        <v>10</v>
      </c>
      <c r="F114" s="74">
        <v>882</v>
      </c>
      <c r="G114" s="45">
        <f t="shared" si="7"/>
        <v>8820</v>
      </c>
      <c r="H114" s="119" t="s">
        <v>27</v>
      </c>
      <c r="I114" s="128">
        <v>45304</v>
      </c>
      <c r="J114" s="74">
        <v>882</v>
      </c>
      <c r="K114" s="74">
        <f>10+9</f>
        <v>19</v>
      </c>
      <c r="L114" s="156">
        <v>45308</v>
      </c>
      <c r="M114" s="90">
        <v>8820</v>
      </c>
      <c r="N114" s="90">
        <v>103</v>
      </c>
      <c r="O114" s="90" t="s">
        <v>1743</v>
      </c>
      <c r="P114" s="94" t="s">
        <v>28</v>
      </c>
      <c r="Q114" s="94">
        <v>8500066367</v>
      </c>
      <c r="R114" s="94">
        <v>5000053168</v>
      </c>
      <c r="S114" s="74">
        <v>882</v>
      </c>
      <c r="T114" s="90" t="s">
        <v>87</v>
      </c>
      <c r="U114" s="90">
        <v>8500066366</v>
      </c>
      <c r="V114" s="90">
        <v>5000073116</v>
      </c>
      <c r="W114" s="376">
        <v>45331</v>
      </c>
      <c r="X114" s="106">
        <v>882</v>
      </c>
      <c r="Y114" s="106">
        <v>8820</v>
      </c>
      <c r="Z114" s="106" t="s">
        <v>849</v>
      </c>
      <c r="AA114" s="106">
        <f t="shared" si="5"/>
        <v>0</v>
      </c>
      <c r="AB114" s="106">
        <f t="shared" si="6"/>
        <v>0</v>
      </c>
      <c r="AC114" s="486"/>
      <c r="AD114" s="94"/>
      <c r="AE114" s="94"/>
      <c r="AF114" s="94"/>
      <c r="AG114" s="94"/>
      <c r="AH114" s="263"/>
    </row>
    <row r="115" spans="1:34" ht="26.25" customHeight="1">
      <c r="A115" s="260"/>
      <c r="B115" s="264"/>
      <c r="C115" s="2"/>
      <c r="D115" s="2"/>
      <c r="E115" s="74">
        <v>10</v>
      </c>
      <c r="F115" s="74">
        <v>588</v>
      </c>
      <c r="G115" s="45">
        <f t="shared" si="7"/>
        <v>5880</v>
      </c>
      <c r="H115" s="119" t="s">
        <v>46</v>
      </c>
      <c r="I115" s="128">
        <v>45304</v>
      </c>
      <c r="J115" s="74">
        <v>588</v>
      </c>
      <c r="K115" s="74">
        <f>10+8</f>
        <v>18</v>
      </c>
      <c r="L115" s="156">
        <v>45308</v>
      </c>
      <c r="M115" s="90">
        <v>5880</v>
      </c>
      <c r="N115" s="90">
        <v>74</v>
      </c>
      <c r="O115" s="90" t="s">
        <v>2547</v>
      </c>
      <c r="P115" s="94" t="s">
        <v>28</v>
      </c>
      <c r="Q115" s="94">
        <v>8500066367</v>
      </c>
      <c r="R115" s="94">
        <v>5000053168</v>
      </c>
      <c r="S115" s="74">
        <v>588</v>
      </c>
      <c r="T115" s="90" t="s">
        <v>87</v>
      </c>
      <c r="U115" s="90">
        <v>8500066366</v>
      </c>
      <c r="V115" s="90">
        <v>5000073116</v>
      </c>
      <c r="W115" s="376">
        <v>45318</v>
      </c>
      <c r="X115" s="106">
        <v>588</v>
      </c>
      <c r="Y115" s="106">
        <v>5880</v>
      </c>
      <c r="Z115" s="106" t="s">
        <v>849</v>
      </c>
      <c r="AA115" s="106">
        <f t="shared" si="5"/>
        <v>0</v>
      </c>
      <c r="AB115" s="106">
        <f t="shared" si="6"/>
        <v>0</v>
      </c>
      <c r="AC115" s="487"/>
      <c r="AD115" s="94"/>
      <c r="AE115" s="94"/>
      <c r="AF115" s="94"/>
      <c r="AG115" s="94"/>
      <c r="AH115" s="263"/>
    </row>
    <row r="116" spans="1:34" ht="26.25" customHeight="1">
      <c r="A116" s="260"/>
      <c r="B116" s="264"/>
      <c r="C116" s="2"/>
      <c r="D116" s="2"/>
      <c r="E116" s="74">
        <v>10</v>
      </c>
      <c r="F116" s="74">
        <v>1632</v>
      </c>
      <c r="G116" s="45">
        <f t="shared" si="7"/>
        <v>16320</v>
      </c>
      <c r="H116" s="119" t="s">
        <v>37</v>
      </c>
      <c r="I116" s="128">
        <v>45304</v>
      </c>
      <c r="J116" s="74">
        <v>1632</v>
      </c>
      <c r="K116" s="74">
        <f>10+13</f>
        <v>23</v>
      </c>
      <c r="L116" s="156">
        <v>45309</v>
      </c>
      <c r="M116" s="90">
        <v>16320</v>
      </c>
      <c r="N116" s="90">
        <v>178</v>
      </c>
      <c r="O116" s="90"/>
      <c r="P116" s="94" t="s">
        <v>28</v>
      </c>
      <c r="Q116" s="94">
        <v>8500066367</v>
      </c>
      <c r="R116" s="94">
        <v>5000053168</v>
      </c>
      <c r="S116" s="74">
        <v>1632</v>
      </c>
      <c r="T116" s="90" t="s">
        <v>87</v>
      </c>
      <c r="U116" s="90">
        <v>8500066366</v>
      </c>
      <c r="V116" s="90">
        <v>5000074384</v>
      </c>
      <c r="W116" s="376">
        <v>45329</v>
      </c>
      <c r="X116" s="106">
        <v>1632</v>
      </c>
      <c r="Y116" s="106">
        <v>16320</v>
      </c>
      <c r="Z116" s="106" t="s">
        <v>848</v>
      </c>
      <c r="AA116" s="106">
        <f t="shared" si="5"/>
        <v>0</v>
      </c>
      <c r="AB116" s="106">
        <f t="shared" si="6"/>
        <v>0</v>
      </c>
      <c r="AC116" s="94"/>
      <c r="AD116" s="94"/>
      <c r="AE116" s="94"/>
      <c r="AF116" s="94"/>
      <c r="AG116" s="94"/>
      <c r="AH116" s="263"/>
    </row>
    <row r="117" spans="1:34" ht="26.25" customHeight="1">
      <c r="A117" s="260"/>
      <c r="B117" s="264"/>
      <c r="C117" s="2"/>
      <c r="D117" s="2"/>
      <c r="E117" s="74">
        <v>10</v>
      </c>
      <c r="F117" s="74">
        <v>238</v>
      </c>
      <c r="G117" s="45">
        <f t="shared" si="7"/>
        <v>2380</v>
      </c>
      <c r="H117" s="119" t="s">
        <v>146</v>
      </c>
      <c r="I117" s="128">
        <v>45304</v>
      </c>
      <c r="J117" s="74">
        <v>238</v>
      </c>
      <c r="K117" s="74">
        <f>10+3</f>
        <v>13</v>
      </c>
      <c r="L117" s="156">
        <v>45308</v>
      </c>
      <c r="M117" s="90">
        <v>2380</v>
      </c>
      <c r="N117" s="90">
        <v>39</v>
      </c>
      <c r="O117" s="90" t="s">
        <v>845</v>
      </c>
      <c r="P117" s="94" t="s">
        <v>28</v>
      </c>
      <c r="Q117" s="94">
        <v>8500066367</v>
      </c>
      <c r="R117" s="94">
        <v>5000053168</v>
      </c>
      <c r="S117" s="74">
        <v>238</v>
      </c>
      <c r="T117" s="90" t="s">
        <v>87</v>
      </c>
      <c r="U117" s="90">
        <v>8500066366</v>
      </c>
      <c r="V117" s="90">
        <v>5000073116</v>
      </c>
      <c r="W117" s="376">
        <v>45317</v>
      </c>
      <c r="X117" s="106">
        <v>238</v>
      </c>
      <c r="Y117" s="106">
        <v>2380</v>
      </c>
      <c r="Z117" s="106" t="s">
        <v>848</v>
      </c>
      <c r="AA117" s="106">
        <f t="shared" si="5"/>
        <v>0</v>
      </c>
      <c r="AB117" s="106">
        <f t="shared" si="6"/>
        <v>0</v>
      </c>
      <c r="AC117" s="94"/>
      <c r="AD117" s="94"/>
      <c r="AE117" s="94"/>
      <c r="AF117" s="94"/>
      <c r="AG117" s="94"/>
      <c r="AH117" s="263"/>
    </row>
    <row r="118" spans="1:34" ht="26.25" customHeight="1">
      <c r="A118" s="260" t="s">
        <v>279</v>
      </c>
      <c r="B118" s="264">
        <v>6000028102</v>
      </c>
      <c r="C118" s="2" t="s">
        <v>907</v>
      </c>
      <c r="D118" s="2" t="s">
        <v>2495</v>
      </c>
      <c r="E118" s="74">
        <v>10</v>
      </c>
      <c r="F118" s="74">
        <v>882</v>
      </c>
      <c r="G118" s="45">
        <f t="shared" si="7"/>
        <v>8820</v>
      </c>
      <c r="H118" s="119" t="s">
        <v>27</v>
      </c>
      <c r="I118" s="128" t="s">
        <v>2588</v>
      </c>
      <c r="J118" s="74">
        <f>560+322</f>
        <v>882</v>
      </c>
      <c r="K118" s="74">
        <f>10+3</f>
        <v>13</v>
      </c>
      <c r="L118" s="156">
        <v>45313</v>
      </c>
      <c r="M118" s="90">
        <v>8820</v>
      </c>
      <c r="N118" s="90">
        <v>103</v>
      </c>
      <c r="O118" s="90"/>
      <c r="P118" s="94" t="s">
        <v>28</v>
      </c>
      <c r="Q118" s="94">
        <v>8500066365</v>
      </c>
      <c r="R118" s="94">
        <v>5000077550</v>
      </c>
      <c r="S118" s="94"/>
      <c r="T118" s="90" t="s">
        <v>87</v>
      </c>
      <c r="U118" s="90">
        <v>8500066364</v>
      </c>
      <c r="V118" s="90">
        <v>5000092095</v>
      </c>
      <c r="W118" s="376">
        <v>45334</v>
      </c>
      <c r="X118" s="106">
        <v>882</v>
      </c>
      <c r="Y118" s="106">
        <v>8820</v>
      </c>
      <c r="Z118" s="106" t="s">
        <v>849</v>
      </c>
      <c r="AA118" s="106">
        <f t="shared" si="5"/>
        <v>0</v>
      </c>
      <c r="AB118" s="106">
        <f t="shared" si="6"/>
        <v>0</v>
      </c>
      <c r="AC118" s="94"/>
      <c r="AD118" s="94"/>
      <c r="AE118" s="94"/>
      <c r="AF118" s="94"/>
      <c r="AG118" s="94"/>
      <c r="AH118" s="263"/>
    </row>
    <row r="119" spans="1:34" ht="26.25" customHeight="1">
      <c r="A119" s="260"/>
      <c r="B119" s="264"/>
      <c r="C119" s="2"/>
      <c r="D119" s="2"/>
      <c r="E119" s="74">
        <v>10</v>
      </c>
      <c r="F119" s="74">
        <v>588</v>
      </c>
      <c r="G119" s="45">
        <f t="shared" si="7"/>
        <v>5880</v>
      </c>
      <c r="H119" s="119" t="s">
        <v>46</v>
      </c>
      <c r="I119" s="128">
        <v>45309</v>
      </c>
      <c r="J119" s="74">
        <v>588</v>
      </c>
      <c r="K119" s="74">
        <f>10+8</f>
        <v>18</v>
      </c>
      <c r="L119" s="156">
        <v>45311</v>
      </c>
      <c r="M119" s="45">
        <v>5880</v>
      </c>
      <c r="N119" s="90">
        <v>74</v>
      </c>
      <c r="O119" s="90"/>
      <c r="P119" s="94" t="s">
        <v>28</v>
      </c>
      <c r="Q119" s="94">
        <v>8500066365</v>
      </c>
      <c r="R119" s="94">
        <v>5000077550</v>
      </c>
      <c r="S119" s="74">
        <v>588</v>
      </c>
      <c r="T119" s="90" t="s">
        <v>87</v>
      </c>
      <c r="U119" s="90">
        <v>8500066364</v>
      </c>
      <c r="V119" s="90">
        <v>5000083424</v>
      </c>
      <c r="W119" s="376">
        <v>45318</v>
      </c>
      <c r="X119" s="106">
        <v>588</v>
      </c>
      <c r="Y119" s="106">
        <v>5880</v>
      </c>
      <c r="Z119" s="106" t="s">
        <v>849</v>
      </c>
      <c r="AA119" s="106">
        <f t="shared" si="5"/>
        <v>0</v>
      </c>
      <c r="AB119" s="106">
        <f t="shared" si="6"/>
        <v>0</v>
      </c>
      <c r="AC119" s="94"/>
      <c r="AD119" s="94"/>
      <c r="AE119" s="94"/>
      <c r="AF119" s="94"/>
      <c r="AG119" s="94"/>
      <c r="AH119" s="263"/>
    </row>
    <row r="120" spans="1:34" ht="26.25" customHeight="1">
      <c r="A120" s="260"/>
      <c r="B120" s="264"/>
      <c r="C120" s="2"/>
      <c r="D120" s="2"/>
      <c r="E120" s="74">
        <v>10</v>
      </c>
      <c r="F120" s="74">
        <v>1632</v>
      </c>
      <c r="G120" s="45">
        <f t="shared" si="7"/>
        <v>16320</v>
      </c>
      <c r="H120" s="119" t="s">
        <v>37</v>
      </c>
      <c r="I120" s="128">
        <v>45309</v>
      </c>
      <c r="J120" s="74">
        <v>1632</v>
      </c>
      <c r="K120" s="74">
        <f>10+6</f>
        <v>16</v>
      </c>
      <c r="L120" s="156">
        <v>45311</v>
      </c>
      <c r="M120" s="45">
        <v>16320</v>
      </c>
      <c r="N120" s="90">
        <v>178</v>
      </c>
      <c r="O120" s="90"/>
      <c r="P120" s="94" t="s">
        <v>28</v>
      </c>
      <c r="Q120" s="94">
        <v>8500066365</v>
      </c>
      <c r="R120" s="94">
        <v>5000077550</v>
      </c>
      <c r="S120" s="74">
        <v>1632</v>
      </c>
      <c r="T120" s="90" t="s">
        <v>87</v>
      </c>
      <c r="U120" s="90">
        <v>8500066364</v>
      </c>
      <c r="V120" s="90">
        <v>5000083424</v>
      </c>
      <c r="W120" s="376">
        <v>45334</v>
      </c>
      <c r="X120" s="106">
        <v>1632</v>
      </c>
      <c r="Y120" s="106">
        <v>16320</v>
      </c>
      <c r="Z120" s="106" t="s">
        <v>848</v>
      </c>
      <c r="AA120" s="106">
        <f t="shared" si="5"/>
        <v>0</v>
      </c>
      <c r="AB120" s="106">
        <f t="shared" si="6"/>
        <v>0</v>
      </c>
      <c r="AC120" s="94"/>
      <c r="AD120" s="94"/>
      <c r="AE120" s="94"/>
      <c r="AF120" s="94"/>
      <c r="AG120" s="94"/>
      <c r="AH120" s="263"/>
    </row>
    <row r="121" spans="1:34" ht="26.25" customHeight="1">
      <c r="A121" s="260"/>
      <c r="B121" s="264"/>
      <c r="C121" s="2"/>
      <c r="D121" s="2"/>
      <c r="E121" s="74">
        <v>10</v>
      </c>
      <c r="F121" s="74">
        <v>238</v>
      </c>
      <c r="G121" s="45">
        <f t="shared" si="7"/>
        <v>2380</v>
      </c>
      <c r="H121" s="119" t="s">
        <v>146</v>
      </c>
      <c r="I121" s="128">
        <v>45309</v>
      </c>
      <c r="J121" s="74">
        <v>238</v>
      </c>
      <c r="K121" s="74">
        <v>12</v>
      </c>
      <c r="L121" s="156">
        <v>45313</v>
      </c>
      <c r="M121" s="45">
        <v>2380</v>
      </c>
      <c r="N121" s="90">
        <v>39</v>
      </c>
      <c r="O121" s="90" t="s">
        <v>1657</v>
      </c>
      <c r="P121" s="94" t="s">
        <v>28</v>
      </c>
      <c r="Q121" s="94">
        <v>8500066365</v>
      </c>
      <c r="R121" s="94">
        <v>5000077550</v>
      </c>
      <c r="S121" s="74">
        <v>238</v>
      </c>
      <c r="T121" s="90" t="s">
        <v>87</v>
      </c>
      <c r="U121" s="90">
        <v>8500066364</v>
      </c>
      <c r="V121" s="90">
        <v>5000092095</v>
      </c>
      <c r="W121" s="376">
        <v>45317</v>
      </c>
      <c r="X121" s="106">
        <v>238</v>
      </c>
      <c r="Y121" s="106">
        <v>2380</v>
      </c>
      <c r="Z121" s="106" t="s">
        <v>848</v>
      </c>
      <c r="AA121" s="106">
        <f t="shared" si="5"/>
        <v>0</v>
      </c>
      <c r="AB121" s="106">
        <f t="shared" si="6"/>
        <v>0</v>
      </c>
      <c r="AC121" s="94"/>
      <c r="AD121" s="94"/>
      <c r="AE121" s="94"/>
      <c r="AF121" s="94"/>
      <c r="AG121" s="94"/>
      <c r="AH121" s="263"/>
    </row>
    <row r="122" spans="1:34" ht="26.25" customHeight="1">
      <c r="A122" s="260" t="s">
        <v>279</v>
      </c>
      <c r="B122" s="264">
        <v>6000028103</v>
      </c>
      <c r="C122" s="2" t="s">
        <v>907</v>
      </c>
      <c r="D122" s="2" t="s">
        <v>2496</v>
      </c>
      <c r="E122" s="74">
        <v>10</v>
      </c>
      <c r="F122" s="74">
        <v>882</v>
      </c>
      <c r="G122" s="45">
        <f t="shared" si="7"/>
        <v>8820</v>
      </c>
      <c r="H122" s="119" t="s">
        <v>27</v>
      </c>
      <c r="I122" s="128">
        <v>45309</v>
      </c>
      <c r="J122" s="74">
        <v>882</v>
      </c>
      <c r="K122" s="74">
        <f>10+9</f>
        <v>19</v>
      </c>
      <c r="L122" s="156">
        <v>45313</v>
      </c>
      <c r="M122" s="45">
        <v>8820</v>
      </c>
      <c r="N122" s="90">
        <v>103</v>
      </c>
      <c r="O122" s="90"/>
      <c r="P122" s="94" t="s">
        <v>28</v>
      </c>
      <c r="Q122" s="94">
        <v>8500066363</v>
      </c>
      <c r="R122" s="94">
        <v>5000074050</v>
      </c>
      <c r="S122" s="94"/>
      <c r="T122" s="90" t="s">
        <v>87</v>
      </c>
      <c r="U122" s="90">
        <v>8500066362</v>
      </c>
      <c r="V122" s="90">
        <v>5000092146</v>
      </c>
      <c r="W122" s="376">
        <v>45335</v>
      </c>
      <c r="X122" s="106">
        <v>882</v>
      </c>
      <c r="Y122" s="106">
        <v>8820</v>
      </c>
      <c r="Z122" s="106" t="s">
        <v>2822</v>
      </c>
      <c r="AA122" s="106">
        <f t="shared" si="5"/>
        <v>0</v>
      </c>
      <c r="AB122" s="106">
        <f t="shared" si="6"/>
        <v>0</v>
      </c>
      <c r="AC122" s="94"/>
      <c r="AD122" s="94"/>
      <c r="AE122" s="94"/>
      <c r="AF122" s="94"/>
      <c r="AG122" s="94"/>
      <c r="AH122" s="263"/>
    </row>
    <row r="123" spans="1:34" ht="26.25" customHeight="1">
      <c r="A123" s="260"/>
      <c r="B123" s="264"/>
      <c r="C123" s="2"/>
      <c r="D123" s="2"/>
      <c r="E123" s="74">
        <v>10</v>
      </c>
      <c r="F123" s="74">
        <v>588</v>
      </c>
      <c r="G123" s="45">
        <f t="shared" si="7"/>
        <v>5880</v>
      </c>
      <c r="H123" s="119" t="s">
        <v>46</v>
      </c>
      <c r="I123" s="128">
        <v>45309</v>
      </c>
      <c r="J123" s="158">
        <v>588</v>
      </c>
      <c r="K123" s="74">
        <f>10+7</f>
        <v>17</v>
      </c>
      <c r="L123" s="156">
        <v>45313</v>
      </c>
      <c r="M123" s="90">
        <v>5880</v>
      </c>
      <c r="N123" s="90">
        <v>74</v>
      </c>
      <c r="O123" s="90" t="s">
        <v>1679</v>
      </c>
      <c r="P123" s="94" t="s">
        <v>28</v>
      </c>
      <c r="Q123" s="94">
        <v>8500066363</v>
      </c>
      <c r="R123" s="94">
        <v>5000077496</v>
      </c>
      <c r="S123" s="158">
        <v>588</v>
      </c>
      <c r="T123" s="90" t="s">
        <v>87</v>
      </c>
      <c r="U123" s="90">
        <v>8500066362</v>
      </c>
      <c r="V123" s="90">
        <v>5000092146</v>
      </c>
      <c r="W123" s="376">
        <v>45321</v>
      </c>
      <c r="X123" s="106">
        <v>588</v>
      </c>
      <c r="Y123" s="106">
        <v>5880</v>
      </c>
      <c r="Z123" s="106" t="s">
        <v>849</v>
      </c>
      <c r="AA123" s="106">
        <f t="shared" si="5"/>
        <v>0</v>
      </c>
      <c r="AB123" s="106">
        <f t="shared" si="6"/>
        <v>0</v>
      </c>
      <c r="AC123" s="94"/>
      <c r="AD123" s="94"/>
      <c r="AE123" s="94"/>
      <c r="AF123" s="94"/>
      <c r="AG123" s="94"/>
      <c r="AH123" s="263"/>
    </row>
    <row r="124" spans="1:34" ht="26.25" customHeight="1">
      <c r="A124" s="260"/>
      <c r="B124" s="264"/>
      <c r="C124" s="2"/>
      <c r="D124" s="2"/>
      <c r="E124" s="74">
        <v>10</v>
      </c>
      <c r="F124" s="74">
        <v>1632</v>
      </c>
      <c r="G124" s="45">
        <f t="shared" si="7"/>
        <v>16320</v>
      </c>
      <c r="H124" s="119" t="s">
        <v>37</v>
      </c>
      <c r="I124" s="128">
        <v>45309</v>
      </c>
      <c r="J124" s="158">
        <v>1632</v>
      </c>
      <c r="K124" s="74">
        <f>10+16</f>
        <v>26</v>
      </c>
      <c r="L124" s="156">
        <v>45311</v>
      </c>
      <c r="M124" s="90">
        <v>16320</v>
      </c>
      <c r="N124" s="90">
        <v>178</v>
      </c>
      <c r="O124" s="90"/>
      <c r="P124" s="94" t="s">
        <v>28</v>
      </c>
      <c r="Q124" s="94">
        <v>8500066363</v>
      </c>
      <c r="R124" s="94">
        <v>5000074050</v>
      </c>
      <c r="S124" s="158">
        <v>1632</v>
      </c>
      <c r="T124" s="90" t="s">
        <v>87</v>
      </c>
      <c r="U124" s="90">
        <v>8500066362</v>
      </c>
      <c r="V124" s="90">
        <v>5000083428</v>
      </c>
      <c r="W124" s="376">
        <v>45338</v>
      </c>
      <c r="X124" s="106">
        <v>1632</v>
      </c>
      <c r="Y124" s="106">
        <v>16320</v>
      </c>
      <c r="Z124" s="106" t="s">
        <v>848</v>
      </c>
      <c r="AA124" s="106">
        <f t="shared" si="5"/>
        <v>0</v>
      </c>
      <c r="AB124" s="106">
        <f t="shared" si="6"/>
        <v>0</v>
      </c>
      <c r="AC124" s="94"/>
      <c r="AD124" s="94"/>
      <c r="AE124" s="94"/>
      <c r="AF124" s="94"/>
      <c r="AG124" s="94"/>
      <c r="AH124" s="263"/>
    </row>
    <row r="125" spans="1:34" ht="26.25" customHeight="1">
      <c r="A125" s="260"/>
      <c r="B125" s="264"/>
      <c r="C125" s="2"/>
      <c r="D125" s="2"/>
      <c r="E125" s="74">
        <v>10</v>
      </c>
      <c r="F125" s="74">
        <v>238</v>
      </c>
      <c r="G125" s="45">
        <f t="shared" si="7"/>
        <v>2380</v>
      </c>
      <c r="H125" s="119" t="s">
        <v>146</v>
      </c>
      <c r="I125" s="128">
        <v>45309</v>
      </c>
      <c r="J125" s="158">
        <v>238</v>
      </c>
      <c r="K125" s="74">
        <f>10+2</f>
        <v>12</v>
      </c>
      <c r="L125" s="156">
        <v>45313</v>
      </c>
      <c r="M125" s="90">
        <v>2380</v>
      </c>
      <c r="N125" s="90">
        <v>39</v>
      </c>
      <c r="O125" s="90" t="s">
        <v>899</v>
      </c>
      <c r="P125" s="94" t="s">
        <v>28</v>
      </c>
      <c r="Q125" s="94">
        <v>8500066363</v>
      </c>
      <c r="R125" s="94">
        <v>5000077496</v>
      </c>
      <c r="S125" s="158">
        <v>238</v>
      </c>
      <c r="T125" s="90" t="s">
        <v>87</v>
      </c>
      <c r="U125" s="90">
        <v>8500066362</v>
      </c>
      <c r="V125" s="90">
        <v>5000092146</v>
      </c>
      <c r="W125" s="376">
        <v>45318</v>
      </c>
      <c r="X125" s="106">
        <v>238</v>
      </c>
      <c r="Y125" s="106">
        <v>2380</v>
      </c>
      <c r="Z125" s="106" t="s">
        <v>848</v>
      </c>
      <c r="AA125" s="106">
        <f t="shared" si="5"/>
        <v>0</v>
      </c>
      <c r="AB125" s="106">
        <f t="shared" si="6"/>
        <v>0</v>
      </c>
      <c r="AC125" s="94"/>
      <c r="AD125" s="94"/>
      <c r="AE125" s="94"/>
      <c r="AF125" s="94"/>
      <c r="AG125" s="94"/>
      <c r="AH125" s="263"/>
    </row>
    <row r="126" spans="1:34" ht="26.25" customHeight="1">
      <c r="A126" s="260" t="s">
        <v>279</v>
      </c>
      <c r="B126" s="264">
        <v>6000028104</v>
      </c>
      <c r="C126" s="2" t="s">
        <v>907</v>
      </c>
      <c r="D126" s="2" t="s">
        <v>2497</v>
      </c>
      <c r="E126" s="74">
        <v>10</v>
      </c>
      <c r="F126" s="74">
        <v>882</v>
      </c>
      <c r="G126" s="45">
        <f t="shared" si="7"/>
        <v>8820</v>
      </c>
      <c r="H126" s="119" t="s">
        <v>27</v>
      </c>
      <c r="I126" s="128">
        <v>45309</v>
      </c>
      <c r="J126" s="74">
        <v>882</v>
      </c>
      <c r="K126" s="74">
        <f>10+7</f>
        <v>17</v>
      </c>
      <c r="L126" s="156">
        <v>45313</v>
      </c>
      <c r="M126" s="90">
        <v>8820</v>
      </c>
      <c r="N126" s="90">
        <v>103</v>
      </c>
      <c r="O126" s="90"/>
      <c r="P126" s="94" t="s">
        <v>28</v>
      </c>
      <c r="Q126" s="94">
        <v>8500066355</v>
      </c>
      <c r="R126" s="94">
        <v>5000074051</v>
      </c>
      <c r="S126" s="94"/>
      <c r="T126" s="90" t="s">
        <v>87</v>
      </c>
      <c r="U126" s="90">
        <v>8500066354</v>
      </c>
      <c r="V126" s="90">
        <v>5000092091</v>
      </c>
      <c r="W126" s="376">
        <v>45338</v>
      </c>
      <c r="X126" s="106">
        <v>882</v>
      </c>
      <c r="Y126" s="106">
        <v>8820</v>
      </c>
      <c r="Z126" s="106" t="s">
        <v>849</v>
      </c>
      <c r="AA126" s="106">
        <f t="shared" si="5"/>
        <v>0</v>
      </c>
      <c r="AB126" s="106">
        <f t="shared" si="6"/>
        <v>0</v>
      </c>
      <c r="AC126" s="94"/>
      <c r="AD126" s="94"/>
      <c r="AE126" s="94"/>
      <c r="AF126" s="94"/>
      <c r="AG126" s="94"/>
      <c r="AH126" s="263"/>
    </row>
    <row r="127" spans="1:34" ht="26.25" customHeight="1">
      <c r="A127" s="260"/>
      <c r="C127" s="2"/>
      <c r="D127" s="2"/>
      <c r="E127" s="74">
        <v>10</v>
      </c>
      <c r="F127" s="74">
        <v>588</v>
      </c>
      <c r="G127" s="45">
        <f t="shared" si="7"/>
        <v>5880</v>
      </c>
      <c r="H127" s="119" t="s">
        <v>46</v>
      </c>
      <c r="I127" s="128">
        <v>45309</v>
      </c>
      <c r="J127" s="74">
        <v>588</v>
      </c>
      <c r="K127" s="74">
        <f>10+8</f>
        <v>18</v>
      </c>
      <c r="L127" s="156">
        <v>45313</v>
      </c>
      <c r="M127" s="90">
        <v>5880</v>
      </c>
      <c r="N127" s="90">
        <v>74</v>
      </c>
      <c r="O127" s="90" t="s">
        <v>898</v>
      </c>
      <c r="P127" s="94" t="s">
        <v>28</v>
      </c>
      <c r="Q127" s="94">
        <v>8500066355</v>
      </c>
      <c r="R127" s="94">
        <v>5000077499</v>
      </c>
      <c r="S127" s="74">
        <v>588</v>
      </c>
      <c r="T127" s="90" t="s">
        <v>87</v>
      </c>
      <c r="U127" s="90">
        <v>8500066354</v>
      </c>
      <c r="V127" s="90">
        <v>5000092091</v>
      </c>
      <c r="W127" s="376">
        <v>45321</v>
      </c>
      <c r="X127" s="106">
        <v>588</v>
      </c>
      <c r="Y127" s="106">
        <v>5880</v>
      </c>
      <c r="Z127" s="106" t="s">
        <v>849</v>
      </c>
      <c r="AA127" s="106">
        <f t="shared" si="5"/>
        <v>0</v>
      </c>
      <c r="AB127" s="106">
        <f t="shared" si="6"/>
        <v>0</v>
      </c>
      <c r="AC127" s="94"/>
      <c r="AD127" s="94"/>
      <c r="AE127" s="94"/>
      <c r="AF127" s="94"/>
      <c r="AG127" s="94"/>
      <c r="AH127" s="263"/>
    </row>
    <row r="128" spans="1:34" ht="26.25" customHeight="1">
      <c r="A128" s="260"/>
      <c r="B128" s="264"/>
      <c r="C128" s="2"/>
      <c r="D128" s="2"/>
      <c r="E128" s="74">
        <v>10</v>
      </c>
      <c r="F128" s="74">
        <v>1632</v>
      </c>
      <c r="G128" s="45">
        <f t="shared" si="7"/>
        <v>16320</v>
      </c>
      <c r="H128" s="119" t="s">
        <v>37</v>
      </c>
      <c r="I128" s="128">
        <v>45309</v>
      </c>
      <c r="J128" s="74">
        <v>1632</v>
      </c>
      <c r="K128" s="74">
        <f>10+1+18</f>
        <v>29</v>
      </c>
      <c r="L128" s="156">
        <v>45311</v>
      </c>
      <c r="M128" s="90">
        <v>16320</v>
      </c>
      <c r="N128" s="90">
        <v>178</v>
      </c>
      <c r="O128" s="90"/>
      <c r="P128" s="94" t="s">
        <v>28</v>
      </c>
      <c r="Q128" s="94">
        <v>8500066355</v>
      </c>
      <c r="R128" s="94">
        <v>5000074051</v>
      </c>
      <c r="S128" s="74">
        <v>1632</v>
      </c>
      <c r="T128" s="90" t="s">
        <v>87</v>
      </c>
      <c r="U128" s="90">
        <v>8500066354</v>
      </c>
      <c r="V128" s="90">
        <v>5000083363</v>
      </c>
      <c r="W128" s="376" t="s">
        <v>2884</v>
      </c>
      <c r="X128" s="106">
        <f>50+1582</f>
        <v>1632</v>
      </c>
      <c r="Y128" s="106">
        <f>500+15820</f>
        <v>16320</v>
      </c>
      <c r="Z128" s="106" t="s">
        <v>2887</v>
      </c>
      <c r="AA128" s="106">
        <f t="shared" si="5"/>
        <v>0</v>
      </c>
      <c r="AB128" s="106">
        <f t="shared" si="6"/>
        <v>0</v>
      </c>
      <c r="AC128" s="94"/>
      <c r="AD128" s="94"/>
      <c r="AE128" s="94"/>
      <c r="AF128" s="94"/>
      <c r="AG128" s="94"/>
      <c r="AH128" s="263"/>
    </row>
    <row r="129" spans="1:34" ht="26.25" customHeight="1">
      <c r="A129" s="260"/>
      <c r="B129" s="264"/>
      <c r="C129" s="2"/>
      <c r="D129" s="2"/>
      <c r="E129" s="74">
        <v>10</v>
      </c>
      <c r="F129" s="74">
        <v>238</v>
      </c>
      <c r="G129" s="45">
        <f t="shared" si="7"/>
        <v>2380</v>
      </c>
      <c r="H129" s="119" t="s">
        <v>146</v>
      </c>
      <c r="I129" s="128">
        <v>45309</v>
      </c>
      <c r="J129" s="74">
        <v>238</v>
      </c>
      <c r="K129" s="74">
        <f>10+2</f>
        <v>12</v>
      </c>
      <c r="L129" s="156">
        <v>45313</v>
      </c>
      <c r="M129" s="90">
        <v>2380</v>
      </c>
      <c r="N129" s="90">
        <v>39</v>
      </c>
      <c r="O129" s="90" t="s">
        <v>1403</v>
      </c>
      <c r="P129" s="94" t="s">
        <v>28</v>
      </c>
      <c r="Q129" s="94">
        <v>8500066355</v>
      </c>
      <c r="R129" s="94">
        <v>5000077499</v>
      </c>
      <c r="S129" s="74">
        <v>238</v>
      </c>
      <c r="T129" s="90" t="s">
        <v>87</v>
      </c>
      <c r="U129" s="90">
        <v>8500066354</v>
      </c>
      <c r="V129" s="90">
        <v>5000092091</v>
      </c>
      <c r="W129" s="376">
        <v>45318</v>
      </c>
      <c r="X129" s="106">
        <v>238</v>
      </c>
      <c r="Y129" s="106">
        <v>2380</v>
      </c>
      <c r="Z129" s="106" t="s">
        <v>848</v>
      </c>
      <c r="AA129" s="106">
        <f t="shared" si="5"/>
        <v>0</v>
      </c>
      <c r="AB129" s="106">
        <f t="shared" si="6"/>
        <v>0</v>
      </c>
      <c r="AC129" s="94"/>
      <c r="AD129" s="94"/>
      <c r="AE129" s="94"/>
      <c r="AF129" s="94"/>
      <c r="AG129" s="94"/>
      <c r="AH129" s="263"/>
    </row>
    <row r="130" spans="1:34" ht="26.25" customHeight="1">
      <c r="A130" s="260" t="s">
        <v>279</v>
      </c>
      <c r="B130" s="264">
        <v>6000028105</v>
      </c>
      <c r="C130" s="2" t="s">
        <v>907</v>
      </c>
      <c r="D130" s="2" t="s">
        <v>2498</v>
      </c>
      <c r="E130" s="74">
        <v>10</v>
      </c>
      <c r="F130" s="74">
        <v>882</v>
      </c>
      <c r="G130" s="45">
        <f t="shared" si="7"/>
        <v>8820</v>
      </c>
      <c r="H130" s="119" t="s">
        <v>27</v>
      </c>
      <c r="I130" s="128">
        <v>45309</v>
      </c>
      <c r="J130" s="158">
        <v>882</v>
      </c>
      <c r="K130" s="74">
        <f>10+8</f>
        <v>18</v>
      </c>
      <c r="L130" s="156">
        <v>45313</v>
      </c>
      <c r="M130" s="90">
        <v>8820</v>
      </c>
      <c r="N130" s="90">
        <v>103</v>
      </c>
      <c r="O130" s="90"/>
      <c r="P130" s="94" t="s">
        <v>28</v>
      </c>
      <c r="Q130" s="94">
        <v>8500066357</v>
      </c>
      <c r="R130" s="94">
        <v>5000074052</v>
      </c>
      <c r="S130" s="158">
        <v>882</v>
      </c>
      <c r="T130" s="90" t="s">
        <v>87</v>
      </c>
      <c r="U130" s="90">
        <v>8500066356</v>
      </c>
      <c r="V130" s="90">
        <v>5000092119</v>
      </c>
      <c r="W130" s="376" t="s">
        <v>2884</v>
      </c>
      <c r="X130" s="106">
        <f>832+50</f>
        <v>882</v>
      </c>
      <c r="Y130" s="106">
        <f>8320+500</f>
        <v>8820</v>
      </c>
      <c r="Z130" s="106" t="s">
        <v>1782</v>
      </c>
      <c r="AA130" s="106">
        <f t="shared" si="5"/>
        <v>0</v>
      </c>
      <c r="AB130" s="106">
        <f t="shared" si="6"/>
        <v>0</v>
      </c>
      <c r="AC130" s="94"/>
      <c r="AD130" s="94"/>
      <c r="AE130" s="94"/>
      <c r="AF130" s="94"/>
      <c r="AG130" s="94"/>
      <c r="AH130" s="263"/>
    </row>
    <row r="131" spans="1:34" ht="26.25" customHeight="1">
      <c r="A131" s="260"/>
      <c r="B131" s="264"/>
      <c r="C131" s="2"/>
      <c r="D131" s="2"/>
      <c r="E131" s="74">
        <v>10</v>
      </c>
      <c r="F131" s="74">
        <v>588</v>
      </c>
      <c r="G131" s="45">
        <f t="shared" si="7"/>
        <v>5880</v>
      </c>
      <c r="H131" s="119" t="s">
        <v>46</v>
      </c>
      <c r="I131" s="128">
        <v>45309</v>
      </c>
      <c r="J131" s="74">
        <v>588</v>
      </c>
      <c r="K131" s="74">
        <f>10+7</f>
        <v>17</v>
      </c>
      <c r="L131" s="156">
        <v>45311</v>
      </c>
      <c r="M131" s="90">
        <v>5880</v>
      </c>
      <c r="N131" s="90">
        <v>74</v>
      </c>
      <c r="O131" s="90" t="s">
        <v>1633</v>
      </c>
      <c r="P131" s="94" t="s">
        <v>28</v>
      </c>
      <c r="Q131" s="94">
        <v>8500066357</v>
      </c>
      <c r="R131" s="94">
        <v>5000074052</v>
      </c>
      <c r="S131" s="74">
        <v>588</v>
      </c>
      <c r="T131" s="90" t="s">
        <v>87</v>
      </c>
      <c r="U131" s="90">
        <v>8500066356</v>
      </c>
      <c r="V131" s="90">
        <v>5000083339</v>
      </c>
      <c r="W131" s="376">
        <v>45324</v>
      </c>
      <c r="X131" s="106">
        <v>588</v>
      </c>
      <c r="Y131" s="106">
        <v>5880</v>
      </c>
      <c r="Z131" s="106" t="s">
        <v>849</v>
      </c>
      <c r="AA131" s="106">
        <f t="shared" si="5"/>
        <v>0</v>
      </c>
      <c r="AB131" s="106">
        <f t="shared" si="6"/>
        <v>0</v>
      </c>
      <c r="AC131" s="94"/>
      <c r="AD131" s="94"/>
      <c r="AE131" s="94"/>
      <c r="AF131" s="94"/>
      <c r="AG131" s="94"/>
      <c r="AH131" s="263"/>
    </row>
    <row r="132" spans="1:34" ht="26.25" customHeight="1">
      <c r="A132" s="260"/>
      <c r="B132" s="264"/>
      <c r="C132" s="2"/>
      <c r="D132" s="2"/>
      <c r="E132" s="74">
        <v>10</v>
      </c>
      <c r="F132" s="74">
        <v>1632</v>
      </c>
      <c r="G132" s="45">
        <f t="shared" si="7"/>
        <v>16320</v>
      </c>
      <c r="H132" s="119" t="s">
        <v>37</v>
      </c>
      <c r="I132" s="128">
        <v>45309</v>
      </c>
      <c r="J132" s="74">
        <v>1632</v>
      </c>
      <c r="K132" s="74">
        <f>10+16</f>
        <v>26</v>
      </c>
      <c r="L132" s="156">
        <v>45311</v>
      </c>
      <c r="M132" s="90">
        <v>16320</v>
      </c>
      <c r="N132" s="90">
        <v>178</v>
      </c>
      <c r="O132" s="90"/>
      <c r="P132" s="94" t="s">
        <v>28</v>
      </c>
      <c r="Q132" s="94">
        <v>8500066357</v>
      </c>
      <c r="R132" s="94">
        <v>5000074052</v>
      </c>
      <c r="S132" s="74"/>
      <c r="T132" s="90" t="s">
        <v>87</v>
      </c>
      <c r="U132" s="90">
        <v>8500066356</v>
      </c>
      <c r="V132" s="90">
        <v>5000083339</v>
      </c>
      <c r="W132" s="376">
        <v>45346</v>
      </c>
      <c r="X132" s="106">
        <v>1632</v>
      </c>
      <c r="Y132" s="106">
        <v>16320</v>
      </c>
      <c r="Z132" s="106" t="s">
        <v>848</v>
      </c>
      <c r="AA132" s="106">
        <f t="shared" si="5"/>
        <v>0</v>
      </c>
      <c r="AB132" s="106">
        <f t="shared" si="6"/>
        <v>0</v>
      </c>
      <c r="AC132" s="94"/>
      <c r="AD132" s="94"/>
      <c r="AE132" s="94"/>
      <c r="AF132" s="94"/>
      <c r="AG132" s="94"/>
      <c r="AH132" s="263"/>
    </row>
    <row r="133" spans="1:34" ht="26.25" customHeight="1">
      <c r="A133" s="260"/>
      <c r="B133" s="264"/>
      <c r="C133" s="2"/>
      <c r="D133" s="2"/>
      <c r="E133" s="74">
        <v>10</v>
      </c>
      <c r="F133" s="74">
        <v>238</v>
      </c>
      <c r="G133" s="45">
        <f t="shared" si="7"/>
        <v>2380</v>
      </c>
      <c r="H133" s="119" t="s">
        <v>146</v>
      </c>
      <c r="I133" s="128">
        <v>45309</v>
      </c>
      <c r="J133" s="158">
        <v>238</v>
      </c>
      <c r="K133" s="74">
        <f>10+2</f>
        <v>12</v>
      </c>
      <c r="L133" s="156">
        <v>45313</v>
      </c>
      <c r="M133" s="90">
        <v>2380</v>
      </c>
      <c r="N133" s="90">
        <v>39</v>
      </c>
      <c r="O133" s="90" t="s">
        <v>1613</v>
      </c>
      <c r="P133" s="94" t="s">
        <v>28</v>
      </c>
      <c r="Q133" s="94">
        <v>8500066357</v>
      </c>
      <c r="R133" s="94">
        <v>5000077553</v>
      </c>
      <c r="S133" s="158">
        <v>238</v>
      </c>
      <c r="T133" s="90" t="s">
        <v>87</v>
      </c>
      <c r="U133" s="90">
        <v>8500066356</v>
      </c>
      <c r="V133" s="90">
        <v>5000092119</v>
      </c>
      <c r="W133" s="376">
        <v>45318</v>
      </c>
      <c r="X133" s="106">
        <v>238</v>
      </c>
      <c r="Y133" s="106">
        <v>2380</v>
      </c>
      <c r="Z133" s="106" t="s">
        <v>848</v>
      </c>
      <c r="AA133" s="106">
        <f t="shared" si="5"/>
        <v>0</v>
      </c>
      <c r="AB133" s="106">
        <f t="shared" si="6"/>
        <v>0</v>
      </c>
      <c r="AC133" s="94"/>
      <c r="AD133" s="94"/>
      <c r="AE133" s="94"/>
      <c r="AF133" s="94"/>
      <c r="AG133" s="94"/>
      <c r="AH133" s="263"/>
    </row>
    <row r="134" spans="1:34" ht="26.25" customHeight="1">
      <c r="A134" s="260" t="s">
        <v>652</v>
      </c>
      <c r="B134" s="264">
        <v>6000027793</v>
      </c>
      <c r="C134" s="2" t="s">
        <v>701</v>
      </c>
      <c r="D134" s="2" t="s">
        <v>2521</v>
      </c>
      <c r="E134" s="94">
        <v>20</v>
      </c>
      <c r="F134" s="74">
        <v>24</v>
      </c>
      <c r="G134" s="45">
        <f t="shared" ref="G134:G149" si="8">F134*E134</f>
        <v>480</v>
      </c>
      <c r="H134" s="119" t="s">
        <v>46</v>
      </c>
      <c r="I134" s="128">
        <v>45306</v>
      </c>
      <c r="J134" s="74">
        <v>24</v>
      </c>
      <c r="K134" s="74">
        <v>2</v>
      </c>
      <c r="L134" s="156">
        <v>45310</v>
      </c>
      <c r="M134" s="90">
        <v>480</v>
      </c>
      <c r="N134" s="90">
        <v>3</v>
      </c>
      <c r="O134" s="90" t="s">
        <v>824</v>
      </c>
      <c r="P134" s="95" t="s">
        <v>160</v>
      </c>
      <c r="Q134" s="74">
        <v>8500066301</v>
      </c>
      <c r="R134" s="94">
        <v>5000064412</v>
      </c>
      <c r="S134" s="74">
        <v>24</v>
      </c>
      <c r="T134" s="90" t="s">
        <v>152</v>
      </c>
      <c r="U134" s="90">
        <v>8500066299</v>
      </c>
      <c r="V134" s="90">
        <v>5000082009</v>
      </c>
      <c r="W134" s="376">
        <v>45321</v>
      </c>
      <c r="X134" s="106">
        <v>24</v>
      </c>
      <c r="Y134" s="106">
        <v>480</v>
      </c>
      <c r="Z134" s="106" t="s">
        <v>1841</v>
      </c>
      <c r="AA134" s="106">
        <f t="shared" si="5"/>
        <v>0</v>
      </c>
      <c r="AB134" s="106">
        <f t="shared" si="6"/>
        <v>0</v>
      </c>
      <c r="AC134" s="499"/>
      <c r="AD134" s="94"/>
      <c r="AE134" s="94"/>
      <c r="AF134" s="94"/>
      <c r="AG134" s="94"/>
      <c r="AH134" s="263"/>
    </row>
    <row r="135" spans="1:34" ht="26.25" customHeight="1">
      <c r="A135" s="260"/>
      <c r="B135" s="264"/>
      <c r="C135" s="2"/>
      <c r="D135" s="2"/>
      <c r="E135" s="94">
        <v>20</v>
      </c>
      <c r="F135" s="74">
        <v>240</v>
      </c>
      <c r="G135" s="45">
        <f t="shared" si="8"/>
        <v>4800</v>
      </c>
      <c r="H135" s="119" t="s">
        <v>37</v>
      </c>
      <c r="I135" s="128">
        <v>45306</v>
      </c>
      <c r="J135" s="74">
        <v>240</v>
      </c>
      <c r="K135" s="74">
        <v>5</v>
      </c>
      <c r="L135" s="156">
        <v>45310</v>
      </c>
      <c r="M135" s="90">
        <v>4800</v>
      </c>
      <c r="N135" s="90">
        <v>24</v>
      </c>
      <c r="O135" s="90" t="s">
        <v>1551</v>
      </c>
      <c r="P135" s="95" t="s">
        <v>160</v>
      </c>
      <c r="Q135" s="74">
        <v>8500066301</v>
      </c>
      <c r="R135" s="94">
        <v>5000064412</v>
      </c>
      <c r="S135" s="74">
        <v>240</v>
      </c>
      <c r="T135" s="90" t="s">
        <v>152</v>
      </c>
      <c r="U135" s="90">
        <v>8500066299</v>
      </c>
      <c r="V135" s="90">
        <v>5000082009</v>
      </c>
      <c r="W135" s="376">
        <v>45315</v>
      </c>
      <c r="X135" s="106">
        <v>240</v>
      </c>
      <c r="Y135" s="106">
        <v>4800</v>
      </c>
      <c r="Z135" s="106" t="s">
        <v>1841</v>
      </c>
      <c r="AA135" s="106">
        <f t="shared" si="5"/>
        <v>0</v>
      </c>
      <c r="AB135" s="106">
        <f t="shared" si="6"/>
        <v>0</v>
      </c>
      <c r="AC135" s="497"/>
      <c r="AD135" s="94"/>
      <c r="AE135" s="94"/>
      <c r="AF135" s="94"/>
      <c r="AG135" s="94"/>
      <c r="AH135" s="263"/>
    </row>
    <row r="136" spans="1:34" ht="26.25" customHeight="1">
      <c r="A136" s="260"/>
      <c r="B136" s="264"/>
      <c r="C136" s="2"/>
      <c r="D136" s="2"/>
      <c r="E136" s="94">
        <v>20</v>
      </c>
      <c r="F136" s="74">
        <v>186</v>
      </c>
      <c r="G136" s="45">
        <f t="shared" si="8"/>
        <v>3720</v>
      </c>
      <c r="H136" s="119" t="s">
        <v>146</v>
      </c>
      <c r="I136" s="128">
        <v>45306</v>
      </c>
      <c r="J136" s="74">
        <v>186</v>
      </c>
      <c r="K136" s="74">
        <v>3</v>
      </c>
      <c r="L136" s="156">
        <v>45310</v>
      </c>
      <c r="M136" s="90">
        <v>3720</v>
      </c>
      <c r="N136" s="90">
        <v>19</v>
      </c>
      <c r="O136" s="90" t="s">
        <v>795</v>
      </c>
      <c r="P136" s="95" t="s">
        <v>160</v>
      </c>
      <c r="Q136" s="74">
        <v>8500066301</v>
      </c>
      <c r="R136" s="94">
        <v>5000064412</v>
      </c>
      <c r="S136" s="74">
        <v>186</v>
      </c>
      <c r="T136" s="90" t="s">
        <v>152</v>
      </c>
      <c r="U136" s="90">
        <v>8500066299</v>
      </c>
      <c r="V136" s="90">
        <v>5000082009</v>
      </c>
      <c r="W136" s="376">
        <v>45317</v>
      </c>
      <c r="X136" s="106">
        <v>186</v>
      </c>
      <c r="Y136" s="106">
        <v>3720</v>
      </c>
      <c r="Z136" s="106" t="s">
        <v>1840</v>
      </c>
      <c r="AA136" s="106">
        <f t="shared" si="5"/>
        <v>0</v>
      </c>
      <c r="AB136" s="106">
        <f t="shared" si="6"/>
        <v>0</v>
      </c>
      <c r="AC136" s="497"/>
      <c r="AD136" s="94"/>
      <c r="AE136" s="94"/>
      <c r="AF136" s="94"/>
      <c r="AG136" s="94"/>
      <c r="AH136" s="263"/>
    </row>
    <row r="137" spans="1:34" ht="26.25" customHeight="1">
      <c r="A137" s="260" t="s">
        <v>652</v>
      </c>
      <c r="B137" s="264">
        <v>6000027794</v>
      </c>
      <c r="C137" s="2" t="s">
        <v>701</v>
      </c>
      <c r="D137" s="2" t="s">
        <v>2522</v>
      </c>
      <c r="E137" s="94">
        <v>20</v>
      </c>
      <c r="F137" s="74">
        <v>63</v>
      </c>
      <c r="G137" s="45">
        <f t="shared" si="8"/>
        <v>1260</v>
      </c>
      <c r="H137" s="119" t="s">
        <v>46</v>
      </c>
      <c r="I137" s="128">
        <v>45306</v>
      </c>
      <c r="J137" s="74">
        <v>63</v>
      </c>
      <c r="K137" s="74">
        <v>1</v>
      </c>
      <c r="L137" s="156">
        <v>45310</v>
      </c>
      <c r="M137" s="90">
        <v>1260</v>
      </c>
      <c r="N137" s="90">
        <v>7</v>
      </c>
      <c r="O137" s="90" t="s">
        <v>824</v>
      </c>
      <c r="P137" s="95" t="s">
        <v>160</v>
      </c>
      <c r="Q137" s="74">
        <v>8500066303</v>
      </c>
      <c r="R137" s="94">
        <v>5000064413</v>
      </c>
      <c r="S137" s="74">
        <v>63</v>
      </c>
      <c r="T137" s="90" t="s">
        <v>152</v>
      </c>
      <c r="U137" s="90">
        <v>8500066302</v>
      </c>
      <c r="V137" s="90">
        <v>5000082041</v>
      </c>
      <c r="W137" s="376">
        <v>45322</v>
      </c>
      <c r="X137" s="106">
        <v>63</v>
      </c>
      <c r="Y137" s="106">
        <v>1260</v>
      </c>
      <c r="Z137" s="106" t="s">
        <v>1841</v>
      </c>
      <c r="AA137" s="106">
        <f t="shared" si="5"/>
        <v>0</v>
      </c>
      <c r="AB137" s="106">
        <f t="shared" si="6"/>
        <v>0</v>
      </c>
      <c r="AC137" s="498"/>
      <c r="AD137" s="94"/>
      <c r="AE137" s="94"/>
      <c r="AF137" s="94"/>
      <c r="AG137" s="94"/>
      <c r="AH137" s="263"/>
    </row>
    <row r="138" spans="1:34" ht="26.25" customHeight="1">
      <c r="A138" s="260"/>
      <c r="B138" s="264"/>
      <c r="C138" s="2"/>
      <c r="D138" s="2"/>
      <c r="E138" s="94">
        <v>20</v>
      </c>
      <c r="F138" s="74">
        <v>169</v>
      </c>
      <c r="G138" s="45">
        <f t="shared" si="8"/>
        <v>3380</v>
      </c>
      <c r="H138" s="119" t="s">
        <v>37</v>
      </c>
      <c r="I138" s="128">
        <v>45306</v>
      </c>
      <c r="J138" s="158">
        <v>169</v>
      </c>
      <c r="K138" s="74">
        <v>3</v>
      </c>
      <c r="L138" s="156">
        <v>45310</v>
      </c>
      <c r="M138" s="90">
        <v>3380</v>
      </c>
      <c r="N138" s="90">
        <v>17</v>
      </c>
      <c r="O138" s="90" t="s">
        <v>824</v>
      </c>
      <c r="P138" s="95" t="s">
        <v>160</v>
      </c>
      <c r="Q138" s="74">
        <v>8500066303</v>
      </c>
      <c r="R138" s="94">
        <v>5000064413</v>
      </c>
      <c r="S138" s="158">
        <v>169</v>
      </c>
      <c r="T138" s="90" t="s">
        <v>152</v>
      </c>
      <c r="U138" s="90">
        <v>8500066302</v>
      </c>
      <c r="V138" s="90">
        <v>5000082041</v>
      </c>
      <c r="W138" s="376">
        <v>45317</v>
      </c>
      <c r="X138" s="106">
        <v>169</v>
      </c>
      <c r="Y138" s="106">
        <v>3380</v>
      </c>
      <c r="Z138" s="106" t="s">
        <v>1841</v>
      </c>
      <c r="AA138" s="106">
        <f t="shared" si="5"/>
        <v>0</v>
      </c>
      <c r="AB138" s="106">
        <f t="shared" si="6"/>
        <v>0</v>
      </c>
      <c r="AC138" s="94"/>
      <c r="AD138" s="94"/>
      <c r="AE138" s="94"/>
      <c r="AF138" s="94"/>
      <c r="AG138" s="94"/>
      <c r="AH138" s="263"/>
    </row>
    <row r="139" spans="1:34" ht="26.25" customHeight="1">
      <c r="A139" s="260"/>
      <c r="B139" s="264"/>
      <c r="C139" s="2"/>
      <c r="D139" s="2"/>
      <c r="E139" s="94">
        <v>20</v>
      </c>
      <c r="F139" s="74">
        <v>218</v>
      </c>
      <c r="G139" s="45">
        <f t="shared" si="8"/>
        <v>4360</v>
      </c>
      <c r="H139" s="119" t="s">
        <v>146</v>
      </c>
      <c r="I139" s="128">
        <v>45306</v>
      </c>
      <c r="J139" s="158">
        <v>218</v>
      </c>
      <c r="K139" s="74">
        <v>3</v>
      </c>
      <c r="L139" s="156">
        <v>45310</v>
      </c>
      <c r="M139" s="90">
        <v>4360</v>
      </c>
      <c r="N139" s="90">
        <v>22</v>
      </c>
      <c r="O139" s="90" t="s">
        <v>1637</v>
      </c>
      <c r="P139" s="95" t="s">
        <v>160</v>
      </c>
      <c r="Q139" s="74">
        <v>8500066303</v>
      </c>
      <c r="R139" s="94">
        <v>5000064413</v>
      </c>
      <c r="S139" s="158">
        <v>218</v>
      </c>
      <c r="T139" s="90" t="s">
        <v>152</v>
      </c>
      <c r="U139" s="90">
        <v>8500066302</v>
      </c>
      <c r="V139" s="90">
        <v>5000082041</v>
      </c>
      <c r="W139" s="376">
        <v>45318</v>
      </c>
      <c r="X139" s="106">
        <v>218</v>
      </c>
      <c r="Y139" s="106">
        <v>4360</v>
      </c>
      <c r="Z139" s="106" t="s">
        <v>2669</v>
      </c>
      <c r="AA139" s="106">
        <f t="shared" si="5"/>
        <v>0</v>
      </c>
      <c r="AB139" s="106">
        <f t="shared" si="6"/>
        <v>0</v>
      </c>
      <c r="AC139" s="94"/>
      <c r="AD139" s="94"/>
      <c r="AE139" s="94"/>
      <c r="AF139" s="94"/>
      <c r="AG139" s="94"/>
      <c r="AH139" s="263"/>
    </row>
    <row r="140" spans="1:34" ht="26.25" customHeight="1">
      <c r="A140" s="260" t="s">
        <v>635</v>
      </c>
      <c r="B140" s="264">
        <v>6000027892</v>
      </c>
      <c r="C140" s="2" t="s">
        <v>636</v>
      </c>
      <c r="D140" s="2" t="s">
        <v>2526</v>
      </c>
      <c r="E140" s="94">
        <v>10</v>
      </c>
      <c r="F140" s="74">
        <v>3072</v>
      </c>
      <c r="G140" s="45">
        <f t="shared" si="8"/>
        <v>30720</v>
      </c>
      <c r="H140" s="119" t="s">
        <v>46</v>
      </c>
      <c r="I140" s="128">
        <v>45311</v>
      </c>
      <c r="J140" s="74">
        <v>3072</v>
      </c>
      <c r="K140" s="74">
        <f>21+7+15</f>
        <v>43</v>
      </c>
      <c r="L140" s="156">
        <v>45324</v>
      </c>
      <c r="M140" s="90">
        <v>30720</v>
      </c>
      <c r="N140" s="90">
        <v>307</v>
      </c>
      <c r="O140" s="90"/>
      <c r="P140" s="95" t="s">
        <v>160</v>
      </c>
      <c r="Q140" s="94">
        <v>8500066085</v>
      </c>
      <c r="R140" s="94">
        <v>5000090847</v>
      </c>
      <c r="S140" s="94"/>
      <c r="T140" s="90" t="s">
        <v>87</v>
      </c>
      <c r="U140" s="90">
        <v>8500066084</v>
      </c>
      <c r="V140" s="90">
        <v>5000140050</v>
      </c>
      <c r="W140" s="376" t="s">
        <v>2785</v>
      </c>
      <c r="X140" s="106">
        <f>300+2772</f>
        <v>3072</v>
      </c>
      <c r="Y140" s="106">
        <f>3000+27720</f>
        <v>30720</v>
      </c>
      <c r="Z140" s="106" t="s">
        <v>2793</v>
      </c>
      <c r="AA140" s="106">
        <f t="shared" si="5"/>
        <v>0</v>
      </c>
      <c r="AB140" s="106">
        <f t="shared" si="6"/>
        <v>0</v>
      </c>
      <c r="AC140" s="94"/>
      <c r="AD140" s="94"/>
      <c r="AE140" s="94"/>
      <c r="AF140" s="94"/>
      <c r="AG140" s="94"/>
      <c r="AH140" s="263"/>
    </row>
    <row r="141" spans="1:34" ht="26.25" customHeight="1">
      <c r="A141" s="260"/>
      <c r="B141" s="264"/>
      <c r="C141" s="2"/>
      <c r="D141" s="2"/>
      <c r="E141" s="94">
        <v>10</v>
      </c>
      <c r="F141" s="74">
        <v>600</v>
      </c>
      <c r="G141" s="45">
        <f t="shared" si="8"/>
        <v>6000</v>
      </c>
      <c r="H141" s="119" t="s">
        <v>37</v>
      </c>
      <c r="I141" s="128">
        <v>45311</v>
      </c>
      <c r="J141" s="74">
        <v>600</v>
      </c>
      <c r="K141" s="74">
        <f>8+12</f>
        <v>20</v>
      </c>
      <c r="L141" s="156">
        <v>45324</v>
      </c>
      <c r="M141" s="90">
        <v>6000</v>
      </c>
      <c r="N141" s="90">
        <v>60</v>
      </c>
      <c r="O141" s="90"/>
      <c r="P141" s="95" t="s">
        <v>160</v>
      </c>
      <c r="Q141" s="94">
        <v>8500066085</v>
      </c>
      <c r="R141" s="94">
        <v>5000090847</v>
      </c>
      <c r="S141" s="94"/>
      <c r="T141" s="90" t="s">
        <v>87</v>
      </c>
      <c r="U141" s="90">
        <v>8500066084</v>
      </c>
      <c r="V141" s="90">
        <v>5000140050</v>
      </c>
      <c r="W141" s="376" t="s">
        <v>2785</v>
      </c>
      <c r="X141" s="106">
        <f>200+400</f>
        <v>600</v>
      </c>
      <c r="Y141" s="106">
        <f>2000+4000</f>
        <v>6000</v>
      </c>
      <c r="Z141" s="106" t="s">
        <v>2794</v>
      </c>
      <c r="AA141" s="106">
        <f t="shared" ref="AA141:AA204" si="9">J141-X141</f>
        <v>0</v>
      </c>
      <c r="AB141" s="106">
        <f t="shared" ref="AB141:AB204" si="10">M141-Y141</f>
        <v>0</v>
      </c>
      <c r="AC141" s="94"/>
      <c r="AD141" s="94"/>
      <c r="AE141" s="94"/>
      <c r="AF141" s="94"/>
      <c r="AG141" s="94"/>
      <c r="AH141" s="263"/>
    </row>
    <row r="142" spans="1:34" ht="26.25" customHeight="1">
      <c r="A142" s="260"/>
      <c r="B142" s="264"/>
      <c r="C142" s="2"/>
      <c r="D142" s="2"/>
      <c r="E142" s="94">
        <v>10</v>
      </c>
      <c r="F142" s="74">
        <v>288</v>
      </c>
      <c r="G142" s="45">
        <f t="shared" si="8"/>
        <v>2880</v>
      </c>
      <c r="H142" s="119" t="s">
        <v>146</v>
      </c>
      <c r="I142" s="128">
        <v>45311</v>
      </c>
      <c r="J142" s="74">
        <v>288</v>
      </c>
      <c r="K142" s="74">
        <v>5</v>
      </c>
      <c r="L142" s="156">
        <v>45324</v>
      </c>
      <c r="M142" s="90">
        <v>2880</v>
      </c>
      <c r="N142" s="90">
        <v>29</v>
      </c>
      <c r="O142" s="90"/>
      <c r="P142" s="95" t="s">
        <v>160</v>
      </c>
      <c r="Q142" s="94">
        <v>8500066085</v>
      </c>
      <c r="R142" s="94">
        <v>5000090847</v>
      </c>
      <c r="S142" s="94"/>
      <c r="T142" s="90" t="s">
        <v>87</v>
      </c>
      <c r="U142" s="90">
        <v>8500066084</v>
      </c>
      <c r="V142" s="90">
        <v>5000140050</v>
      </c>
      <c r="W142" s="376">
        <v>45324</v>
      </c>
      <c r="X142" s="106">
        <v>288</v>
      </c>
      <c r="Y142" s="106">
        <v>2880</v>
      </c>
      <c r="Z142" s="106" t="s">
        <v>800</v>
      </c>
      <c r="AA142" s="106">
        <f t="shared" si="9"/>
        <v>0</v>
      </c>
      <c r="AB142" s="106">
        <f t="shared" si="10"/>
        <v>0</v>
      </c>
      <c r="AC142" s="94"/>
      <c r="AD142" s="94"/>
      <c r="AE142" s="94"/>
      <c r="AF142" s="94"/>
      <c r="AG142" s="94"/>
      <c r="AH142" s="263"/>
    </row>
    <row r="143" spans="1:34" ht="26.25" customHeight="1">
      <c r="A143" s="260" t="s">
        <v>623</v>
      </c>
      <c r="B143" s="264">
        <v>6000027813</v>
      </c>
      <c r="C143" s="2" t="s">
        <v>624</v>
      </c>
      <c r="D143" s="2">
        <v>6000027813</v>
      </c>
      <c r="E143" s="94">
        <v>10</v>
      </c>
      <c r="F143" s="74">
        <v>336</v>
      </c>
      <c r="G143" s="45">
        <f t="shared" si="8"/>
        <v>3360</v>
      </c>
      <c r="H143" s="119" t="s">
        <v>46</v>
      </c>
      <c r="I143" s="128">
        <v>45311</v>
      </c>
      <c r="J143" s="158">
        <v>336</v>
      </c>
      <c r="K143" s="74">
        <v>5</v>
      </c>
      <c r="L143" s="156">
        <v>45315</v>
      </c>
      <c r="M143" s="90">
        <v>3360</v>
      </c>
      <c r="N143" s="90">
        <v>34</v>
      </c>
      <c r="O143" s="90" t="s">
        <v>1846</v>
      </c>
      <c r="P143" s="95" t="s">
        <v>160</v>
      </c>
      <c r="Q143" s="94">
        <v>8500066370</v>
      </c>
      <c r="R143" s="94">
        <v>5000090852</v>
      </c>
      <c r="S143" s="94"/>
      <c r="T143" s="90" t="s">
        <v>87</v>
      </c>
      <c r="U143" s="90">
        <v>8500066369</v>
      </c>
      <c r="V143" s="90">
        <v>5000103998</v>
      </c>
      <c r="W143" s="376">
        <v>45339</v>
      </c>
      <c r="X143" s="106">
        <v>336</v>
      </c>
      <c r="Y143" s="106">
        <v>3360</v>
      </c>
      <c r="Z143" s="106" t="s">
        <v>817</v>
      </c>
      <c r="AA143" s="106">
        <f t="shared" si="9"/>
        <v>0</v>
      </c>
      <c r="AB143" s="106">
        <f t="shared" si="10"/>
        <v>0</v>
      </c>
      <c r="AC143" s="94"/>
      <c r="AD143" s="94"/>
      <c r="AE143" s="94"/>
      <c r="AF143" s="94"/>
      <c r="AG143" s="94"/>
      <c r="AH143" s="263"/>
    </row>
    <row r="144" spans="1:34" ht="26.25" customHeight="1">
      <c r="A144" s="260" t="s">
        <v>623</v>
      </c>
      <c r="B144" s="264">
        <v>6000027813</v>
      </c>
      <c r="C144" s="2" t="s">
        <v>626</v>
      </c>
      <c r="D144" s="2">
        <v>6000027813</v>
      </c>
      <c r="E144" s="94">
        <v>10</v>
      </c>
      <c r="F144" s="277">
        <v>50</v>
      </c>
      <c r="G144" s="278">
        <f t="shared" si="8"/>
        <v>500</v>
      </c>
      <c r="H144" s="279" t="s">
        <v>243</v>
      </c>
      <c r="I144" s="281"/>
      <c r="J144" s="158"/>
      <c r="K144" s="74"/>
      <c r="L144" s="156"/>
      <c r="M144" s="90"/>
      <c r="N144" s="90"/>
      <c r="O144" s="90"/>
      <c r="P144" s="95" t="s">
        <v>895</v>
      </c>
      <c r="Q144" s="94">
        <v>8500066370</v>
      </c>
      <c r="R144" s="94">
        <v>5000121847</v>
      </c>
      <c r="S144" s="94"/>
      <c r="T144" s="90" t="s">
        <v>895</v>
      </c>
      <c r="U144" s="90">
        <v>8500066371</v>
      </c>
      <c r="V144" s="90">
        <v>5000105554</v>
      </c>
      <c r="W144" s="376"/>
      <c r="X144" s="106"/>
      <c r="Y144" s="106"/>
      <c r="Z144" s="106"/>
      <c r="AA144" s="106">
        <f t="shared" si="9"/>
        <v>0</v>
      </c>
      <c r="AB144" s="106">
        <f t="shared" si="10"/>
        <v>0</v>
      </c>
      <c r="AC144" s="94"/>
      <c r="AD144" s="94"/>
      <c r="AE144" s="94"/>
      <c r="AF144" s="94"/>
      <c r="AG144" s="94"/>
      <c r="AH144" s="263"/>
    </row>
    <row r="145" spans="1:34" ht="26.25" customHeight="1">
      <c r="A145" s="260"/>
      <c r="B145" s="264"/>
      <c r="C145" s="2"/>
      <c r="D145" s="2"/>
      <c r="E145" s="94">
        <v>10</v>
      </c>
      <c r="F145" s="74">
        <v>290</v>
      </c>
      <c r="G145" s="45">
        <f t="shared" si="8"/>
        <v>2900</v>
      </c>
      <c r="H145" s="119" t="s">
        <v>27</v>
      </c>
      <c r="I145" s="128">
        <v>45315</v>
      </c>
      <c r="J145" s="74">
        <v>290</v>
      </c>
      <c r="K145" s="74">
        <f>5+2</f>
        <v>7</v>
      </c>
      <c r="L145" s="156">
        <v>45315</v>
      </c>
      <c r="M145" s="90">
        <v>2900</v>
      </c>
      <c r="N145" s="90">
        <v>29</v>
      </c>
      <c r="O145" s="90" t="s">
        <v>2436</v>
      </c>
      <c r="P145" s="95" t="s">
        <v>160</v>
      </c>
      <c r="Q145" s="94">
        <v>8500066372</v>
      </c>
      <c r="R145" s="94">
        <v>5000104175</v>
      </c>
      <c r="S145" s="94"/>
      <c r="T145" s="90" t="s">
        <v>87</v>
      </c>
      <c r="U145" s="90">
        <v>8500066371</v>
      </c>
      <c r="V145" s="90">
        <v>5000104125</v>
      </c>
      <c r="W145" s="376">
        <v>45345</v>
      </c>
      <c r="X145" s="106">
        <v>290</v>
      </c>
      <c r="Y145" s="106">
        <v>2900</v>
      </c>
      <c r="Z145" s="106" t="s">
        <v>1502</v>
      </c>
      <c r="AA145" s="106">
        <f t="shared" si="9"/>
        <v>0</v>
      </c>
      <c r="AB145" s="106">
        <f t="shared" si="10"/>
        <v>0</v>
      </c>
      <c r="AC145" s="94"/>
      <c r="AD145" s="94"/>
      <c r="AE145" s="94"/>
      <c r="AF145" s="94"/>
      <c r="AG145" s="94"/>
      <c r="AH145" s="263"/>
    </row>
    <row r="146" spans="1:34" ht="26.25" customHeight="1">
      <c r="A146" s="260"/>
      <c r="B146" s="264"/>
      <c r="C146" s="2"/>
      <c r="D146" s="2"/>
      <c r="E146" s="94">
        <v>10</v>
      </c>
      <c r="F146" s="74">
        <v>370</v>
      </c>
      <c r="G146" s="45">
        <f t="shared" si="8"/>
        <v>3700</v>
      </c>
      <c r="H146" s="119" t="s">
        <v>46</v>
      </c>
      <c r="I146" s="128">
        <v>45322</v>
      </c>
      <c r="J146" s="74">
        <f>364+6</f>
        <v>370</v>
      </c>
      <c r="K146" s="74">
        <f>5+2</f>
        <v>7</v>
      </c>
      <c r="L146" s="156">
        <v>45315</v>
      </c>
      <c r="M146" s="90">
        <v>3700</v>
      </c>
      <c r="N146" s="90">
        <v>37</v>
      </c>
      <c r="O146" s="90" t="s">
        <v>1583</v>
      </c>
      <c r="P146" s="95" t="s">
        <v>160</v>
      </c>
      <c r="Q146" s="94">
        <v>8500066372</v>
      </c>
      <c r="R146" s="94">
        <v>5000135307</v>
      </c>
      <c r="S146" s="94"/>
      <c r="T146" s="90" t="s">
        <v>87</v>
      </c>
      <c r="U146" s="90">
        <v>8500066371</v>
      </c>
      <c r="V146" s="90">
        <v>5000104125</v>
      </c>
      <c r="W146" s="376">
        <v>45339</v>
      </c>
      <c r="X146" s="106">
        <v>370</v>
      </c>
      <c r="Y146" s="106">
        <v>3700</v>
      </c>
      <c r="Z146" s="106" t="s">
        <v>817</v>
      </c>
      <c r="AA146" s="106">
        <f t="shared" si="9"/>
        <v>0</v>
      </c>
      <c r="AB146" s="106">
        <f t="shared" si="10"/>
        <v>0</v>
      </c>
      <c r="AC146" s="94"/>
      <c r="AD146" s="94"/>
      <c r="AE146" s="94"/>
      <c r="AF146" s="94"/>
      <c r="AG146" s="94"/>
      <c r="AH146" s="263"/>
    </row>
    <row r="147" spans="1:34" ht="26.25" customHeight="1">
      <c r="A147" s="260"/>
      <c r="B147" s="264"/>
      <c r="C147" s="2"/>
      <c r="D147" s="2"/>
      <c r="E147" s="94">
        <v>10</v>
      </c>
      <c r="F147" s="74">
        <v>370</v>
      </c>
      <c r="G147" s="45">
        <f t="shared" si="8"/>
        <v>3700</v>
      </c>
      <c r="H147" s="119" t="s">
        <v>37</v>
      </c>
      <c r="I147" s="128">
        <v>45315</v>
      </c>
      <c r="J147" s="74">
        <v>370</v>
      </c>
      <c r="K147" s="74">
        <f>5+5</f>
        <v>10</v>
      </c>
      <c r="L147" s="156">
        <v>45315</v>
      </c>
      <c r="M147" s="90">
        <v>3700</v>
      </c>
      <c r="N147" s="90">
        <v>37</v>
      </c>
      <c r="O147" s="90" t="s">
        <v>1388</v>
      </c>
      <c r="P147" s="95" t="s">
        <v>160</v>
      </c>
      <c r="Q147" s="94">
        <v>8500066372</v>
      </c>
      <c r="R147" s="94">
        <v>5000104175</v>
      </c>
      <c r="S147" s="94"/>
      <c r="T147" s="90" t="s">
        <v>87</v>
      </c>
      <c r="U147" s="90">
        <v>8500066371</v>
      </c>
      <c r="V147" s="90">
        <v>5000104125</v>
      </c>
      <c r="W147" s="376">
        <v>45346</v>
      </c>
      <c r="X147" s="106">
        <v>370</v>
      </c>
      <c r="Y147" s="106">
        <v>3700</v>
      </c>
      <c r="Z147" s="114" t="s">
        <v>197</v>
      </c>
      <c r="AA147" s="106">
        <f t="shared" si="9"/>
        <v>0</v>
      </c>
      <c r="AB147" s="106">
        <f t="shared" si="10"/>
        <v>0</v>
      </c>
      <c r="AC147" s="94"/>
      <c r="AD147" s="94"/>
      <c r="AE147" s="94"/>
      <c r="AF147" s="94"/>
      <c r="AG147" s="94"/>
      <c r="AH147" s="263"/>
    </row>
    <row r="148" spans="1:34" ht="26.25" customHeight="1">
      <c r="A148" s="260"/>
      <c r="B148" s="264"/>
      <c r="C148" s="2"/>
      <c r="D148" s="2"/>
      <c r="E148" s="94">
        <v>10</v>
      </c>
      <c r="F148" s="74">
        <v>200</v>
      </c>
      <c r="G148" s="45">
        <f t="shared" si="8"/>
        <v>2000</v>
      </c>
      <c r="H148" s="119" t="s">
        <v>146</v>
      </c>
      <c r="I148" s="128">
        <v>45315</v>
      </c>
      <c r="J148" s="74">
        <v>200</v>
      </c>
      <c r="K148" s="74">
        <f>4+3</f>
        <v>7</v>
      </c>
      <c r="L148" s="156">
        <v>45315</v>
      </c>
      <c r="M148" s="90">
        <v>2000</v>
      </c>
      <c r="N148" s="90">
        <v>20</v>
      </c>
      <c r="O148" s="90" t="s">
        <v>1348</v>
      </c>
      <c r="P148" s="95" t="s">
        <v>160</v>
      </c>
      <c r="Q148" s="94">
        <v>8500066372</v>
      </c>
      <c r="R148" s="94">
        <v>5000104175</v>
      </c>
      <c r="S148" s="94"/>
      <c r="T148" s="90" t="s">
        <v>87</v>
      </c>
      <c r="U148" s="90">
        <v>8500066371</v>
      </c>
      <c r="V148" s="90">
        <v>5000104125</v>
      </c>
      <c r="W148" s="376">
        <v>45349</v>
      </c>
      <c r="X148" s="106">
        <v>200</v>
      </c>
      <c r="Y148" s="106">
        <v>2000</v>
      </c>
      <c r="Z148" s="106" t="s">
        <v>798</v>
      </c>
      <c r="AA148" s="106">
        <f t="shared" si="9"/>
        <v>0</v>
      </c>
      <c r="AB148" s="106">
        <f t="shared" si="10"/>
        <v>0</v>
      </c>
      <c r="AC148" s="94"/>
      <c r="AD148" s="94"/>
      <c r="AE148" s="94"/>
      <c r="AF148" s="94"/>
      <c r="AG148" s="94"/>
      <c r="AH148" s="263"/>
    </row>
    <row r="149" spans="1:34" ht="26.25" customHeight="1">
      <c r="A149" s="260"/>
      <c r="B149" s="264"/>
      <c r="C149" s="2"/>
      <c r="D149" s="2"/>
      <c r="E149" s="94">
        <v>10</v>
      </c>
      <c r="F149" s="74">
        <v>100</v>
      </c>
      <c r="G149" s="45">
        <f t="shared" si="8"/>
        <v>1000</v>
      </c>
      <c r="H149" s="119" t="s">
        <v>365</v>
      </c>
      <c r="I149" s="128">
        <v>45315</v>
      </c>
      <c r="J149" s="74">
        <v>100</v>
      </c>
      <c r="K149" s="74">
        <f>2+3</f>
        <v>5</v>
      </c>
      <c r="L149" s="156">
        <v>45315</v>
      </c>
      <c r="M149" s="90">
        <v>1000</v>
      </c>
      <c r="N149" s="90">
        <v>10</v>
      </c>
      <c r="O149" s="90" t="s">
        <v>1603</v>
      </c>
      <c r="P149" s="95" t="s">
        <v>160</v>
      </c>
      <c r="Q149" s="94">
        <v>8500066373</v>
      </c>
      <c r="R149" s="94">
        <v>5000104176</v>
      </c>
      <c r="S149" s="94"/>
      <c r="T149" s="90" t="s">
        <v>87</v>
      </c>
      <c r="U149" s="90">
        <v>8500066373</v>
      </c>
      <c r="V149" s="90">
        <v>5000104127</v>
      </c>
      <c r="W149" s="376">
        <v>45321</v>
      </c>
      <c r="X149" s="106">
        <v>100</v>
      </c>
      <c r="Y149" s="106">
        <v>1000</v>
      </c>
      <c r="Z149" s="106" t="s">
        <v>800</v>
      </c>
      <c r="AA149" s="106">
        <f t="shared" si="9"/>
        <v>0</v>
      </c>
      <c r="AB149" s="106">
        <f t="shared" si="10"/>
        <v>0</v>
      </c>
      <c r="AC149" s="94"/>
      <c r="AD149" s="94"/>
      <c r="AE149" s="94"/>
      <c r="AF149" s="94"/>
      <c r="AG149" s="94"/>
      <c r="AH149" s="263"/>
    </row>
    <row r="150" spans="1:34" ht="26.25" customHeight="1">
      <c r="A150" s="260" t="s">
        <v>623</v>
      </c>
      <c r="B150" s="264">
        <v>6000027813</v>
      </c>
      <c r="C150" s="2" t="s">
        <v>629</v>
      </c>
      <c r="D150" s="2">
        <v>6000027813</v>
      </c>
      <c r="E150" s="94">
        <v>10</v>
      </c>
      <c r="F150" s="282">
        <v>185</v>
      </c>
      <c r="G150" s="283">
        <v>1850</v>
      </c>
      <c r="H150" s="284" t="s">
        <v>243</v>
      </c>
      <c r="I150" s="128" t="s">
        <v>895</v>
      </c>
      <c r="J150" s="158"/>
      <c r="K150" s="74"/>
      <c r="L150" s="156">
        <v>45304</v>
      </c>
      <c r="M150" s="90">
        <v>1850</v>
      </c>
      <c r="N150" s="90">
        <v>194</v>
      </c>
      <c r="O150" s="90" t="s">
        <v>2534</v>
      </c>
      <c r="P150" s="128" t="s">
        <v>895</v>
      </c>
      <c r="Q150" s="94">
        <v>8500066375</v>
      </c>
      <c r="R150" s="94">
        <v>5000177328</v>
      </c>
      <c r="S150" s="94"/>
      <c r="T150" s="90" t="s">
        <v>924</v>
      </c>
      <c r="U150" s="90">
        <v>8500066377</v>
      </c>
      <c r="V150" s="90">
        <v>5000068936</v>
      </c>
      <c r="W150" s="376"/>
      <c r="X150" s="106"/>
      <c r="Y150" s="106">
        <v>1850</v>
      </c>
      <c r="Z150" s="106" t="s">
        <v>1980</v>
      </c>
      <c r="AA150" s="106">
        <f t="shared" si="9"/>
        <v>0</v>
      </c>
      <c r="AB150" s="106">
        <f t="shared" si="10"/>
        <v>0</v>
      </c>
      <c r="AC150" s="94"/>
      <c r="AD150" s="94"/>
      <c r="AE150" s="94"/>
      <c r="AF150" s="94"/>
      <c r="AG150" s="94"/>
      <c r="AH150" s="263"/>
    </row>
    <row r="151" spans="1:34" ht="26.25" customHeight="1">
      <c r="A151" s="260"/>
      <c r="B151" s="264"/>
      <c r="C151" s="2"/>
      <c r="D151" s="2"/>
      <c r="E151" s="94"/>
      <c r="F151" s="282"/>
      <c r="G151" s="283">
        <v>1850</v>
      </c>
      <c r="H151" s="284" t="s">
        <v>243</v>
      </c>
      <c r="I151" s="128"/>
      <c r="J151" s="74"/>
      <c r="K151" s="74"/>
      <c r="L151" s="156">
        <v>45304</v>
      </c>
      <c r="M151" s="90">
        <v>1850</v>
      </c>
      <c r="N151" s="90">
        <v>246</v>
      </c>
      <c r="O151" s="90" t="s">
        <v>2534</v>
      </c>
      <c r="P151" s="94"/>
      <c r="Q151" s="94"/>
      <c r="R151" s="94"/>
      <c r="S151" s="94"/>
      <c r="T151" s="90" t="s">
        <v>924</v>
      </c>
      <c r="U151" s="90">
        <v>8500066376</v>
      </c>
      <c r="V151" s="90">
        <v>5000068938</v>
      </c>
      <c r="W151" s="376"/>
      <c r="X151" s="106"/>
      <c r="Y151" s="106">
        <v>1850</v>
      </c>
      <c r="Z151" s="106" t="s">
        <v>1980</v>
      </c>
      <c r="AA151" s="106">
        <f t="shared" si="9"/>
        <v>0</v>
      </c>
      <c r="AB151" s="106">
        <f t="shared" si="10"/>
        <v>0</v>
      </c>
      <c r="AC151" s="94"/>
      <c r="AD151" s="94"/>
      <c r="AE151" s="94"/>
      <c r="AF151" s="94"/>
      <c r="AG151" s="94"/>
      <c r="AH151" s="263"/>
    </row>
    <row r="152" spans="1:34" ht="26.25" customHeight="1">
      <c r="A152" s="260"/>
      <c r="B152" s="264"/>
      <c r="C152" s="512" t="s">
        <v>2533</v>
      </c>
      <c r="D152" s="513"/>
      <c r="E152" s="94">
        <v>10</v>
      </c>
      <c r="F152" s="74">
        <v>165</v>
      </c>
      <c r="G152" s="45">
        <v>1650</v>
      </c>
      <c r="H152" s="119" t="s">
        <v>27</v>
      </c>
      <c r="I152" s="128" t="s">
        <v>2928</v>
      </c>
      <c r="J152" s="74">
        <f>152+8+5</f>
        <v>165</v>
      </c>
      <c r="K152" s="74">
        <f>4+3</f>
        <v>7</v>
      </c>
      <c r="L152" s="156">
        <v>45304</v>
      </c>
      <c r="M152" s="90">
        <v>1650</v>
      </c>
      <c r="N152" s="90">
        <v>239</v>
      </c>
      <c r="O152" s="90" t="s">
        <v>2534</v>
      </c>
      <c r="P152" s="94"/>
      <c r="Q152" s="94">
        <v>8500066375</v>
      </c>
      <c r="R152" s="94">
        <v>5000091065</v>
      </c>
      <c r="S152" s="94"/>
      <c r="T152" s="90" t="s">
        <v>924</v>
      </c>
      <c r="U152" s="90">
        <v>8500066377</v>
      </c>
      <c r="V152" s="90">
        <v>5000068936</v>
      </c>
      <c r="W152" s="376">
        <v>45346</v>
      </c>
      <c r="X152" s="106">
        <v>165</v>
      </c>
      <c r="Y152" s="106">
        <v>1650</v>
      </c>
      <c r="Z152" s="106" t="s">
        <v>1502</v>
      </c>
      <c r="AA152" s="106">
        <f t="shared" si="9"/>
        <v>0</v>
      </c>
      <c r="AB152" s="106">
        <f t="shared" si="10"/>
        <v>0</v>
      </c>
      <c r="AC152" s="94"/>
      <c r="AD152" s="94"/>
      <c r="AE152" s="94"/>
      <c r="AF152" s="94"/>
      <c r="AG152" s="94"/>
      <c r="AH152" s="263"/>
    </row>
    <row r="153" spans="1:34" ht="26.25" customHeight="1">
      <c r="A153" s="260"/>
      <c r="B153" s="264"/>
      <c r="C153" s="514"/>
      <c r="D153" s="515"/>
      <c r="E153" s="94"/>
      <c r="F153" s="74"/>
      <c r="G153" s="45">
        <v>1650</v>
      </c>
      <c r="H153" s="119" t="s">
        <v>27</v>
      </c>
      <c r="I153" s="128"/>
      <c r="J153" s="158"/>
      <c r="K153" s="74"/>
      <c r="L153" s="156">
        <v>45304</v>
      </c>
      <c r="M153" s="90">
        <v>1650</v>
      </c>
      <c r="N153" s="90">
        <v>476</v>
      </c>
      <c r="O153" s="90" t="s">
        <v>2534</v>
      </c>
      <c r="P153" s="94"/>
      <c r="Q153" s="94"/>
      <c r="R153" s="94"/>
      <c r="S153" s="94"/>
      <c r="T153" s="90" t="s">
        <v>924</v>
      </c>
      <c r="U153" s="90">
        <v>8500066376</v>
      </c>
      <c r="V153" s="90">
        <v>5000068938</v>
      </c>
      <c r="W153" s="376"/>
      <c r="X153" s="106"/>
      <c r="Y153" s="106">
        <v>1650</v>
      </c>
      <c r="Z153" s="106"/>
      <c r="AA153" s="106">
        <f t="shared" si="9"/>
        <v>0</v>
      </c>
      <c r="AB153" s="106">
        <f t="shared" si="10"/>
        <v>0</v>
      </c>
      <c r="AC153" s="94"/>
      <c r="AD153" s="94"/>
      <c r="AE153" s="94"/>
      <c r="AF153" s="94"/>
      <c r="AG153" s="94"/>
      <c r="AH153" s="263"/>
    </row>
    <row r="154" spans="1:34" ht="26.25" customHeight="1">
      <c r="A154" s="260"/>
      <c r="B154" s="264"/>
      <c r="C154" s="516"/>
      <c r="D154" s="517"/>
      <c r="E154" s="94">
        <v>10</v>
      </c>
      <c r="F154" s="74">
        <v>280</v>
      </c>
      <c r="G154" s="45">
        <v>2800</v>
      </c>
      <c r="H154" s="119" t="s">
        <v>46</v>
      </c>
      <c r="I154" s="128">
        <v>45311</v>
      </c>
      <c r="J154" s="74">
        <v>280</v>
      </c>
      <c r="K154" s="74">
        <v>4</v>
      </c>
      <c r="L154" s="156">
        <v>45304</v>
      </c>
      <c r="M154" s="90">
        <v>2800</v>
      </c>
      <c r="N154" s="90">
        <v>220</v>
      </c>
      <c r="O154" s="90" t="s">
        <v>2534</v>
      </c>
      <c r="P154" s="94" t="s">
        <v>160</v>
      </c>
      <c r="Q154" s="94">
        <v>8500066375</v>
      </c>
      <c r="R154" s="94">
        <v>5000090855</v>
      </c>
      <c r="S154" s="94"/>
      <c r="T154" s="90" t="s">
        <v>924</v>
      </c>
      <c r="U154" s="90">
        <v>8500066377</v>
      </c>
      <c r="V154" s="90">
        <v>5000068936</v>
      </c>
      <c r="W154" s="376">
        <v>45341</v>
      </c>
      <c r="X154" s="106">
        <v>280</v>
      </c>
      <c r="Y154" s="106">
        <v>2800</v>
      </c>
      <c r="Z154" s="106" t="s">
        <v>817</v>
      </c>
      <c r="AA154" s="106">
        <f t="shared" si="9"/>
        <v>0</v>
      </c>
      <c r="AB154" s="106">
        <f t="shared" si="10"/>
        <v>0</v>
      </c>
      <c r="AC154" s="94"/>
      <c r="AD154" s="94"/>
      <c r="AE154" s="94"/>
      <c r="AF154" s="94"/>
      <c r="AG154" s="94"/>
      <c r="AH154" s="263"/>
    </row>
    <row r="155" spans="1:34" ht="26.25" customHeight="1">
      <c r="A155" s="260"/>
      <c r="B155" s="264"/>
      <c r="C155" s="2"/>
      <c r="D155" s="2"/>
      <c r="E155" s="94"/>
      <c r="F155" s="74"/>
      <c r="G155" s="45">
        <v>2800</v>
      </c>
      <c r="H155" s="119" t="s">
        <v>46</v>
      </c>
      <c r="I155" s="128"/>
      <c r="J155" s="74"/>
      <c r="K155" s="74"/>
      <c r="L155" s="156">
        <v>45304</v>
      </c>
      <c r="M155" s="90">
        <v>2800</v>
      </c>
      <c r="N155" s="90">
        <v>335</v>
      </c>
      <c r="O155" s="90" t="s">
        <v>2534</v>
      </c>
      <c r="P155" s="94"/>
      <c r="Q155" s="94"/>
      <c r="R155" s="94"/>
      <c r="S155" s="94"/>
      <c r="T155" s="90" t="s">
        <v>924</v>
      </c>
      <c r="U155" s="90">
        <v>8500066376</v>
      </c>
      <c r="V155" s="90">
        <v>5000068938</v>
      </c>
      <c r="W155" s="375"/>
      <c r="X155" s="106"/>
      <c r="Y155" s="106">
        <v>2800</v>
      </c>
      <c r="Z155" s="106"/>
      <c r="AA155" s="106">
        <f t="shared" si="9"/>
        <v>0</v>
      </c>
      <c r="AB155" s="106">
        <f t="shared" si="10"/>
        <v>0</v>
      </c>
      <c r="AC155" s="94"/>
      <c r="AD155" s="94"/>
      <c r="AE155" s="94"/>
      <c r="AF155" s="94"/>
      <c r="AG155" s="94"/>
      <c r="AH155" s="263"/>
    </row>
    <row r="156" spans="1:34" ht="26.25" customHeight="1">
      <c r="A156" s="260"/>
      <c r="B156" s="264"/>
      <c r="C156" s="2"/>
      <c r="D156" s="2"/>
      <c r="E156" s="94">
        <v>10</v>
      </c>
      <c r="F156" s="74">
        <v>50</v>
      </c>
      <c r="G156" s="45">
        <v>500</v>
      </c>
      <c r="H156" s="119" t="s">
        <v>37</v>
      </c>
      <c r="I156" s="128">
        <v>45311</v>
      </c>
      <c r="J156" s="74">
        <v>50</v>
      </c>
      <c r="K156" s="74">
        <v>1</v>
      </c>
      <c r="L156" s="156">
        <v>45304</v>
      </c>
      <c r="M156" s="90">
        <v>500</v>
      </c>
      <c r="N156" s="90">
        <v>70</v>
      </c>
      <c r="O156" s="90" t="s">
        <v>2534</v>
      </c>
      <c r="P156" s="94" t="s">
        <v>160</v>
      </c>
      <c r="Q156" s="94">
        <v>8500066375</v>
      </c>
      <c r="R156" s="94">
        <v>5000090855</v>
      </c>
      <c r="S156" s="94"/>
      <c r="T156" s="90" t="s">
        <v>924</v>
      </c>
      <c r="U156" s="90">
        <v>8500066377</v>
      </c>
      <c r="V156" s="90">
        <v>5000068936</v>
      </c>
      <c r="W156" s="376">
        <v>45349</v>
      </c>
      <c r="X156" s="106">
        <v>50</v>
      </c>
      <c r="Y156" s="106">
        <v>500</v>
      </c>
      <c r="Z156" s="106" t="s">
        <v>197</v>
      </c>
      <c r="AA156" s="106">
        <f t="shared" si="9"/>
        <v>0</v>
      </c>
      <c r="AB156" s="106">
        <f t="shared" si="10"/>
        <v>0</v>
      </c>
      <c r="AC156" s="94"/>
      <c r="AD156" s="94"/>
      <c r="AE156" s="94"/>
      <c r="AF156" s="94"/>
      <c r="AG156" s="94"/>
      <c r="AH156" s="263"/>
    </row>
    <row r="157" spans="1:34" ht="26.25" customHeight="1">
      <c r="A157" s="260"/>
      <c r="B157" s="264"/>
      <c r="C157" s="2"/>
      <c r="D157" s="2"/>
      <c r="E157" s="94"/>
      <c r="F157" s="74"/>
      <c r="G157" s="45">
        <v>500</v>
      </c>
      <c r="H157" s="119" t="s">
        <v>37</v>
      </c>
      <c r="I157" s="128"/>
      <c r="J157" s="74"/>
      <c r="K157" s="74"/>
      <c r="L157" s="156">
        <v>45304</v>
      </c>
      <c r="M157" s="90">
        <v>500</v>
      </c>
      <c r="N157" s="90">
        <v>82</v>
      </c>
      <c r="O157" s="90" t="s">
        <v>2534</v>
      </c>
      <c r="P157" s="94"/>
      <c r="Q157" s="94"/>
      <c r="R157" s="94"/>
      <c r="S157" s="94"/>
      <c r="T157" s="90" t="s">
        <v>924</v>
      </c>
      <c r="U157" s="90">
        <v>8500066376</v>
      </c>
      <c r="V157" s="90">
        <v>5000068938</v>
      </c>
      <c r="W157" s="376"/>
      <c r="X157" s="106"/>
      <c r="Y157" s="106">
        <v>500</v>
      </c>
      <c r="Z157" s="106"/>
      <c r="AA157" s="106">
        <f t="shared" si="9"/>
        <v>0</v>
      </c>
      <c r="AB157" s="106">
        <f t="shared" si="10"/>
        <v>0</v>
      </c>
      <c r="AC157" s="94"/>
      <c r="AD157" s="94"/>
      <c r="AE157" s="94"/>
      <c r="AF157" s="94"/>
      <c r="AG157" s="94"/>
      <c r="AH157" s="263"/>
    </row>
    <row r="158" spans="1:34" ht="26.25" customHeight="1">
      <c r="A158" s="260"/>
      <c r="B158" s="264"/>
      <c r="C158" s="2"/>
      <c r="D158" s="2"/>
      <c r="E158" s="94"/>
      <c r="F158" s="74"/>
      <c r="G158" s="45" t="s">
        <v>1993</v>
      </c>
      <c r="H158" s="119"/>
      <c r="I158" s="128">
        <v>45324</v>
      </c>
      <c r="J158" s="74">
        <v>680</v>
      </c>
      <c r="K158" s="74">
        <f>7+12</f>
        <v>19</v>
      </c>
      <c r="L158" s="156"/>
      <c r="M158" s="90"/>
      <c r="N158" s="90"/>
      <c r="O158" s="90"/>
      <c r="P158" s="94" t="s">
        <v>160</v>
      </c>
      <c r="Q158" s="94">
        <v>8500066378</v>
      </c>
      <c r="R158" s="94">
        <v>5000143858</v>
      </c>
      <c r="S158" s="94"/>
      <c r="T158" s="90"/>
      <c r="U158" s="90"/>
      <c r="V158" s="90"/>
      <c r="W158" s="376"/>
      <c r="X158" s="106">
        <v>680</v>
      </c>
      <c r="Y158" s="106"/>
      <c r="Z158" s="106"/>
      <c r="AA158" s="106">
        <f t="shared" si="9"/>
        <v>0</v>
      </c>
      <c r="AB158" s="106">
        <f t="shared" si="10"/>
        <v>0</v>
      </c>
      <c r="AC158" s="94"/>
      <c r="AD158" s="94"/>
      <c r="AE158" s="94"/>
      <c r="AF158" s="94"/>
      <c r="AG158" s="94"/>
      <c r="AH158" s="263"/>
    </row>
    <row r="159" spans="1:34" ht="26.25" customHeight="1">
      <c r="A159" s="260" t="s">
        <v>623</v>
      </c>
      <c r="B159" s="264">
        <v>6000027813</v>
      </c>
      <c r="C159" s="2" t="s">
        <v>1956</v>
      </c>
      <c r="D159" s="2">
        <v>6000027813</v>
      </c>
      <c r="E159" s="94">
        <v>10</v>
      </c>
      <c r="F159" s="74">
        <v>100</v>
      </c>
      <c r="G159" s="45">
        <f t="shared" ref="G159:G168" si="11">F159*E159</f>
        <v>1000</v>
      </c>
      <c r="H159" s="119" t="s">
        <v>46</v>
      </c>
      <c r="I159" s="128">
        <v>45315</v>
      </c>
      <c r="J159" s="74">
        <v>100</v>
      </c>
      <c r="K159" s="74">
        <f>2+3</f>
        <v>5</v>
      </c>
      <c r="L159" s="156">
        <v>45315</v>
      </c>
      <c r="M159" s="90">
        <v>1000</v>
      </c>
      <c r="N159" s="90">
        <v>10</v>
      </c>
      <c r="O159" s="90" t="s">
        <v>1582</v>
      </c>
      <c r="P159" s="94" t="s">
        <v>160</v>
      </c>
      <c r="Q159" s="94">
        <v>8500066385</v>
      </c>
      <c r="R159" s="94">
        <v>5000104177</v>
      </c>
      <c r="S159" s="94"/>
      <c r="T159" s="90" t="s">
        <v>87</v>
      </c>
      <c r="U159" s="90">
        <v>8500066383</v>
      </c>
      <c r="V159" s="90">
        <v>5000104155</v>
      </c>
      <c r="W159" s="376">
        <v>45370</v>
      </c>
      <c r="X159" s="106">
        <v>100</v>
      </c>
      <c r="Y159" s="106">
        <v>1000</v>
      </c>
      <c r="Z159" s="106"/>
      <c r="AA159" s="106">
        <f t="shared" si="9"/>
        <v>0</v>
      </c>
      <c r="AB159" s="106">
        <f t="shared" si="10"/>
        <v>0</v>
      </c>
      <c r="AC159" s="94"/>
      <c r="AD159" s="94"/>
      <c r="AE159" s="94"/>
      <c r="AF159" s="94"/>
      <c r="AG159" s="94"/>
      <c r="AH159" s="263"/>
    </row>
    <row r="160" spans="1:34" ht="26.25" customHeight="1">
      <c r="A160" s="260"/>
      <c r="B160" s="264"/>
      <c r="C160" s="2"/>
      <c r="D160" s="2"/>
      <c r="E160" s="94">
        <v>10</v>
      </c>
      <c r="F160" s="74">
        <v>100</v>
      </c>
      <c r="G160" s="45">
        <f t="shared" si="11"/>
        <v>1000</v>
      </c>
      <c r="H160" s="119" t="s">
        <v>37</v>
      </c>
      <c r="I160" s="128">
        <v>45315</v>
      </c>
      <c r="J160" s="74">
        <v>100</v>
      </c>
      <c r="K160" s="74">
        <f>2+8</f>
        <v>10</v>
      </c>
      <c r="L160" s="156">
        <v>45315</v>
      </c>
      <c r="M160" s="90">
        <v>1000</v>
      </c>
      <c r="N160" s="90">
        <v>10</v>
      </c>
      <c r="O160" s="90" t="s">
        <v>1566</v>
      </c>
      <c r="P160" s="94" t="s">
        <v>160</v>
      </c>
      <c r="Q160" s="94">
        <v>8500066385</v>
      </c>
      <c r="R160" s="94">
        <v>5000104177</v>
      </c>
      <c r="S160" s="94"/>
      <c r="T160" s="90" t="s">
        <v>87</v>
      </c>
      <c r="U160" s="90">
        <v>8500066383</v>
      </c>
      <c r="V160" s="90">
        <v>5000104155</v>
      </c>
      <c r="W160" s="376">
        <v>45370</v>
      </c>
      <c r="X160" s="106">
        <v>100</v>
      </c>
      <c r="Y160" s="106">
        <v>1000</v>
      </c>
      <c r="Z160" s="106"/>
      <c r="AA160" s="106">
        <f t="shared" si="9"/>
        <v>0</v>
      </c>
      <c r="AB160" s="106">
        <f t="shared" si="10"/>
        <v>0</v>
      </c>
      <c r="AC160" s="94"/>
      <c r="AD160" s="94"/>
      <c r="AE160" s="94"/>
      <c r="AF160" s="94"/>
      <c r="AG160" s="94"/>
      <c r="AH160" s="263"/>
    </row>
    <row r="161" spans="1:34" ht="26.25" customHeight="1">
      <c r="A161" s="260" t="s">
        <v>1610</v>
      </c>
      <c r="B161" s="264">
        <v>6000028123</v>
      </c>
      <c r="C161" s="2" t="s">
        <v>1752</v>
      </c>
      <c r="D161" s="2" t="s">
        <v>2538</v>
      </c>
      <c r="E161" s="94">
        <v>4</v>
      </c>
      <c r="F161" s="74">
        <v>4850</v>
      </c>
      <c r="G161" s="45">
        <f t="shared" si="11"/>
        <v>19400</v>
      </c>
      <c r="H161" s="119" t="s">
        <v>146</v>
      </c>
      <c r="I161" s="128">
        <v>45315</v>
      </c>
      <c r="J161" s="74">
        <v>4850</v>
      </c>
      <c r="K161" s="74">
        <v>50</v>
      </c>
      <c r="L161" s="156">
        <v>45322</v>
      </c>
      <c r="M161" s="90">
        <v>19400</v>
      </c>
      <c r="N161" s="90">
        <v>97</v>
      </c>
      <c r="O161" s="90" t="s">
        <v>741</v>
      </c>
      <c r="P161" s="94" t="s">
        <v>160</v>
      </c>
      <c r="Q161" s="94">
        <v>8500066040</v>
      </c>
      <c r="R161" s="94">
        <v>5000100933</v>
      </c>
      <c r="S161" s="74">
        <v>4850</v>
      </c>
      <c r="T161" s="90" t="s">
        <v>152</v>
      </c>
      <c r="U161" s="90">
        <v>8500066639</v>
      </c>
      <c r="V161" s="90">
        <v>5000135136</v>
      </c>
      <c r="W161" s="376" t="s">
        <v>2841</v>
      </c>
      <c r="X161" s="106">
        <f>180+1815-45+2900</f>
        <v>4850</v>
      </c>
      <c r="Y161" s="106">
        <f>720+7260-180+11600</f>
        <v>19400</v>
      </c>
      <c r="Z161" s="106" t="s">
        <v>2842</v>
      </c>
      <c r="AA161" s="106">
        <f t="shared" si="9"/>
        <v>0</v>
      </c>
      <c r="AB161" s="106">
        <f t="shared" si="10"/>
        <v>0</v>
      </c>
      <c r="AC161" s="94" t="s">
        <v>2827</v>
      </c>
      <c r="AD161" s="94"/>
      <c r="AE161" s="94"/>
      <c r="AF161" s="94"/>
      <c r="AG161" s="94"/>
      <c r="AH161" s="263"/>
    </row>
    <row r="162" spans="1:34" ht="26.25" customHeight="1">
      <c r="A162" s="260" t="s">
        <v>1610</v>
      </c>
      <c r="B162" s="264">
        <v>6000028126</v>
      </c>
      <c r="C162" s="2" t="s">
        <v>1752</v>
      </c>
      <c r="D162" s="2" t="s">
        <v>2539</v>
      </c>
      <c r="E162" s="94">
        <v>4</v>
      </c>
      <c r="F162" s="74">
        <v>4850</v>
      </c>
      <c r="G162" s="45">
        <f t="shared" si="11"/>
        <v>19400</v>
      </c>
      <c r="H162" s="119" t="s">
        <v>146</v>
      </c>
      <c r="I162" s="128">
        <v>45322</v>
      </c>
      <c r="J162" s="74">
        <v>4850</v>
      </c>
      <c r="K162" s="74">
        <v>50</v>
      </c>
      <c r="L162" s="156">
        <v>45322</v>
      </c>
      <c r="M162" s="90">
        <v>19400</v>
      </c>
      <c r="N162" s="90">
        <v>97</v>
      </c>
      <c r="O162" s="90" t="s">
        <v>1743</v>
      </c>
      <c r="P162" s="94" t="s">
        <v>160</v>
      </c>
      <c r="Q162" s="94">
        <v>8500066642</v>
      </c>
      <c r="R162" s="94">
        <v>5000135277</v>
      </c>
      <c r="S162" s="94"/>
      <c r="T162" s="90" t="s">
        <v>152</v>
      </c>
      <c r="U162" s="90">
        <v>8500066641</v>
      </c>
      <c r="V162" s="90">
        <v>5000135464</v>
      </c>
      <c r="W162" s="376">
        <v>45343</v>
      </c>
      <c r="X162" s="106">
        <v>4850</v>
      </c>
      <c r="Y162" s="106">
        <v>19400</v>
      </c>
      <c r="Z162" s="106" t="s">
        <v>1980</v>
      </c>
      <c r="AA162" s="106">
        <f t="shared" si="9"/>
        <v>0</v>
      </c>
      <c r="AB162" s="106">
        <f t="shared" si="10"/>
        <v>0</v>
      </c>
      <c r="AC162" s="94"/>
      <c r="AD162" s="94"/>
      <c r="AE162" s="94"/>
      <c r="AF162" s="94"/>
      <c r="AG162" s="94"/>
      <c r="AH162" s="263"/>
    </row>
    <row r="163" spans="1:34" ht="49.5" customHeight="1">
      <c r="A163" s="260" t="s">
        <v>1610</v>
      </c>
      <c r="B163" s="264">
        <v>6000028128</v>
      </c>
      <c r="C163" s="2" t="s">
        <v>1752</v>
      </c>
      <c r="D163" s="2" t="s">
        <v>2540</v>
      </c>
      <c r="E163" s="94">
        <v>4</v>
      </c>
      <c r="F163" s="74">
        <v>4850</v>
      </c>
      <c r="G163" s="45">
        <f t="shared" si="11"/>
        <v>19400</v>
      </c>
      <c r="H163" s="119" t="s">
        <v>146</v>
      </c>
      <c r="I163" s="128" t="s">
        <v>2761</v>
      </c>
      <c r="J163" s="158">
        <f>640+4210</f>
        <v>4850</v>
      </c>
      <c r="K163" s="74">
        <f>50+1</f>
        <v>51</v>
      </c>
      <c r="L163" s="156">
        <v>45311</v>
      </c>
      <c r="M163" s="90">
        <v>19400</v>
      </c>
      <c r="N163" s="90">
        <v>97</v>
      </c>
      <c r="O163" s="90"/>
      <c r="P163" s="94" t="s">
        <v>160</v>
      </c>
      <c r="Q163" s="94">
        <v>8500066644</v>
      </c>
      <c r="R163" s="94">
        <v>5000135261</v>
      </c>
      <c r="S163" s="94"/>
      <c r="T163" s="90" t="s">
        <v>152</v>
      </c>
      <c r="U163" s="90">
        <v>8500066643</v>
      </c>
      <c r="V163" s="90">
        <v>5000083289</v>
      </c>
      <c r="W163" s="376">
        <v>45343</v>
      </c>
      <c r="X163" s="106">
        <v>4850</v>
      </c>
      <c r="Y163" s="106">
        <v>19400</v>
      </c>
      <c r="Z163" s="106" t="s">
        <v>1980</v>
      </c>
      <c r="AA163" s="106">
        <f t="shared" si="9"/>
        <v>0</v>
      </c>
      <c r="AB163" s="106">
        <f t="shared" si="10"/>
        <v>0</v>
      </c>
      <c r="AC163" s="94"/>
      <c r="AD163" s="94"/>
      <c r="AE163" s="94"/>
      <c r="AF163" s="94"/>
      <c r="AG163" s="94"/>
      <c r="AH163" s="263"/>
    </row>
    <row r="164" spans="1:34" ht="26.25" customHeight="1">
      <c r="A164" s="260" t="s">
        <v>1610</v>
      </c>
      <c r="B164" s="264">
        <v>6000028135</v>
      </c>
      <c r="C164" s="2" t="s">
        <v>1752</v>
      </c>
      <c r="D164" s="2" t="s">
        <v>2541</v>
      </c>
      <c r="E164" s="94">
        <v>4</v>
      </c>
      <c r="F164" s="74">
        <v>4850</v>
      </c>
      <c r="G164" s="45">
        <f t="shared" si="11"/>
        <v>19400</v>
      </c>
      <c r="H164" s="119" t="s">
        <v>146</v>
      </c>
      <c r="I164" s="128" t="s">
        <v>2632</v>
      </c>
      <c r="J164" s="158">
        <f>1800+2980+70</f>
        <v>4850</v>
      </c>
      <c r="K164" s="158">
        <f>50+10</f>
        <v>60</v>
      </c>
      <c r="L164" s="156">
        <v>45322</v>
      </c>
      <c r="M164" s="90">
        <v>19400</v>
      </c>
      <c r="N164" s="90">
        <v>97</v>
      </c>
      <c r="O164" s="90"/>
      <c r="P164" s="94" t="s">
        <v>160</v>
      </c>
      <c r="Q164" s="94">
        <v>8500066637</v>
      </c>
      <c r="R164" s="94">
        <v>5000104159</v>
      </c>
      <c r="S164" s="94">
        <v>4800</v>
      </c>
      <c r="T164" s="90" t="s">
        <v>152</v>
      </c>
      <c r="U164" s="90">
        <v>8500066635</v>
      </c>
      <c r="V164" s="90">
        <v>5000135137</v>
      </c>
      <c r="W164" s="376" t="s">
        <v>2976</v>
      </c>
      <c r="X164" s="106">
        <f>2000+2850</f>
        <v>4850</v>
      </c>
      <c r="Y164" s="106">
        <f>8000+11400</f>
        <v>19400</v>
      </c>
      <c r="Z164" s="106" t="s">
        <v>2895</v>
      </c>
      <c r="AA164" s="106">
        <f t="shared" si="9"/>
        <v>0</v>
      </c>
      <c r="AB164" s="106">
        <f t="shared" si="10"/>
        <v>0</v>
      </c>
      <c r="AC164" s="94" t="s">
        <v>2975</v>
      </c>
      <c r="AD164" s="94"/>
      <c r="AE164" s="94"/>
      <c r="AF164" s="94"/>
      <c r="AG164" s="94"/>
      <c r="AH164" s="263"/>
    </row>
    <row r="165" spans="1:34" ht="26.25" customHeight="1">
      <c r="A165" s="260" t="s">
        <v>1610</v>
      </c>
      <c r="B165" s="264">
        <v>6000028122</v>
      </c>
      <c r="C165" s="2" t="s">
        <v>1752</v>
      </c>
      <c r="D165" s="2" t="s">
        <v>2542</v>
      </c>
      <c r="E165" s="94">
        <v>4</v>
      </c>
      <c r="F165" s="74">
        <v>5100</v>
      </c>
      <c r="G165" s="45">
        <f t="shared" si="11"/>
        <v>20400</v>
      </c>
      <c r="H165" s="119" t="s">
        <v>37</v>
      </c>
      <c r="I165" s="128">
        <v>45313</v>
      </c>
      <c r="J165" s="74">
        <v>5100</v>
      </c>
      <c r="K165" s="74">
        <f>52+13</f>
        <v>65</v>
      </c>
      <c r="L165" s="156">
        <v>45309</v>
      </c>
      <c r="M165" s="90">
        <v>20400</v>
      </c>
      <c r="N165" s="90">
        <v>102</v>
      </c>
      <c r="O165" s="90"/>
      <c r="P165" s="94" t="s">
        <v>160</v>
      </c>
      <c r="Q165" s="94">
        <v>8500067659</v>
      </c>
      <c r="R165" s="94">
        <v>5000136398</v>
      </c>
      <c r="S165" s="94">
        <v>5100</v>
      </c>
      <c r="T165" s="90" t="s">
        <v>152</v>
      </c>
      <c r="U165" s="90">
        <v>8500067658</v>
      </c>
      <c r="V165" s="90">
        <v>5000136393</v>
      </c>
      <c r="W165" s="376" t="s">
        <v>2756</v>
      </c>
      <c r="X165" s="106">
        <f>700+2300+133+200+1767</f>
        <v>5100</v>
      </c>
      <c r="Y165" s="106">
        <f>2800+9200+532+800+7068</f>
        <v>20400</v>
      </c>
      <c r="Z165" s="106" t="s">
        <v>2757</v>
      </c>
      <c r="AA165" s="106">
        <f t="shared" si="9"/>
        <v>0</v>
      </c>
      <c r="AB165" s="106">
        <f t="shared" si="10"/>
        <v>0</v>
      </c>
      <c r="AC165" s="94" t="s">
        <v>2755</v>
      </c>
      <c r="AD165" s="94"/>
      <c r="AE165" s="94"/>
      <c r="AF165" s="94"/>
      <c r="AG165" s="94"/>
      <c r="AH165" s="263"/>
    </row>
    <row r="166" spans="1:34" ht="26.25" customHeight="1">
      <c r="A166" s="260" t="s">
        <v>1610</v>
      </c>
      <c r="B166" s="264">
        <v>6000028124</v>
      </c>
      <c r="C166" s="2" t="s">
        <v>1752</v>
      </c>
      <c r="D166" s="2" t="s">
        <v>2543</v>
      </c>
      <c r="E166" s="94">
        <v>4</v>
      </c>
      <c r="F166" s="74">
        <v>5100</v>
      </c>
      <c r="G166" s="45">
        <f t="shared" si="11"/>
        <v>20400</v>
      </c>
      <c r="H166" s="119" t="s">
        <v>37</v>
      </c>
      <c r="I166" s="128">
        <v>45313</v>
      </c>
      <c r="J166" s="74">
        <v>5100</v>
      </c>
      <c r="K166" s="74">
        <f>52+1</f>
        <v>53</v>
      </c>
      <c r="L166" s="156">
        <v>45309</v>
      </c>
      <c r="M166" s="90">
        <v>20400</v>
      </c>
      <c r="N166" s="90">
        <v>102</v>
      </c>
      <c r="O166" s="90"/>
      <c r="P166" s="94" t="s">
        <v>160</v>
      </c>
      <c r="Q166" s="94">
        <v>8500067661</v>
      </c>
      <c r="R166" s="94">
        <v>5000136433</v>
      </c>
      <c r="S166" s="74">
        <v>5100</v>
      </c>
      <c r="T166" s="90" t="s">
        <v>152</v>
      </c>
      <c r="U166" s="90">
        <v>8500067660</v>
      </c>
      <c r="V166" s="90">
        <v>5000136430</v>
      </c>
      <c r="W166" s="376" t="s">
        <v>2810</v>
      </c>
      <c r="X166" s="106">
        <f>3000+50+2050</f>
        <v>5100</v>
      </c>
      <c r="Y166" s="106">
        <f>12000+200+8200</f>
        <v>20400</v>
      </c>
      <c r="Z166" s="106" t="s">
        <v>2811</v>
      </c>
      <c r="AA166" s="106">
        <f t="shared" si="9"/>
        <v>0</v>
      </c>
      <c r="AB166" s="106">
        <f t="shared" si="10"/>
        <v>0</v>
      </c>
      <c r="AC166" s="94" t="s">
        <v>2755</v>
      </c>
      <c r="AD166" s="94"/>
      <c r="AE166" s="94"/>
      <c r="AF166" s="94"/>
      <c r="AG166" s="94"/>
      <c r="AH166" s="263"/>
    </row>
    <row r="167" spans="1:34" ht="26.25" customHeight="1">
      <c r="A167" s="260" t="s">
        <v>1610</v>
      </c>
      <c r="B167" s="264">
        <v>6000028125</v>
      </c>
      <c r="C167" s="2" t="s">
        <v>1752</v>
      </c>
      <c r="D167" s="2" t="s">
        <v>2544</v>
      </c>
      <c r="E167" s="94">
        <v>4</v>
      </c>
      <c r="F167" s="74">
        <v>5100</v>
      </c>
      <c r="G167" s="45">
        <f t="shared" si="11"/>
        <v>20400</v>
      </c>
      <c r="H167" s="119" t="s">
        <v>37</v>
      </c>
      <c r="I167" s="128">
        <v>45322</v>
      </c>
      <c r="J167" s="74">
        <v>5100</v>
      </c>
      <c r="K167" s="74">
        <f>52+14</f>
        <v>66</v>
      </c>
      <c r="L167" s="156">
        <v>45310</v>
      </c>
      <c r="M167" s="90">
        <v>20400</v>
      </c>
      <c r="N167" s="90">
        <v>102</v>
      </c>
      <c r="O167" s="90"/>
      <c r="P167" s="94" t="s">
        <v>160</v>
      </c>
      <c r="Q167" s="94">
        <v>8500066966</v>
      </c>
      <c r="R167" s="94">
        <v>5000164942</v>
      </c>
      <c r="S167" s="94"/>
      <c r="T167" s="90" t="s">
        <v>152</v>
      </c>
      <c r="U167" s="90">
        <v>8500068229</v>
      </c>
      <c r="V167" s="90">
        <v>5000164941</v>
      </c>
      <c r="W167" s="376">
        <v>45330</v>
      </c>
      <c r="X167" s="106">
        <v>5100</v>
      </c>
      <c r="Y167" s="106">
        <v>20400</v>
      </c>
      <c r="Z167" s="106" t="s">
        <v>755</v>
      </c>
      <c r="AA167" s="106">
        <f t="shared" si="9"/>
        <v>0</v>
      </c>
      <c r="AB167" s="106">
        <f t="shared" si="10"/>
        <v>0</v>
      </c>
      <c r="AC167" s="94"/>
      <c r="AD167" s="94"/>
      <c r="AE167" s="94"/>
      <c r="AF167" s="94"/>
      <c r="AG167" s="94"/>
      <c r="AH167" s="263"/>
    </row>
    <row r="168" spans="1:34" ht="26.25" customHeight="1">
      <c r="A168" s="260" t="s">
        <v>1610</v>
      </c>
      <c r="B168" s="264">
        <v>6000028127</v>
      </c>
      <c r="C168" s="2" t="s">
        <v>1752</v>
      </c>
      <c r="D168" s="2" t="s">
        <v>2545</v>
      </c>
      <c r="E168" s="94">
        <v>4</v>
      </c>
      <c r="F168" s="74">
        <v>5100</v>
      </c>
      <c r="G168" s="45">
        <f t="shared" si="11"/>
        <v>20400</v>
      </c>
      <c r="H168" s="119" t="s">
        <v>37</v>
      </c>
      <c r="I168" s="128" t="s">
        <v>2799</v>
      </c>
      <c r="J168" s="158">
        <f>4668+432</f>
        <v>5100</v>
      </c>
      <c r="K168" s="158">
        <f>52+6</f>
        <v>58</v>
      </c>
      <c r="L168" s="156">
        <v>45309</v>
      </c>
      <c r="M168" s="90">
        <v>20400</v>
      </c>
      <c r="N168" s="90">
        <v>102</v>
      </c>
      <c r="O168" s="90"/>
      <c r="P168" s="94" t="s">
        <v>160</v>
      </c>
      <c r="Q168" s="94">
        <v>8500068238</v>
      </c>
      <c r="R168" s="94">
        <v>5000164944</v>
      </c>
      <c r="S168" s="94"/>
      <c r="T168" s="90" t="s">
        <v>152</v>
      </c>
      <c r="U168" s="90">
        <v>8500068237</v>
      </c>
      <c r="V168" s="90">
        <v>5000164943</v>
      </c>
      <c r="W168" s="376">
        <v>45335</v>
      </c>
      <c r="X168" s="106">
        <v>5100</v>
      </c>
      <c r="Y168" s="106">
        <v>20400</v>
      </c>
      <c r="Z168" s="106" t="s">
        <v>2824</v>
      </c>
      <c r="AA168" s="106">
        <f t="shared" si="9"/>
        <v>0</v>
      </c>
      <c r="AB168" s="106">
        <f t="shared" si="10"/>
        <v>0</v>
      </c>
      <c r="AC168" s="94"/>
      <c r="AD168" s="94"/>
      <c r="AE168" s="94"/>
      <c r="AF168" s="94"/>
      <c r="AG168" s="94"/>
      <c r="AH168" s="263"/>
    </row>
    <row r="169" spans="1:34" ht="26.25" customHeight="1">
      <c r="A169" s="260" t="s">
        <v>1610</v>
      </c>
      <c r="B169" s="264">
        <v>6000028134</v>
      </c>
      <c r="C169" s="2" t="s">
        <v>1752</v>
      </c>
      <c r="D169" s="2" t="s">
        <v>2546</v>
      </c>
      <c r="E169" s="94">
        <v>4</v>
      </c>
      <c r="F169" s="74">
        <v>5100</v>
      </c>
      <c r="G169" s="45">
        <f t="shared" ref="G169:G249" si="12">F169*E169</f>
        <v>20400</v>
      </c>
      <c r="H169" s="119" t="s">
        <v>37</v>
      </c>
      <c r="I169" s="128" t="s">
        <v>2765</v>
      </c>
      <c r="J169" s="158">
        <f>3680+1288+132</f>
        <v>5100</v>
      </c>
      <c r="K169" s="74">
        <f>52+13</f>
        <v>65</v>
      </c>
      <c r="L169" s="156">
        <v>45310</v>
      </c>
      <c r="M169" s="90">
        <v>20400</v>
      </c>
      <c r="N169" s="90">
        <v>102</v>
      </c>
      <c r="O169" s="90"/>
      <c r="P169" s="94" t="s">
        <v>160</v>
      </c>
      <c r="Q169" s="94">
        <v>8500067663</v>
      </c>
      <c r="R169" s="94">
        <v>5000136440</v>
      </c>
      <c r="S169" s="94"/>
      <c r="T169" s="90" t="s">
        <v>152</v>
      </c>
      <c r="U169" s="90">
        <v>8500067662</v>
      </c>
      <c r="V169" s="90">
        <v>5000136438</v>
      </c>
      <c r="W169" s="376" t="s">
        <v>2885</v>
      </c>
      <c r="X169" s="106">
        <f>400+4700</f>
        <v>5100</v>
      </c>
      <c r="Y169" s="106">
        <f>1600+18800</f>
        <v>20400</v>
      </c>
      <c r="Z169" s="106" t="s">
        <v>2886</v>
      </c>
      <c r="AA169" s="106">
        <f t="shared" si="9"/>
        <v>0</v>
      </c>
      <c r="AB169" s="106">
        <f t="shared" si="10"/>
        <v>0</v>
      </c>
      <c r="AC169" s="94" t="s">
        <v>2755</v>
      </c>
      <c r="AD169" s="94"/>
      <c r="AE169" s="94"/>
      <c r="AF169" s="94"/>
      <c r="AG169" s="94"/>
      <c r="AH169" s="263"/>
    </row>
    <row r="170" spans="1:34" ht="26.25" customHeight="1">
      <c r="A170" s="260" t="s">
        <v>1742</v>
      </c>
      <c r="B170" s="264">
        <v>6000027176</v>
      </c>
      <c r="C170" s="2" t="s">
        <v>2118</v>
      </c>
      <c r="D170" s="2">
        <v>15521</v>
      </c>
      <c r="E170" s="94">
        <v>12</v>
      </c>
      <c r="F170" s="74">
        <v>1000</v>
      </c>
      <c r="G170" s="45">
        <f t="shared" si="12"/>
        <v>12000</v>
      </c>
      <c r="H170" s="119" t="s">
        <v>46</v>
      </c>
      <c r="I170" s="128">
        <v>45309</v>
      </c>
      <c r="J170" s="74">
        <v>1000</v>
      </c>
      <c r="K170" s="74">
        <v>15</v>
      </c>
      <c r="L170" s="156">
        <v>45311</v>
      </c>
      <c r="M170" s="90">
        <v>12000</v>
      </c>
      <c r="N170" s="90">
        <v>60</v>
      </c>
      <c r="O170" s="90"/>
      <c r="P170" s="94" t="s">
        <v>28</v>
      </c>
      <c r="Q170" s="94">
        <v>8500065905</v>
      </c>
      <c r="R170" s="94">
        <v>5000077556</v>
      </c>
      <c r="S170" s="74">
        <v>1000</v>
      </c>
      <c r="T170" s="90" t="s">
        <v>152</v>
      </c>
      <c r="U170" s="90">
        <v>8500065904</v>
      </c>
      <c r="V170" s="90">
        <v>5000083332</v>
      </c>
      <c r="W170" s="376">
        <v>45315</v>
      </c>
      <c r="X170" s="106">
        <v>1000</v>
      </c>
      <c r="Y170" s="106">
        <v>12000</v>
      </c>
      <c r="Z170" s="106" t="s">
        <v>800</v>
      </c>
      <c r="AA170" s="106">
        <f t="shared" si="9"/>
        <v>0</v>
      </c>
      <c r="AB170" s="106">
        <f t="shared" si="10"/>
        <v>0</v>
      </c>
      <c r="AC170" s="524"/>
      <c r="AD170" s="94"/>
      <c r="AE170" s="94"/>
      <c r="AF170" s="94"/>
      <c r="AG170" s="94"/>
      <c r="AH170" s="263"/>
    </row>
    <row r="171" spans="1:34" ht="26.25" customHeight="1">
      <c r="A171" s="260" t="s">
        <v>715</v>
      </c>
      <c r="B171" s="264">
        <v>6000027654</v>
      </c>
      <c r="C171" s="2" t="s">
        <v>1499</v>
      </c>
      <c r="D171" s="2">
        <v>6000027654</v>
      </c>
      <c r="E171" s="94">
        <v>10</v>
      </c>
      <c r="F171" s="74">
        <v>2380</v>
      </c>
      <c r="G171" s="45">
        <f t="shared" si="12"/>
        <v>23800</v>
      </c>
      <c r="H171" s="119" t="s">
        <v>37</v>
      </c>
      <c r="I171" s="128" t="s">
        <v>3165</v>
      </c>
      <c r="J171" s="60">
        <f>1900+447+33</f>
        <v>2380</v>
      </c>
      <c r="K171" s="74">
        <v>18</v>
      </c>
      <c r="L171" s="156">
        <v>45309</v>
      </c>
      <c r="M171" s="90">
        <v>23800</v>
      </c>
      <c r="N171" s="90">
        <v>238</v>
      </c>
      <c r="O171" s="90" t="s">
        <v>2132</v>
      </c>
      <c r="P171" s="94" t="s">
        <v>924</v>
      </c>
      <c r="Q171" s="94">
        <v>8500065824</v>
      </c>
      <c r="R171" s="94">
        <v>5000100825</v>
      </c>
      <c r="S171" s="94">
        <v>2346</v>
      </c>
      <c r="T171" s="90"/>
      <c r="U171" s="90">
        <v>8500065823</v>
      </c>
      <c r="V171" s="90">
        <v>5000074216</v>
      </c>
      <c r="W171" s="376" t="s">
        <v>2880</v>
      </c>
      <c r="X171" s="106">
        <f>100+138+50+2092</f>
        <v>2380</v>
      </c>
      <c r="Y171" s="106">
        <f>1000+1380+500+20920</f>
        <v>23800</v>
      </c>
      <c r="Z171" s="106" t="s">
        <v>2881</v>
      </c>
      <c r="AA171" s="106">
        <f t="shared" si="9"/>
        <v>0</v>
      </c>
      <c r="AB171" s="106">
        <f t="shared" si="10"/>
        <v>0</v>
      </c>
      <c r="AC171" s="525"/>
      <c r="AD171" s="94"/>
      <c r="AE171" s="94"/>
      <c r="AF171" s="94"/>
      <c r="AG171" s="94"/>
      <c r="AH171" s="263"/>
    </row>
    <row r="172" spans="1:34" ht="26.25" customHeight="1">
      <c r="A172" s="260"/>
      <c r="B172" s="264"/>
      <c r="C172" s="2"/>
      <c r="D172" s="2"/>
      <c r="E172" s="94"/>
      <c r="F172" s="74"/>
      <c r="G172" s="45">
        <f t="shared" si="12"/>
        <v>0</v>
      </c>
      <c r="H172" s="119" t="s">
        <v>1506</v>
      </c>
      <c r="I172" s="128">
        <v>45316</v>
      </c>
      <c r="J172" s="74"/>
      <c r="K172" s="74">
        <v>2380</v>
      </c>
      <c r="L172" s="156"/>
      <c r="M172" s="90"/>
      <c r="N172" s="90"/>
      <c r="O172" s="90"/>
      <c r="P172" s="94" t="s">
        <v>924</v>
      </c>
      <c r="Q172" s="94"/>
      <c r="R172" s="94"/>
      <c r="S172" s="94"/>
      <c r="T172" s="90"/>
      <c r="U172" s="90"/>
      <c r="V172" s="90"/>
      <c r="W172" s="376"/>
      <c r="X172" s="106"/>
      <c r="Y172" s="106"/>
      <c r="Z172" s="106"/>
      <c r="AA172" s="106">
        <f t="shared" si="9"/>
        <v>0</v>
      </c>
      <c r="AB172" s="106">
        <f t="shared" si="10"/>
        <v>0</v>
      </c>
      <c r="AC172" s="94"/>
      <c r="AD172" s="94"/>
      <c r="AE172" s="94"/>
      <c r="AF172" s="94"/>
      <c r="AG172" s="94"/>
      <c r="AH172" s="263"/>
    </row>
    <row r="173" spans="1:34" ht="26.25" customHeight="1">
      <c r="A173" s="260" t="s">
        <v>715</v>
      </c>
      <c r="B173" s="264">
        <v>6000027655</v>
      </c>
      <c r="C173" s="2" t="s">
        <v>1499</v>
      </c>
      <c r="D173" s="2">
        <v>6000027655</v>
      </c>
      <c r="E173" s="94">
        <v>10</v>
      </c>
      <c r="F173" s="74">
        <v>378</v>
      </c>
      <c r="G173" s="45">
        <f t="shared" si="12"/>
        <v>3780</v>
      </c>
      <c r="H173" s="119" t="s">
        <v>27</v>
      </c>
      <c r="I173" s="128">
        <v>45315</v>
      </c>
      <c r="J173" s="74">
        <v>378</v>
      </c>
      <c r="K173" s="74">
        <v>12</v>
      </c>
      <c r="L173" s="156">
        <v>45309</v>
      </c>
      <c r="M173" s="90">
        <v>3780</v>
      </c>
      <c r="N173" s="90">
        <v>38</v>
      </c>
      <c r="O173" s="90" t="s">
        <v>812</v>
      </c>
      <c r="P173" s="94" t="s">
        <v>924</v>
      </c>
      <c r="Q173" s="94">
        <v>8500065826</v>
      </c>
      <c r="R173" s="94">
        <v>5000100827</v>
      </c>
      <c r="S173" s="74">
        <v>378</v>
      </c>
      <c r="T173" s="90" t="s">
        <v>87</v>
      </c>
      <c r="U173" s="90">
        <v>8500065825</v>
      </c>
      <c r="V173" s="90">
        <v>5000074201</v>
      </c>
      <c r="W173" s="376">
        <v>45311</v>
      </c>
      <c r="X173" s="106">
        <v>378</v>
      </c>
      <c r="Y173" s="106">
        <v>3780</v>
      </c>
      <c r="Z173" s="106" t="s">
        <v>1608</v>
      </c>
      <c r="AA173" s="106">
        <f t="shared" si="9"/>
        <v>0</v>
      </c>
      <c r="AB173" s="106">
        <f t="shared" si="10"/>
        <v>0</v>
      </c>
      <c r="AC173" s="94"/>
      <c r="AD173" s="94"/>
      <c r="AE173" s="94"/>
      <c r="AF173" s="94"/>
      <c r="AG173" s="94"/>
      <c r="AH173" s="263"/>
    </row>
    <row r="174" spans="1:34" ht="26.25" customHeight="1">
      <c r="A174" s="260"/>
      <c r="B174" s="264"/>
      <c r="C174" s="2"/>
      <c r="D174" s="2"/>
      <c r="E174" s="94">
        <v>10</v>
      </c>
      <c r="F174" s="74">
        <v>1560</v>
      </c>
      <c r="G174" s="45">
        <f t="shared" si="12"/>
        <v>15600</v>
      </c>
      <c r="H174" s="119" t="s">
        <v>46</v>
      </c>
      <c r="I174" s="128">
        <v>45317</v>
      </c>
      <c r="J174" s="74">
        <v>1560</v>
      </c>
      <c r="K174" s="152">
        <v>3</v>
      </c>
      <c r="L174" s="156">
        <v>45309</v>
      </c>
      <c r="M174" s="90">
        <v>15600</v>
      </c>
      <c r="N174" s="90">
        <v>156</v>
      </c>
      <c r="O174" s="90" t="s">
        <v>2566</v>
      </c>
      <c r="P174" s="94" t="s">
        <v>924</v>
      </c>
      <c r="Q174" s="94">
        <v>8500065826</v>
      </c>
      <c r="R174" s="94">
        <v>5000113397</v>
      </c>
      <c r="S174" s="74"/>
      <c r="T174" s="90" t="s">
        <v>87</v>
      </c>
      <c r="U174" s="90">
        <v>8500065825</v>
      </c>
      <c r="V174" s="90">
        <v>5000074219</v>
      </c>
      <c r="W174" s="376" t="s">
        <v>2879</v>
      </c>
      <c r="X174" s="106">
        <f>50+1510</f>
        <v>1560</v>
      </c>
      <c r="Y174" s="106">
        <f>500+15100</f>
        <v>15600</v>
      </c>
      <c r="Z174" s="106" t="s">
        <v>2431</v>
      </c>
      <c r="AA174" s="106">
        <f t="shared" si="9"/>
        <v>0</v>
      </c>
      <c r="AB174" s="106">
        <f t="shared" si="10"/>
        <v>0</v>
      </c>
      <c r="AC174" s="94"/>
      <c r="AD174" s="94"/>
      <c r="AE174" s="94"/>
      <c r="AF174" s="94"/>
      <c r="AG174" s="94"/>
      <c r="AH174" s="263"/>
    </row>
    <row r="175" spans="1:34" ht="26.25" customHeight="1">
      <c r="A175" s="260"/>
      <c r="B175" s="264"/>
      <c r="C175" s="2"/>
      <c r="D175" s="2"/>
      <c r="E175" s="94">
        <v>10</v>
      </c>
      <c r="F175" s="74">
        <v>442</v>
      </c>
      <c r="G175" s="45">
        <f t="shared" si="12"/>
        <v>4420</v>
      </c>
      <c r="H175" s="119" t="s">
        <v>37</v>
      </c>
      <c r="I175" s="128">
        <v>45315</v>
      </c>
      <c r="J175" s="158">
        <v>442</v>
      </c>
      <c r="K175" s="74">
        <v>13</v>
      </c>
      <c r="L175" s="156">
        <v>45309</v>
      </c>
      <c r="M175" s="90">
        <v>4420</v>
      </c>
      <c r="N175" s="90">
        <v>44</v>
      </c>
      <c r="O175" s="90" t="s">
        <v>1658</v>
      </c>
      <c r="P175" s="94" t="s">
        <v>924</v>
      </c>
      <c r="Q175" s="94">
        <v>8500065826</v>
      </c>
      <c r="R175" s="94">
        <v>5000100827</v>
      </c>
      <c r="S175" s="158">
        <v>442</v>
      </c>
      <c r="T175" s="90" t="s">
        <v>87</v>
      </c>
      <c r="U175" s="90">
        <v>8500065825</v>
      </c>
      <c r="V175" s="90">
        <v>5000074201</v>
      </c>
      <c r="W175" s="376">
        <v>45311</v>
      </c>
      <c r="X175" s="106">
        <v>442</v>
      </c>
      <c r="Y175" s="106">
        <v>4420</v>
      </c>
      <c r="Z175" s="106" t="s">
        <v>1607</v>
      </c>
      <c r="AA175" s="106">
        <f t="shared" si="9"/>
        <v>0</v>
      </c>
      <c r="AB175" s="106">
        <f t="shared" si="10"/>
        <v>0</v>
      </c>
      <c r="AC175" s="94"/>
      <c r="AD175" s="94"/>
      <c r="AE175" s="94"/>
      <c r="AF175" s="94"/>
      <c r="AG175" s="94"/>
      <c r="AH175" s="263"/>
    </row>
    <row r="176" spans="1:34" ht="26.25" customHeight="1">
      <c r="A176" s="260"/>
      <c r="B176" s="264"/>
      <c r="C176" s="2"/>
      <c r="D176" s="2"/>
      <c r="E176" s="94"/>
      <c r="F176" s="74"/>
      <c r="G176" s="45">
        <f t="shared" si="12"/>
        <v>0</v>
      </c>
      <c r="H176" s="119" t="s">
        <v>1506</v>
      </c>
      <c r="I176" s="128" t="s">
        <v>2650</v>
      </c>
      <c r="J176" s="74"/>
      <c r="K176" s="74">
        <f>450+1930</f>
        <v>2380</v>
      </c>
      <c r="L176" s="156"/>
      <c r="M176" s="90"/>
      <c r="N176" s="90"/>
      <c r="O176" s="90"/>
      <c r="P176" s="94" t="s">
        <v>924</v>
      </c>
      <c r="Q176" s="94"/>
      <c r="R176" s="94"/>
      <c r="S176" s="94"/>
      <c r="T176" s="90"/>
      <c r="U176" s="90"/>
      <c r="V176" s="90"/>
      <c r="W176" s="376"/>
      <c r="X176" s="106"/>
      <c r="Y176" s="106"/>
      <c r="Z176" s="106"/>
      <c r="AA176" s="106">
        <f t="shared" si="9"/>
        <v>0</v>
      </c>
      <c r="AB176" s="106">
        <f t="shared" si="10"/>
        <v>0</v>
      </c>
      <c r="AC176" s="94"/>
      <c r="AD176" s="94"/>
      <c r="AE176" s="94"/>
      <c r="AF176" s="94"/>
      <c r="AG176" s="94"/>
      <c r="AH176" s="263"/>
    </row>
    <row r="177" spans="1:34" ht="27" customHeight="1">
      <c r="A177" s="260" t="s">
        <v>715</v>
      </c>
      <c r="B177" s="264">
        <v>6000027656</v>
      </c>
      <c r="C177" s="2" t="s">
        <v>1499</v>
      </c>
      <c r="D177" s="2">
        <v>6000027656</v>
      </c>
      <c r="E177" s="94">
        <v>10</v>
      </c>
      <c r="F177" s="74">
        <v>273</v>
      </c>
      <c r="G177" s="45">
        <f t="shared" si="12"/>
        <v>2730</v>
      </c>
      <c r="H177" s="119" t="s">
        <v>27</v>
      </c>
      <c r="I177" s="128" t="s">
        <v>2646</v>
      </c>
      <c r="J177" s="74">
        <f>263+10</f>
        <v>273</v>
      </c>
      <c r="K177" s="74">
        <f>9+1</f>
        <v>10</v>
      </c>
      <c r="L177" s="156">
        <v>45309</v>
      </c>
      <c r="M177" s="90">
        <v>2730</v>
      </c>
      <c r="N177" s="90">
        <v>27</v>
      </c>
      <c r="O177" s="90" t="s">
        <v>824</v>
      </c>
      <c r="P177" s="94" t="s">
        <v>924</v>
      </c>
      <c r="Q177" s="94">
        <v>8500065828</v>
      </c>
      <c r="R177" s="94">
        <v>5000100843</v>
      </c>
      <c r="S177" s="74">
        <v>273</v>
      </c>
      <c r="T177" s="90" t="s">
        <v>87</v>
      </c>
      <c r="U177" s="90">
        <v>8500065827</v>
      </c>
      <c r="V177" s="90">
        <v>5000074214</v>
      </c>
      <c r="W177" s="376">
        <v>45310</v>
      </c>
      <c r="X177" s="106">
        <v>273</v>
      </c>
      <c r="Y177" s="106">
        <v>2730</v>
      </c>
      <c r="Z177" s="106" t="s">
        <v>1608</v>
      </c>
      <c r="AA177" s="106">
        <f t="shared" si="9"/>
        <v>0</v>
      </c>
      <c r="AB177" s="106">
        <f t="shared" si="10"/>
        <v>0</v>
      </c>
      <c r="AC177" s="94" t="s">
        <v>2660</v>
      </c>
      <c r="AD177" s="94"/>
      <c r="AE177" s="94"/>
      <c r="AF177" s="94"/>
      <c r="AG177" s="94"/>
      <c r="AH177" s="263"/>
    </row>
    <row r="178" spans="1:34" ht="26.25" customHeight="1">
      <c r="A178" s="260"/>
      <c r="B178" s="264"/>
      <c r="C178" s="2"/>
      <c r="D178" s="2"/>
      <c r="E178" s="94">
        <v>10</v>
      </c>
      <c r="F178" s="74">
        <v>847</v>
      </c>
      <c r="G178" s="45">
        <f t="shared" si="12"/>
        <v>8470</v>
      </c>
      <c r="H178" s="119" t="s">
        <v>46</v>
      </c>
      <c r="I178" s="128">
        <v>45316</v>
      </c>
      <c r="J178" s="158">
        <v>847</v>
      </c>
      <c r="K178" s="74">
        <v>18</v>
      </c>
      <c r="L178" s="156">
        <v>45309</v>
      </c>
      <c r="M178" s="90">
        <v>8470</v>
      </c>
      <c r="N178" s="90">
        <v>85</v>
      </c>
      <c r="O178" s="90" t="s">
        <v>720</v>
      </c>
      <c r="P178" s="94" t="s">
        <v>924</v>
      </c>
      <c r="Q178" s="94">
        <v>8500065828</v>
      </c>
      <c r="R178" s="94">
        <v>5000108688</v>
      </c>
      <c r="S178" s="94"/>
      <c r="T178" s="90" t="s">
        <v>87</v>
      </c>
      <c r="U178" s="90">
        <v>8500065827</v>
      </c>
      <c r="V178" s="90">
        <v>5000074214</v>
      </c>
      <c r="W178" s="376">
        <v>45338</v>
      </c>
      <c r="X178" s="106">
        <v>847</v>
      </c>
      <c r="Y178" s="106">
        <v>8470</v>
      </c>
      <c r="Z178" s="106" t="s">
        <v>1980</v>
      </c>
      <c r="AA178" s="106">
        <f t="shared" si="9"/>
        <v>0</v>
      </c>
      <c r="AB178" s="106">
        <f t="shared" si="10"/>
        <v>0</v>
      </c>
      <c r="AC178" s="94"/>
      <c r="AD178" s="94"/>
      <c r="AE178" s="94"/>
      <c r="AF178" s="94"/>
      <c r="AG178" s="94"/>
      <c r="AH178" s="263"/>
    </row>
    <row r="179" spans="1:34" ht="26.25" customHeight="1">
      <c r="A179" s="260"/>
      <c r="B179" s="264"/>
      <c r="C179" s="2"/>
      <c r="D179" s="2"/>
      <c r="E179" s="94">
        <v>10</v>
      </c>
      <c r="F179" s="74">
        <v>1260</v>
      </c>
      <c r="G179" s="45">
        <f t="shared" si="12"/>
        <v>12600</v>
      </c>
      <c r="H179" s="119" t="s">
        <v>146</v>
      </c>
      <c r="I179" s="128">
        <v>45317</v>
      </c>
      <c r="J179" s="158">
        <v>1260</v>
      </c>
      <c r="K179" s="74">
        <v>20</v>
      </c>
      <c r="L179" s="156">
        <v>45309</v>
      </c>
      <c r="M179" s="90">
        <v>12600</v>
      </c>
      <c r="N179" s="90">
        <v>126</v>
      </c>
      <c r="O179" s="90" t="s">
        <v>1743</v>
      </c>
      <c r="P179" s="94" t="s">
        <v>924</v>
      </c>
      <c r="Q179" s="94">
        <v>8500065828</v>
      </c>
      <c r="R179" s="94">
        <v>5000113399</v>
      </c>
      <c r="S179" s="94"/>
      <c r="T179" s="90" t="s">
        <v>87</v>
      </c>
      <c r="U179" s="90">
        <v>8500065827</v>
      </c>
      <c r="V179" s="90">
        <v>5000074214</v>
      </c>
      <c r="W179" s="376" t="s">
        <v>2985</v>
      </c>
      <c r="X179" s="106">
        <f>125+1135</f>
        <v>1260</v>
      </c>
      <c r="Y179" s="106">
        <f>1250+11350</f>
        <v>12600</v>
      </c>
      <c r="Z179" s="106" t="s">
        <v>2986</v>
      </c>
      <c r="AA179" s="106">
        <f t="shared" si="9"/>
        <v>0</v>
      </c>
      <c r="AB179" s="106">
        <f t="shared" si="10"/>
        <v>0</v>
      </c>
      <c r="AC179" s="94"/>
      <c r="AD179" s="94"/>
      <c r="AE179" s="94"/>
      <c r="AF179" s="94"/>
      <c r="AG179" s="94"/>
      <c r="AH179" s="263"/>
    </row>
    <row r="180" spans="1:34" ht="26.25" customHeight="1">
      <c r="A180" s="260"/>
      <c r="B180" s="264"/>
      <c r="C180" s="2"/>
      <c r="D180" s="2"/>
      <c r="E180" s="94"/>
      <c r="F180" s="74"/>
      <c r="G180" s="45"/>
      <c r="H180" s="119" t="s">
        <v>1506</v>
      </c>
      <c r="I180" s="128">
        <v>45316</v>
      </c>
      <c r="J180" s="158"/>
      <c r="K180" s="74" t="s">
        <v>2651</v>
      </c>
      <c r="L180" s="156"/>
      <c r="M180" s="90"/>
      <c r="N180" s="90"/>
      <c r="O180" s="90"/>
      <c r="P180" s="94" t="s">
        <v>924</v>
      </c>
      <c r="Q180" s="94"/>
      <c r="R180" s="94"/>
      <c r="S180" s="94"/>
      <c r="T180" s="90"/>
      <c r="U180" s="90"/>
      <c r="V180" s="90"/>
      <c r="W180" s="375"/>
      <c r="X180" s="106"/>
      <c r="Y180" s="106"/>
      <c r="Z180" s="106"/>
      <c r="AA180" s="106">
        <f t="shared" si="9"/>
        <v>0</v>
      </c>
      <c r="AB180" s="106">
        <f t="shared" si="10"/>
        <v>0</v>
      </c>
      <c r="AC180" s="94"/>
      <c r="AD180" s="94"/>
      <c r="AE180" s="94"/>
      <c r="AF180" s="94"/>
      <c r="AG180" s="94"/>
      <c r="AH180" s="263"/>
    </row>
    <row r="181" spans="1:34" ht="26.25" customHeight="1">
      <c r="A181" s="260" t="s">
        <v>715</v>
      </c>
      <c r="B181" s="264">
        <v>6000027796</v>
      </c>
      <c r="C181" s="2" t="s">
        <v>716</v>
      </c>
      <c r="D181" s="2">
        <v>6000027796</v>
      </c>
      <c r="E181" s="94">
        <v>10</v>
      </c>
      <c r="F181" s="74">
        <v>280</v>
      </c>
      <c r="G181" s="45">
        <f t="shared" si="12"/>
        <v>2800</v>
      </c>
      <c r="H181" s="119" t="s">
        <v>27</v>
      </c>
      <c r="I181" s="128">
        <v>45322</v>
      </c>
      <c r="J181" s="158">
        <v>280</v>
      </c>
      <c r="K181" s="74">
        <v>10</v>
      </c>
      <c r="L181" s="156">
        <v>45313</v>
      </c>
      <c r="M181" s="90">
        <v>2800</v>
      </c>
      <c r="N181" s="90">
        <v>28</v>
      </c>
      <c r="O181" s="90" t="s">
        <v>860</v>
      </c>
      <c r="P181" s="94" t="s">
        <v>924</v>
      </c>
      <c r="Q181" s="94">
        <v>8500066081</v>
      </c>
      <c r="R181" s="94">
        <v>5000131766</v>
      </c>
      <c r="S181" s="94"/>
      <c r="T181" s="90" t="s">
        <v>87</v>
      </c>
      <c r="U181" s="90">
        <v>8500066080</v>
      </c>
      <c r="V181" s="90">
        <v>5000092248</v>
      </c>
      <c r="W181" s="376">
        <v>45325</v>
      </c>
      <c r="X181" s="106">
        <v>280</v>
      </c>
      <c r="Y181" s="106">
        <v>2800</v>
      </c>
      <c r="Z181" s="106" t="s">
        <v>727</v>
      </c>
      <c r="AA181" s="106">
        <f t="shared" si="9"/>
        <v>0</v>
      </c>
      <c r="AB181" s="106">
        <f t="shared" si="10"/>
        <v>0</v>
      </c>
      <c r="AC181" s="94"/>
      <c r="AD181" s="94"/>
      <c r="AE181" s="94"/>
      <c r="AF181" s="94"/>
      <c r="AG181" s="94"/>
      <c r="AH181" s="263"/>
    </row>
    <row r="182" spans="1:34" ht="26.25" customHeight="1">
      <c r="A182" s="260"/>
      <c r="B182" s="264"/>
      <c r="C182" s="2"/>
      <c r="D182" s="2"/>
      <c r="E182" s="94">
        <v>10</v>
      </c>
      <c r="F182" s="74">
        <v>800</v>
      </c>
      <c r="G182" s="45">
        <f t="shared" si="12"/>
        <v>8000</v>
      </c>
      <c r="H182" s="119" t="s">
        <v>46</v>
      </c>
      <c r="I182" s="128" t="s">
        <v>2753</v>
      </c>
      <c r="J182" s="158">
        <f>784+16</f>
        <v>800</v>
      </c>
      <c r="K182" s="74">
        <v>17</v>
      </c>
      <c r="L182" s="156">
        <v>45313</v>
      </c>
      <c r="M182" s="90">
        <v>8000</v>
      </c>
      <c r="N182" s="90">
        <v>80</v>
      </c>
      <c r="O182" s="90" t="s">
        <v>2152</v>
      </c>
      <c r="P182" s="94" t="s">
        <v>924</v>
      </c>
      <c r="Q182" s="94">
        <v>8500066081</v>
      </c>
      <c r="R182" s="94">
        <v>5000131766</v>
      </c>
      <c r="S182" s="94"/>
      <c r="T182" s="90" t="s">
        <v>87</v>
      </c>
      <c r="U182" s="90">
        <v>8500066080</v>
      </c>
      <c r="V182" s="90">
        <v>5000092248</v>
      </c>
      <c r="W182" s="376">
        <v>45335</v>
      </c>
      <c r="X182" s="106">
        <v>800</v>
      </c>
      <c r="Y182" s="106">
        <v>8000</v>
      </c>
      <c r="Z182" s="106" t="s">
        <v>2877</v>
      </c>
      <c r="AA182" s="106">
        <f t="shared" si="9"/>
        <v>0</v>
      </c>
      <c r="AB182" s="106">
        <f t="shared" si="10"/>
        <v>0</v>
      </c>
      <c r="AC182" s="94"/>
      <c r="AD182" s="94"/>
      <c r="AE182" s="94"/>
      <c r="AF182" s="94"/>
      <c r="AG182" s="94"/>
      <c r="AH182" s="263"/>
    </row>
    <row r="183" spans="1:34" ht="26.25" customHeight="1">
      <c r="A183" s="260"/>
      <c r="B183" s="264"/>
      <c r="C183" s="2"/>
      <c r="D183" s="2"/>
      <c r="E183" s="94">
        <v>10</v>
      </c>
      <c r="F183" s="74">
        <v>870</v>
      </c>
      <c r="G183" s="45">
        <f t="shared" si="12"/>
        <v>8700</v>
      </c>
      <c r="H183" s="119" t="s">
        <v>146</v>
      </c>
      <c r="I183" s="128">
        <v>45323</v>
      </c>
      <c r="J183" s="158">
        <v>870</v>
      </c>
      <c r="K183" s="74">
        <v>20</v>
      </c>
      <c r="L183" s="156">
        <v>45313</v>
      </c>
      <c r="M183" s="90">
        <v>8700</v>
      </c>
      <c r="N183" s="90">
        <v>87</v>
      </c>
      <c r="O183" s="90" t="s">
        <v>853</v>
      </c>
      <c r="P183" s="94" t="s">
        <v>924</v>
      </c>
      <c r="Q183" s="94">
        <v>8500066081</v>
      </c>
      <c r="R183" s="94">
        <v>5000136869</v>
      </c>
      <c r="S183" s="94"/>
      <c r="T183" s="90" t="s">
        <v>87</v>
      </c>
      <c r="U183" s="90">
        <v>8500066080</v>
      </c>
      <c r="V183" s="90">
        <v>5000092248</v>
      </c>
      <c r="W183" s="376">
        <v>45325</v>
      </c>
      <c r="X183" s="106">
        <v>870</v>
      </c>
      <c r="Y183" s="106">
        <v>8700</v>
      </c>
      <c r="Z183" s="106" t="s">
        <v>759</v>
      </c>
      <c r="AA183" s="106">
        <f t="shared" si="9"/>
        <v>0</v>
      </c>
      <c r="AB183" s="106">
        <f t="shared" si="10"/>
        <v>0</v>
      </c>
      <c r="AC183" s="94"/>
      <c r="AD183" s="94"/>
      <c r="AE183" s="94"/>
      <c r="AF183" s="94"/>
      <c r="AG183" s="94"/>
      <c r="AH183" s="263"/>
    </row>
    <row r="184" spans="1:34" ht="26.25" customHeight="1">
      <c r="A184" s="260"/>
      <c r="B184" s="264"/>
      <c r="C184" s="2"/>
      <c r="D184" s="2"/>
      <c r="E184" s="94"/>
      <c r="F184" s="74"/>
      <c r="G184" s="45"/>
      <c r="H184" s="119" t="s">
        <v>1506</v>
      </c>
      <c r="I184" s="128">
        <v>45322</v>
      </c>
      <c r="J184" s="158">
        <v>1950</v>
      </c>
      <c r="K184" s="74">
        <v>100</v>
      </c>
      <c r="L184" s="156"/>
      <c r="M184" s="90"/>
      <c r="N184" s="90"/>
      <c r="O184" s="90"/>
      <c r="P184" s="94" t="s">
        <v>924</v>
      </c>
      <c r="Q184" s="94"/>
      <c r="R184" s="94"/>
      <c r="S184" s="94"/>
      <c r="T184" s="90"/>
      <c r="U184" s="90"/>
      <c r="V184" s="90"/>
      <c r="W184" s="375"/>
      <c r="X184" s="106">
        <v>1950</v>
      </c>
      <c r="Y184" s="106"/>
      <c r="Z184" s="106"/>
      <c r="AA184" s="106">
        <f t="shared" si="9"/>
        <v>0</v>
      </c>
      <c r="AB184" s="106">
        <f t="shared" si="10"/>
        <v>0</v>
      </c>
      <c r="AC184" s="94"/>
      <c r="AD184" s="94"/>
      <c r="AE184" s="94"/>
      <c r="AF184" s="94"/>
      <c r="AG184" s="94"/>
      <c r="AH184" s="263"/>
    </row>
    <row r="185" spans="1:34" ht="26.25" customHeight="1">
      <c r="A185" s="260" t="s">
        <v>715</v>
      </c>
      <c r="B185" s="264">
        <v>6000027796</v>
      </c>
      <c r="C185" s="2" t="s">
        <v>717</v>
      </c>
      <c r="D185" s="2">
        <v>6000027796</v>
      </c>
      <c r="E185" s="94">
        <v>10</v>
      </c>
      <c r="F185" s="74">
        <v>1200</v>
      </c>
      <c r="G185" s="45">
        <f t="shared" si="12"/>
        <v>12000</v>
      </c>
      <c r="H185" s="119" t="s">
        <v>46</v>
      </c>
      <c r="I185" s="128">
        <v>45323</v>
      </c>
      <c r="J185" s="158">
        <v>1200</v>
      </c>
      <c r="K185" s="74">
        <v>20</v>
      </c>
      <c r="L185" s="156">
        <v>45314</v>
      </c>
      <c r="M185" s="90">
        <v>12000</v>
      </c>
      <c r="N185" s="90">
        <v>120</v>
      </c>
      <c r="O185" s="90" t="s">
        <v>1791</v>
      </c>
      <c r="P185" s="94" t="s">
        <v>924</v>
      </c>
      <c r="Q185" s="94">
        <v>8500066083</v>
      </c>
      <c r="R185" s="94">
        <v>5000136904</v>
      </c>
      <c r="S185" s="94"/>
      <c r="T185" s="90" t="s">
        <v>87</v>
      </c>
      <c r="U185" s="90">
        <v>8500066082</v>
      </c>
      <c r="V185" s="90">
        <v>5000096748</v>
      </c>
      <c r="W185" s="376">
        <v>45341</v>
      </c>
      <c r="X185" s="106">
        <v>1200</v>
      </c>
      <c r="Y185" s="106">
        <v>12000</v>
      </c>
      <c r="Z185" s="106" t="s">
        <v>1980</v>
      </c>
      <c r="AA185" s="106">
        <f t="shared" si="9"/>
        <v>0</v>
      </c>
      <c r="AB185" s="106">
        <f t="shared" si="10"/>
        <v>0</v>
      </c>
      <c r="AC185" s="94" t="s">
        <v>2835</v>
      </c>
      <c r="AD185" s="94"/>
      <c r="AE185" s="94"/>
      <c r="AF185" s="94"/>
      <c r="AG185" s="94"/>
      <c r="AH185" s="263"/>
    </row>
    <row r="186" spans="1:34" ht="26.25" customHeight="1">
      <c r="A186" s="260"/>
      <c r="B186" s="264"/>
      <c r="C186" s="2"/>
      <c r="D186" s="2"/>
      <c r="E186" s="94"/>
      <c r="F186" s="74"/>
      <c r="G186" s="45">
        <f t="shared" si="12"/>
        <v>0</v>
      </c>
      <c r="H186" s="119" t="s">
        <v>1506</v>
      </c>
      <c r="I186" s="128">
        <v>45322</v>
      </c>
      <c r="J186" s="158">
        <v>1200</v>
      </c>
      <c r="K186" s="74"/>
      <c r="L186" s="156"/>
      <c r="M186" s="90"/>
      <c r="N186" s="90"/>
      <c r="O186" s="90"/>
      <c r="P186" s="94"/>
      <c r="Q186" s="94"/>
      <c r="R186" s="94"/>
      <c r="S186" s="94"/>
      <c r="T186" s="90"/>
      <c r="U186" s="90"/>
      <c r="V186" s="90"/>
      <c r="W186" s="375"/>
      <c r="X186" s="106">
        <v>1200</v>
      </c>
      <c r="Y186" s="106"/>
      <c r="Z186" s="106"/>
      <c r="AA186" s="106">
        <f t="shared" si="9"/>
        <v>0</v>
      </c>
      <c r="AB186" s="106">
        <f t="shared" si="10"/>
        <v>0</v>
      </c>
      <c r="AC186" s="94"/>
      <c r="AD186" s="94"/>
      <c r="AE186" s="94"/>
      <c r="AF186" s="94"/>
      <c r="AG186" s="94"/>
      <c r="AH186" s="263"/>
    </row>
    <row r="187" spans="1:34" ht="26.25" customHeight="1">
      <c r="A187" s="260" t="s">
        <v>715</v>
      </c>
      <c r="B187" s="264">
        <v>6000027795</v>
      </c>
      <c r="C187" s="2" t="s">
        <v>717</v>
      </c>
      <c r="D187" s="2">
        <v>6000027795</v>
      </c>
      <c r="E187" s="94">
        <v>10</v>
      </c>
      <c r="F187" s="74">
        <v>1650</v>
      </c>
      <c r="G187" s="45">
        <f t="shared" si="12"/>
        <v>16500</v>
      </c>
      <c r="H187" s="119" t="s">
        <v>46</v>
      </c>
      <c r="I187" s="128">
        <v>45322</v>
      </c>
      <c r="J187" s="74">
        <v>1650</v>
      </c>
      <c r="K187" s="74">
        <v>15</v>
      </c>
      <c r="L187" s="156">
        <v>45313</v>
      </c>
      <c r="M187" s="90">
        <v>16500</v>
      </c>
      <c r="N187" s="90">
        <v>165</v>
      </c>
      <c r="O187" s="90"/>
      <c r="P187" s="94" t="s">
        <v>924</v>
      </c>
      <c r="Q187" s="94">
        <v>8500066079</v>
      </c>
      <c r="R187" s="94">
        <v>5000131768</v>
      </c>
      <c r="S187" s="94"/>
      <c r="T187" s="90" t="s">
        <v>87</v>
      </c>
      <c r="U187" s="90">
        <v>8500066078</v>
      </c>
      <c r="V187" s="90">
        <v>5000092251</v>
      </c>
      <c r="W187" s="376">
        <v>45341</v>
      </c>
      <c r="X187" s="106">
        <v>1650</v>
      </c>
      <c r="Y187" s="106">
        <v>16500</v>
      </c>
      <c r="Z187" s="106"/>
      <c r="AA187" s="106">
        <f t="shared" si="9"/>
        <v>0</v>
      </c>
      <c r="AB187" s="106">
        <f t="shared" si="10"/>
        <v>0</v>
      </c>
      <c r="AC187" s="94"/>
      <c r="AD187" s="94"/>
      <c r="AE187" s="94"/>
      <c r="AF187" s="94"/>
      <c r="AG187" s="94"/>
      <c r="AH187" s="263"/>
    </row>
    <row r="188" spans="1:34" ht="26.25" customHeight="1">
      <c r="A188" s="260"/>
      <c r="B188" s="224"/>
      <c r="C188" s="2"/>
      <c r="D188" s="2"/>
      <c r="E188" s="94">
        <v>10</v>
      </c>
      <c r="F188" s="74">
        <v>1200</v>
      </c>
      <c r="G188" s="45">
        <f t="shared" si="12"/>
        <v>12000</v>
      </c>
      <c r="H188" s="119" t="s">
        <v>37</v>
      </c>
      <c r="I188" s="128">
        <v>45322</v>
      </c>
      <c r="J188" s="74">
        <v>1200</v>
      </c>
      <c r="K188" s="74">
        <v>10</v>
      </c>
      <c r="L188" s="156">
        <v>45314</v>
      </c>
      <c r="M188" s="90">
        <v>12000</v>
      </c>
      <c r="N188" s="90">
        <v>120</v>
      </c>
      <c r="O188" s="90"/>
      <c r="P188" s="94" t="s">
        <v>924</v>
      </c>
      <c r="Q188" s="94">
        <v>8500066079</v>
      </c>
      <c r="R188" s="94">
        <v>5000131768</v>
      </c>
      <c r="S188" s="94"/>
      <c r="T188" s="90" t="s">
        <v>87</v>
      </c>
      <c r="U188" s="90">
        <v>8500066078</v>
      </c>
      <c r="V188" s="90">
        <v>5000096741</v>
      </c>
      <c r="W188" s="376">
        <v>45339</v>
      </c>
      <c r="X188" s="106">
        <v>1200</v>
      </c>
      <c r="Y188" s="106">
        <v>12000</v>
      </c>
      <c r="Z188" s="106" t="s">
        <v>1980</v>
      </c>
      <c r="AA188" s="106">
        <f t="shared" si="9"/>
        <v>0</v>
      </c>
      <c r="AB188" s="106">
        <f t="shared" si="10"/>
        <v>0</v>
      </c>
      <c r="AC188" s="94"/>
      <c r="AD188" s="94"/>
      <c r="AE188" s="94"/>
      <c r="AF188" s="94"/>
      <c r="AG188" s="94"/>
      <c r="AH188" s="263"/>
    </row>
    <row r="189" spans="1:34" ht="26.25" customHeight="1">
      <c r="A189" s="260"/>
      <c r="B189" s="224"/>
      <c r="C189" s="2"/>
      <c r="D189" s="2"/>
      <c r="E189" s="94">
        <v>10</v>
      </c>
      <c r="F189" s="74">
        <v>300</v>
      </c>
      <c r="G189" s="45">
        <f t="shared" si="12"/>
        <v>3000</v>
      </c>
      <c r="H189" s="119" t="s">
        <v>146</v>
      </c>
      <c r="I189" s="128">
        <v>45323</v>
      </c>
      <c r="J189" s="158">
        <v>300</v>
      </c>
      <c r="K189" s="74">
        <v>20</v>
      </c>
      <c r="L189" s="156">
        <v>45314</v>
      </c>
      <c r="M189" s="90">
        <v>3000</v>
      </c>
      <c r="N189" s="90">
        <v>30</v>
      </c>
      <c r="O189" s="90" t="s">
        <v>1362</v>
      </c>
      <c r="P189" s="94" t="s">
        <v>924</v>
      </c>
      <c r="Q189" s="94">
        <v>8500066079</v>
      </c>
      <c r="R189" s="94">
        <v>5000136900</v>
      </c>
      <c r="S189" s="94"/>
      <c r="T189" s="90" t="s">
        <v>87</v>
      </c>
      <c r="U189" s="90">
        <v>8500066078</v>
      </c>
      <c r="V189" s="90">
        <v>5000096741</v>
      </c>
      <c r="W189" s="376">
        <v>45351</v>
      </c>
      <c r="X189" s="106">
        <v>300</v>
      </c>
      <c r="Y189" s="106">
        <v>3000</v>
      </c>
      <c r="Z189" s="106" t="s">
        <v>1609</v>
      </c>
      <c r="AA189" s="106">
        <f t="shared" si="9"/>
        <v>0</v>
      </c>
      <c r="AB189" s="106">
        <f t="shared" si="10"/>
        <v>0</v>
      </c>
      <c r="AC189" s="94"/>
      <c r="AD189" s="94"/>
      <c r="AE189" s="94"/>
      <c r="AF189" s="94"/>
      <c r="AG189" s="94"/>
      <c r="AH189" s="263"/>
    </row>
    <row r="190" spans="1:34" ht="26.25" customHeight="1">
      <c r="A190" s="260"/>
      <c r="B190" s="224"/>
      <c r="C190" s="2"/>
      <c r="D190" s="2"/>
      <c r="E190" s="94"/>
      <c r="F190" s="74"/>
      <c r="G190" s="45">
        <f t="shared" si="12"/>
        <v>0</v>
      </c>
      <c r="H190" s="119" t="s">
        <v>1506</v>
      </c>
      <c r="I190" s="128">
        <v>45322</v>
      </c>
      <c r="J190" s="158">
        <v>3150</v>
      </c>
      <c r="K190" s="74">
        <v>50</v>
      </c>
      <c r="L190" s="156"/>
      <c r="M190" s="90"/>
      <c r="N190" s="90"/>
      <c r="O190" s="90"/>
      <c r="P190" s="94" t="s">
        <v>924</v>
      </c>
      <c r="Q190" s="94"/>
      <c r="R190" s="94"/>
      <c r="S190" s="94"/>
      <c r="T190" s="90"/>
      <c r="U190" s="90"/>
      <c r="V190" s="90"/>
      <c r="W190" s="375"/>
      <c r="X190" s="106">
        <v>3150</v>
      </c>
      <c r="Y190" s="106"/>
      <c r="Z190" s="106"/>
      <c r="AA190" s="106">
        <f t="shared" si="9"/>
        <v>0</v>
      </c>
      <c r="AB190" s="106">
        <f t="shared" si="10"/>
        <v>0</v>
      </c>
      <c r="AC190" s="94"/>
      <c r="AD190" s="94"/>
      <c r="AE190" s="94"/>
      <c r="AF190" s="94"/>
      <c r="AG190" s="94"/>
      <c r="AH190" s="263"/>
    </row>
    <row r="191" spans="1:34" s="97" customFormat="1" ht="26.25" customHeight="1">
      <c r="A191" s="83" t="s">
        <v>1727</v>
      </c>
      <c r="B191" s="88">
        <v>6000027706</v>
      </c>
      <c r="C191" s="2" t="s">
        <v>2299</v>
      </c>
      <c r="D191" s="2" t="s">
        <v>2300</v>
      </c>
      <c r="E191" s="94">
        <v>10</v>
      </c>
      <c r="F191" s="74">
        <v>288</v>
      </c>
      <c r="G191" s="45">
        <f t="shared" si="12"/>
        <v>2880</v>
      </c>
      <c r="H191" s="119" t="s">
        <v>27</v>
      </c>
      <c r="I191" s="128">
        <v>45313</v>
      </c>
      <c r="J191" s="74">
        <v>288</v>
      </c>
      <c r="K191" s="74">
        <v>2</v>
      </c>
      <c r="L191" s="156">
        <v>45287</v>
      </c>
      <c r="M191" s="90">
        <v>2880</v>
      </c>
      <c r="N191" s="90">
        <v>15</v>
      </c>
      <c r="O191" s="90" t="s">
        <v>1746</v>
      </c>
      <c r="P191" s="94" t="s">
        <v>1558</v>
      </c>
      <c r="Q191" s="94">
        <v>8500065840</v>
      </c>
      <c r="R191" s="94">
        <v>5000091433</v>
      </c>
      <c r="S191" s="94"/>
      <c r="T191" s="90" t="s">
        <v>152</v>
      </c>
      <c r="U191" s="90">
        <v>8500065839</v>
      </c>
      <c r="V191" s="90">
        <v>5001384629</v>
      </c>
      <c r="W191" s="376">
        <v>45352</v>
      </c>
      <c r="X191" s="106">
        <v>288</v>
      </c>
      <c r="Y191" s="106">
        <v>2880</v>
      </c>
      <c r="Z191" s="106" t="s">
        <v>1502</v>
      </c>
      <c r="AA191" s="106">
        <f t="shared" si="9"/>
        <v>0</v>
      </c>
      <c r="AB191" s="106">
        <f t="shared" si="10"/>
        <v>0</v>
      </c>
      <c r="AC191" s="94" t="s">
        <v>2303</v>
      </c>
      <c r="AD191" s="94"/>
      <c r="AE191" s="110"/>
      <c r="AF191" s="110"/>
      <c r="AG191" s="110"/>
      <c r="AH191" s="99"/>
    </row>
    <row r="192" spans="1:34" s="97" customFormat="1" ht="26.25" customHeight="1">
      <c r="A192" s="90"/>
      <c r="B192" s="88"/>
      <c r="C192" s="94"/>
      <c r="D192" s="275" t="s">
        <v>2179</v>
      </c>
      <c r="E192" s="94">
        <v>10</v>
      </c>
      <c r="F192" s="74">
        <v>2016</v>
      </c>
      <c r="G192" s="45">
        <f t="shared" si="12"/>
        <v>20160</v>
      </c>
      <c r="H192" s="119" t="s">
        <v>46</v>
      </c>
      <c r="I192" s="128">
        <v>45313</v>
      </c>
      <c r="J192" s="74">
        <v>2016</v>
      </c>
      <c r="K192" s="74">
        <v>20</v>
      </c>
      <c r="L192" s="156">
        <v>45317</v>
      </c>
      <c r="M192" s="90">
        <v>20160</v>
      </c>
      <c r="N192" s="90">
        <v>101</v>
      </c>
      <c r="O192" s="90"/>
      <c r="P192" s="94" t="s">
        <v>1558</v>
      </c>
      <c r="Q192" s="94">
        <v>8500065840</v>
      </c>
      <c r="R192" s="94">
        <v>5000091433</v>
      </c>
      <c r="S192" s="74">
        <v>2016</v>
      </c>
      <c r="T192" s="90" t="s">
        <v>152</v>
      </c>
      <c r="U192" s="90">
        <v>8500065839</v>
      </c>
      <c r="V192" s="90">
        <v>5000113538</v>
      </c>
      <c r="W192" s="376">
        <v>45346</v>
      </c>
      <c r="X192" s="106">
        <v>2016</v>
      </c>
      <c r="Y192" s="106">
        <v>20160</v>
      </c>
      <c r="Z192" s="106" t="s">
        <v>2934</v>
      </c>
      <c r="AA192" s="106">
        <f t="shared" si="9"/>
        <v>0</v>
      </c>
      <c r="AB192" s="106">
        <f t="shared" si="10"/>
        <v>0</v>
      </c>
      <c r="AC192" s="94" t="s">
        <v>2303</v>
      </c>
      <c r="AD192" s="94"/>
      <c r="AE192" s="110"/>
      <c r="AF192" s="110"/>
      <c r="AG192" s="110"/>
      <c r="AH192" s="99"/>
    </row>
    <row r="193" spans="1:34" s="97" customFormat="1" ht="26.25" customHeight="1">
      <c r="A193" s="83"/>
      <c r="B193" s="88"/>
      <c r="C193" s="86"/>
      <c r="D193" s="87"/>
      <c r="E193" s="94">
        <v>10</v>
      </c>
      <c r="F193" s="74">
        <v>1008</v>
      </c>
      <c r="G193" s="45">
        <f t="shared" si="12"/>
        <v>10080</v>
      </c>
      <c r="H193" s="119" t="s">
        <v>37</v>
      </c>
      <c r="I193" s="128">
        <v>45313</v>
      </c>
      <c r="J193" s="74">
        <v>1008</v>
      </c>
      <c r="K193" s="74">
        <v>10</v>
      </c>
      <c r="L193" s="156">
        <v>45317</v>
      </c>
      <c r="M193" s="90">
        <v>10080</v>
      </c>
      <c r="N193" s="90">
        <v>51</v>
      </c>
      <c r="O193" s="90"/>
      <c r="P193" s="94" t="s">
        <v>1558</v>
      </c>
      <c r="Q193" s="94">
        <v>8500065840</v>
      </c>
      <c r="R193" s="94">
        <v>5000091433</v>
      </c>
      <c r="S193" s="94"/>
      <c r="T193" s="90" t="s">
        <v>152</v>
      </c>
      <c r="U193" s="90">
        <v>8500065839</v>
      </c>
      <c r="V193" s="90">
        <v>5000113538</v>
      </c>
      <c r="W193" s="376">
        <v>45358</v>
      </c>
      <c r="X193" s="106">
        <v>1008</v>
      </c>
      <c r="Y193" s="106">
        <v>10080</v>
      </c>
      <c r="Z193" s="106" t="s">
        <v>197</v>
      </c>
      <c r="AA193" s="106">
        <f t="shared" si="9"/>
        <v>0</v>
      </c>
      <c r="AB193" s="106">
        <f t="shared" si="10"/>
        <v>0</v>
      </c>
      <c r="AC193" s="94" t="s">
        <v>2303</v>
      </c>
      <c r="AD193" s="94"/>
      <c r="AE193" s="110"/>
      <c r="AF193" s="110"/>
      <c r="AG193" s="110"/>
      <c r="AH193" s="99"/>
    </row>
    <row r="194" spans="1:34" s="97" customFormat="1" ht="26.25" customHeight="1">
      <c r="A194" s="90"/>
      <c r="B194" s="88"/>
      <c r="C194" s="94"/>
      <c r="D194" s="95"/>
      <c r="E194" s="94">
        <v>10</v>
      </c>
      <c r="F194" s="74">
        <v>378</v>
      </c>
      <c r="G194" s="45">
        <f t="shared" si="12"/>
        <v>3780</v>
      </c>
      <c r="H194" s="119" t="s">
        <v>146</v>
      </c>
      <c r="I194" s="128">
        <v>45313</v>
      </c>
      <c r="J194" s="74">
        <v>378</v>
      </c>
      <c r="K194" s="74">
        <v>3</v>
      </c>
      <c r="L194" s="156">
        <v>45317</v>
      </c>
      <c r="M194" s="90">
        <v>3780</v>
      </c>
      <c r="N194" s="90">
        <v>19</v>
      </c>
      <c r="O194" s="90" t="s">
        <v>1509</v>
      </c>
      <c r="P194" s="94" t="s">
        <v>1558</v>
      </c>
      <c r="Q194" s="94">
        <v>8500065840</v>
      </c>
      <c r="R194" s="94">
        <v>5000091433</v>
      </c>
      <c r="S194" s="94"/>
      <c r="T194" s="90" t="s">
        <v>152</v>
      </c>
      <c r="U194" s="90">
        <v>8500065839</v>
      </c>
      <c r="V194" s="90">
        <v>5000113538</v>
      </c>
      <c r="W194" s="376">
        <v>45352</v>
      </c>
      <c r="X194" s="106">
        <v>378</v>
      </c>
      <c r="Y194" s="106">
        <v>3780</v>
      </c>
      <c r="Z194" s="106" t="s">
        <v>798</v>
      </c>
      <c r="AA194" s="106">
        <f t="shared" si="9"/>
        <v>0</v>
      </c>
      <c r="AB194" s="106">
        <f t="shared" si="10"/>
        <v>0</v>
      </c>
      <c r="AC194" s="94" t="s">
        <v>2303</v>
      </c>
      <c r="AD194" s="94"/>
      <c r="AE194" s="110"/>
      <c r="AF194" s="110"/>
      <c r="AG194" s="110"/>
      <c r="AH194" s="99"/>
    </row>
    <row r="195" spans="1:34" ht="30.75" customHeight="1">
      <c r="A195" s="83" t="s">
        <v>1572</v>
      </c>
      <c r="B195" s="88">
        <v>6000028081</v>
      </c>
      <c r="C195" s="2" t="s">
        <v>1571</v>
      </c>
      <c r="D195" s="2">
        <v>6000028081</v>
      </c>
      <c r="E195" s="94">
        <v>10</v>
      </c>
      <c r="F195" s="74">
        <v>200</v>
      </c>
      <c r="G195" s="45">
        <f t="shared" si="12"/>
        <v>2000</v>
      </c>
      <c r="H195" s="119" t="s">
        <v>27</v>
      </c>
      <c r="I195" s="128">
        <v>45311</v>
      </c>
      <c r="J195" s="74">
        <v>200</v>
      </c>
      <c r="K195" s="74">
        <f>1+12</f>
        <v>13</v>
      </c>
      <c r="L195" s="156">
        <v>45314</v>
      </c>
      <c r="M195" s="90">
        <v>2000</v>
      </c>
      <c r="N195" s="90">
        <v>10</v>
      </c>
      <c r="O195" s="90"/>
      <c r="P195" s="94" t="s">
        <v>160</v>
      </c>
      <c r="Q195" s="94">
        <v>8500066390</v>
      </c>
      <c r="R195" s="94">
        <v>5000090884</v>
      </c>
      <c r="S195" s="94"/>
      <c r="T195" s="90" t="s">
        <v>152</v>
      </c>
      <c r="U195" s="90">
        <v>8500066389</v>
      </c>
      <c r="V195" s="90">
        <v>5000096558</v>
      </c>
      <c r="W195" s="376">
        <v>45393</v>
      </c>
      <c r="X195" s="106">
        <v>200</v>
      </c>
      <c r="Y195" s="106">
        <v>2000</v>
      </c>
      <c r="Z195" s="106" t="s">
        <v>800</v>
      </c>
      <c r="AA195" s="106">
        <f t="shared" si="9"/>
        <v>0</v>
      </c>
      <c r="AB195" s="106">
        <f t="shared" si="10"/>
        <v>0</v>
      </c>
      <c r="AC195" s="94"/>
      <c r="AD195" s="94"/>
      <c r="AE195" s="94"/>
      <c r="AF195" s="94"/>
      <c r="AG195" s="94"/>
      <c r="AH195" s="263"/>
    </row>
    <row r="196" spans="1:34" ht="26.25" customHeight="1">
      <c r="A196" s="83"/>
      <c r="B196" s="88"/>
      <c r="C196" s="2"/>
      <c r="D196" s="2"/>
      <c r="E196" s="94">
        <v>10</v>
      </c>
      <c r="F196" s="74">
        <v>830</v>
      </c>
      <c r="G196" s="45">
        <f t="shared" si="12"/>
        <v>8300</v>
      </c>
      <c r="H196" s="119" t="s">
        <v>46</v>
      </c>
      <c r="I196" s="128">
        <v>45310</v>
      </c>
      <c r="J196" s="74">
        <v>830</v>
      </c>
      <c r="K196" s="74">
        <v>10</v>
      </c>
      <c r="L196" s="156">
        <v>45314</v>
      </c>
      <c r="M196" s="90">
        <v>8300</v>
      </c>
      <c r="N196" s="90">
        <v>42</v>
      </c>
      <c r="O196" s="90" t="s">
        <v>1791</v>
      </c>
      <c r="P196" s="94" t="s">
        <v>160</v>
      </c>
      <c r="Q196" s="94">
        <v>8500066390</v>
      </c>
      <c r="R196" s="94">
        <v>5000082049</v>
      </c>
      <c r="S196" s="74">
        <v>830</v>
      </c>
      <c r="T196" s="90" t="s">
        <v>152</v>
      </c>
      <c r="U196" s="90">
        <v>8500066389</v>
      </c>
      <c r="V196" s="90">
        <v>5000103918</v>
      </c>
      <c r="W196" s="376" t="s">
        <v>3327</v>
      </c>
      <c r="X196" s="106">
        <f>45+785</f>
        <v>830</v>
      </c>
      <c r="Y196" s="106">
        <f>450+7850</f>
        <v>8300</v>
      </c>
      <c r="Z196" s="106" t="s">
        <v>1822</v>
      </c>
      <c r="AA196" s="106">
        <f t="shared" si="9"/>
        <v>0</v>
      </c>
      <c r="AB196" s="106">
        <f t="shared" si="10"/>
        <v>0</v>
      </c>
      <c r="AC196" s="94"/>
      <c r="AD196" s="94"/>
      <c r="AE196" s="94"/>
      <c r="AF196" s="94"/>
      <c r="AG196" s="94"/>
      <c r="AH196" s="263"/>
    </row>
    <row r="197" spans="1:34" ht="26.25" customHeight="1">
      <c r="A197" s="83"/>
      <c r="B197" s="88"/>
      <c r="C197" s="2"/>
      <c r="D197" s="2"/>
      <c r="E197" s="94">
        <v>10</v>
      </c>
      <c r="F197" s="74">
        <v>800</v>
      </c>
      <c r="G197" s="45">
        <f t="shared" si="12"/>
        <v>8000</v>
      </c>
      <c r="H197" s="119" t="s">
        <v>37</v>
      </c>
      <c r="I197" s="128">
        <v>45311</v>
      </c>
      <c r="J197" s="74">
        <v>800</v>
      </c>
      <c r="K197" s="74">
        <v>10</v>
      </c>
      <c r="L197" s="156">
        <v>45315</v>
      </c>
      <c r="M197" s="90">
        <v>8000</v>
      </c>
      <c r="N197" s="90">
        <v>40</v>
      </c>
      <c r="O197" s="90" t="s">
        <v>1784</v>
      </c>
      <c r="P197" s="94" t="s">
        <v>160</v>
      </c>
      <c r="Q197" s="94">
        <v>8500066390</v>
      </c>
      <c r="R197" s="94">
        <v>5000090884</v>
      </c>
      <c r="S197" s="74">
        <v>800</v>
      </c>
      <c r="T197" s="90" t="s">
        <v>152</v>
      </c>
      <c r="U197" s="90">
        <v>8500066389</v>
      </c>
      <c r="V197" s="90">
        <v>5000103918</v>
      </c>
      <c r="W197" s="376">
        <v>45388</v>
      </c>
      <c r="X197" s="106">
        <v>800</v>
      </c>
      <c r="Y197" s="106">
        <v>8000</v>
      </c>
      <c r="Z197" s="106" t="s">
        <v>754</v>
      </c>
      <c r="AA197" s="106">
        <f t="shared" si="9"/>
        <v>0</v>
      </c>
      <c r="AB197" s="106">
        <f t="shared" si="10"/>
        <v>0</v>
      </c>
      <c r="AC197" s="94"/>
      <c r="AD197" s="94"/>
      <c r="AE197" s="94"/>
      <c r="AF197" s="94"/>
      <c r="AG197" s="94"/>
      <c r="AH197" s="263"/>
    </row>
    <row r="198" spans="1:34" ht="26.25" customHeight="1">
      <c r="A198" s="83"/>
      <c r="B198" s="88"/>
      <c r="C198" s="2"/>
      <c r="D198" s="2"/>
      <c r="E198" s="94">
        <v>10</v>
      </c>
      <c r="F198" s="74">
        <v>100</v>
      </c>
      <c r="G198" s="45">
        <f t="shared" si="12"/>
        <v>1000</v>
      </c>
      <c r="H198" s="119" t="s">
        <v>146</v>
      </c>
      <c r="I198" s="128">
        <v>45311</v>
      </c>
      <c r="J198" s="74">
        <v>100</v>
      </c>
      <c r="K198" s="74">
        <f>2+1</f>
        <v>3</v>
      </c>
      <c r="L198" s="156">
        <v>45314</v>
      </c>
      <c r="M198" s="90">
        <v>1000</v>
      </c>
      <c r="N198" s="90">
        <v>5</v>
      </c>
      <c r="O198" s="90"/>
      <c r="P198" s="94" t="s">
        <v>160</v>
      </c>
      <c r="Q198" s="94">
        <v>8500066390</v>
      </c>
      <c r="R198" s="94">
        <v>5000090884</v>
      </c>
      <c r="S198" s="94"/>
      <c r="T198" s="90" t="s">
        <v>152</v>
      </c>
      <c r="U198" s="90">
        <v>8500066389</v>
      </c>
      <c r="V198" s="90">
        <v>5000096558</v>
      </c>
      <c r="W198" s="376">
        <v>45393</v>
      </c>
      <c r="X198" s="106">
        <v>100</v>
      </c>
      <c r="Y198" s="106">
        <v>1000</v>
      </c>
      <c r="Z198" s="106" t="s">
        <v>800</v>
      </c>
      <c r="AA198" s="106">
        <f t="shared" si="9"/>
        <v>0</v>
      </c>
      <c r="AB198" s="106">
        <f t="shared" si="10"/>
        <v>0</v>
      </c>
      <c r="AC198" s="94"/>
      <c r="AD198" s="94"/>
      <c r="AE198" s="94"/>
      <c r="AF198" s="94"/>
      <c r="AG198" s="94"/>
      <c r="AH198" s="263"/>
    </row>
    <row r="199" spans="1:34" ht="26.25" customHeight="1">
      <c r="A199" s="2" t="s">
        <v>781</v>
      </c>
      <c r="B199" s="264">
        <v>6000028211</v>
      </c>
      <c r="C199" s="2" t="s">
        <v>2548</v>
      </c>
      <c r="D199" s="276" t="s">
        <v>2552</v>
      </c>
      <c r="E199" s="94">
        <v>12</v>
      </c>
      <c r="F199" s="74">
        <v>800</v>
      </c>
      <c r="G199" s="45">
        <f t="shared" si="12"/>
        <v>9600</v>
      </c>
      <c r="H199" s="119" t="s">
        <v>46</v>
      </c>
      <c r="I199" s="128">
        <v>45327</v>
      </c>
      <c r="J199" s="158">
        <v>800</v>
      </c>
      <c r="K199" s="74">
        <v>20</v>
      </c>
      <c r="L199" s="156">
        <v>45327</v>
      </c>
      <c r="M199" s="90">
        <v>9600</v>
      </c>
      <c r="N199" s="90">
        <v>48</v>
      </c>
      <c r="O199" s="90"/>
      <c r="P199" s="94" t="s">
        <v>160</v>
      </c>
      <c r="Q199" s="94">
        <v>8500067341</v>
      </c>
      <c r="R199" s="94">
        <v>5000157189</v>
      </c>
      <c r="S199" s="94"/>
      <c r="T199" s="90" t="s">
        <v>152</v>
      </c>
      <c r="U199" s="90">
        <v>8500066856</v>
      </c>
      <c r="V199" s="90">
        <v>5000157290</v>
      </c>
      <c r="W199" s="376">
        <v>45345</v>
      </c>
      <c r="X199" s="106">
        <v>800</v>
      </c>
      <c r="Y199" s="106">
        <v>9600</v>
      </c>
      <c r="Z199" s="106" t="s">
        <v>800</v>
      </c>
      <c r="AA199" s="106">
        <f t="shared" si="9"/>
        <v>0</v>
      </c>
      <c r="AB199" s="106">
        <f t="shared" si="10"/>
        <v>0</v>
      </c>
      <c r="AC199" s="94"/>
      <c r="AD199" s="94"/>
      <c r="AE199" s="94"/>
      <c r="AF199" s="94"/>
      <c r="AG199" s="94"/>
      <c r="AH199" s="263"/>
    </row>
    <row r="200" spans="1:34" ht="26.25" customHeight="1">
      <c r="A200" s="2"/>
      <c r="B200" s="264"/>
      <c r="C200" s="2"/>
      <c r="D200" s="274" t="s">
        <v>2549</v>
      </c>
      <c r="E200" s="94"/>
      <c r="F200" s="74"/>
      <c r="G200" s="45"/>
      <c r="H200" s="119" t="s">
        <v>1744</v>
      </c>
      <c r="I200" s="128">
        <v>45321</v>
      </c>
      <c r="J200" s="74">
        <v>1600</v>
      </c>
      <c r="K200" s="74">
        <v>381</v>
      </c>
      <c r="L200" s="156"/>
      <c r="M200" s="90"/>
      <c r="N200" s="90"/>
      <c r="O200" s="90"/>
      <c r="P200" s="94" t="s">
        <v>924</v>
      </c>
      <c r="Q200" s="94">
        <v>8500067342</v>
      </c>
      <c r="R200" s="94">
        <v>5000192671</v>
      </c>
      <c r="S200" s="94"/>
      <c r="T200" s="90"/>
      <c r="U200" s="90"/>
      <c r="V200" s="90"/>
      <c r="W200" s="376"/>
      <c r="X200" s="106">
        <v>1600</v>
      </c>
      <c r="Y200" s="106"/>
      <c r="Z200" s="106"/>
      <c r="AA200" s="106">
        <f t="shared" si="9"/>
        <v>0</v>
      </c>
      <c r="AB200" s="106">
        <f t="shared" si="10"/>
        <v>0</v>
      </c>
      <c r="AC200" s="94"/>
      <c r="AD200" s="94"/>
      <c r="AE200" s="94"/>
      <c r="AF200" s="94"/>
      <c r="AG200" s="94"/>
      <c r="AH200" s="263"/>
    </row>
    <row r="201" spans="1:34" ht="26.25" customHeight="1">
      <c r="A201" s="2" t="s">
        <v>781</v>
      </c>
      <c r="B201" s="264">
        <v>6000028211</v>
      </c>
      <c r="C201" s="2" t="s">
        <v>782</v>
      </c>
      <c r="D201" s="276" t="s">
        <v>2550</v>
      </c>
      <c r="E201" s="94">
        <v>10</v>
      </c>
      <c r="F201" s="74">
        <v>60</v>
      </c>
      <c r="G201" s="45">
        <f>F201*E201</f>
        <v>600</v>
      </c>
      <c r="H201" s="119" t="s">
        <v>27</v>
      </c>
      <c r="I201" s="128">
        <v>45324</v>
      </c>
      <c r="J201" s="74">
        <v>60</v>
      </c>
      <c r="K201" s="74">
        <f>2+3</f>
        <v>5</v>
      </c>
      <c r="L201" s="156">
        <v>45327</v>
      </c>
      <c r="M201" s="90">
        <v>600</v>
      </c>
      <c r="N201" s="90">
        <v>3</v>
      </c>
      <c r="O201" s="90" t="s">
        <v>824</v>
      </c>
      <c r="P201" s="94" t="s">
        <v>160</v>
      </c>
      <c r="Q201" s="94">
        <v>8500067344</v>
      </c>
      <c r="R201" s="94">
        <v>5000143891</v>
      </c>
      <c r="S201" s="94"/>
      <c r="T201" s="90" t="s">
        <v>152</v>
      </c>
      <c r="U201" s="90">
        <v>8500067343</v>
      </c>
      <c r="V201" s="90">
        <v>5000157291</v>
      </c>
      <c r="W201" s="376">
        <v>38045</v>
      </c>
      <c r="X201" s="106">
        <v>60</v>
      </c>
      <c r="Y201" s="106">
        <v>600</v>
      </c>
      <c r="Z201" s="106" t="s">
        <v>800</v>
      </c>
      <c r="AA201" s="106">
        <f t="shared" si="9"/>
        <v>0</v>
      </c>
      <c r="AB201" s="106">
        <f t="shared" si="10"/>
        <v>0</v>
      </c>
      <c r="AC201" s="94"/>
      <c r="AD201" s="94"/>
      <c r="AE201" s="94"/>
      <c r="AF201" s="94"/>
      <c r="AG201" s="94"/>
      <c r="AH201" s="263"/>
    </row>
    <row r="202" spans="1:34" ht="26.25" customHeight="1">
      <c r="A202" s="260"/>
      <c r="B202" s="264"/>
      <c r="C202" s="2"/>
      <c r="D202" s="276" t="s">
        <v>2553</v>
      </c>
      <c r="E202" s="94">
        <v>10</v>
      </c>
      <c r="F202" s="74">
        <v>204</v>
      </c>
      <c r="G202" s="45">
        <f>F202*E202</f>
        <v>2040</v>
      </c>
      <c r="H202" s="119" t="s">
        <v>46</v>
      </c>
      <c r="I202" s="128">
        <v>45324</v>
      </c>
      <c r="J202" s="74">
        <v>204</v>
      </c>
      <c r="K202" s="74">
        <v>4</v>
      </c>
      <c r="L202" s="156">
        <v>45327</v>
      </c>
      <c r="M202" s="90">
        <v>2040</v>
      </c>
      <c r="N202" s="90">
        <v>10</v>
      </c>
      <c r="O202" s="90" t="s">
        <v>824</v>
      </c>
      <c r="P202" s="94" t="s">
        <v>160</v>
      </c>
      <c r="Q202" s="94">
        <v>8500067344</v>
      </c>
      <c r="R202" s="94">
        <v>5000143891</v>
      </c>
      <c r="S202" s="94"/>
      <c r="T202" s="90" t="s">
        <v>152</v>
      </c>
      <c r="U202" s="90">
        <v>8500067343</v>
      </c>
      <c r="V202" s="90">
        <v>5000157291</v>
      </c>
      <c r="W202" s="376">
        <v>38045</v>
      </c>
      <c r="X202" s="106">
        <v>204</v>
      </c>
      <c r="Y202" s="106">
        <v>2040</v>
      </c>
      <c r="Z202" s="106" t="s">
        <v>800</v>
      </c>
      <c r="AA202" s="106">
        <f t="shared" si="9"/>
        <v>0</v>
      </c>
      <c r="AB202" s="106">
        <f t="shared" si="10"/>
        <v>0</v>
      </c>
      <c r="AC202" s="94"/>
      <c r="AD202" s="94"/>
      <c r="AE202" s="94"/>
      <c r="AF202" s="94"/>
      <c r="AG202" s="94"/>
      <c r="AH202" s="263"/>
    </row>
    <row r="203" spans="1:34" ht="26.25" customHeight="1">
      <c r="A203" s="260"/>
      <c r="B203" s="264"/>
      <c r="C203" s="2"/>
      <c r="D203" s="276" t="s">
        <v>2551</v>
      </c>
      <c r="E203" s="94">
        <v>10</v>
      </c>
      <c r="F203" s="74">
        <v>132</v>
      </c>
      <c r="G203" s="45">
        <f>F203*E203</f>
        <v>1320</v>
      </c>
      <c r="H203" s="119" t="s">
        <v>37</v>
      </c>
      <c r="I203" s="128">
        <v>45324</v>
      </c>
      <c r="J203" s="74">
        <v>132</v>
      </c>
      <c r="K203" s="74">
        <f>3+5</f>
        <v>8</v>
      </c>
      <c r="L203" s="156">
        <v>45327</v>
      </c>
      <c r="M203" s="90">
        <v>1320</v>
      </c>
      <c r="N203" s="90">
        <v>7</v>
      </c>
      <c r="O203" s="90" t="s">
        <v>824</v>
      </c>
      <c r="P203" s="94" t="s">
        <v>160</v>
      </c>
      <c r="Q203" s="94">
        <v>8500067344</v>
      </c>
      <c r="R203" s="94">
        <v>5000143891</v>
      </c>
      <c r="S203" s="94"/>
      <c r="T203" s="90" t="s">
        <v>152</v>
      </c>
      <c r="U203" s="90">
        <v>8500067343</v>
      </c>
      <c r="V203" s="90">
        <v>5000157291</v>
      </c>
      <c r="W203" s="376">
        <v>45370</v>
      </c>
      <c r="X203" s="106">
        <v>132</v>
      </c>
      <c r="Y203" s="106">
        <v>1320</v>
      </c>
      <c r="Z203" s="106" t="s">
        <v>800</v>
      </c>
      <c r="AA203" s="106">
        <f t="shared" si="9"/>
        <v>0</v>
      </c>
      <c r="AB203" s="106">
        <f t="shared" si="10"/>
        <v>0</v>
      </c>
      <c r="AC203" s="94"/>
      <c r="AD203" s="94"/>
      <c r="AE203" s="94"/>
      <c r="AF203" s="94"/>
      <c r="AG203" s="94"/>
      <c r="AH203" s="263"/>
    </row>
    <row r="204" spans="1:34" ht="26.25" customHeight="1">
      <c r="A204" s="2" t="s">
        <v>781</v>
      </c>
      <c r="B204" s="264">
        <v>6000028211</v>
      </c>
      <c r="C204" s="2" t="s">
        <v>783</v>
      </c>
      <c r="D204" s="276" t="s">
        <v>2554</v>
      </c>
      <c r="E204" s="94">
        <v>10</v>
      </c>
      <c r="F204" s="74">
        <v>72</v>
      </c>
      <c r="G204" s="45">
        <f t="shared" si="12"/>
        <v>720</v>
      </c>
      <c r="H204" s="119" t="s">
        <v>37</v>
      </c>
      <c r="I204" s="128">
        <v>45324</v>
      </c>
      <c r="J204" s="74">
        <v>72</v>
      </c>
      <c r="K204" s="74">
        <f>2+6</f>
        <v>8</v>
      </c>
      <c r="L204" s="156">
        <v>45323</v>
      </c>
      <c r="M204" s="90">
        <v>720</v>
      </c>
      <c r="N204" s="90">
        <v>4</v>
      </c>
      <c r="O204" s="90" t="s">
        <v>734</v>
      </c>
      <c r="P204" s="94" t="s">
        <v>160</v>
      </c>
      <c r="Q204" s="94">
        <v>8500067346</v>
      </c>
      <c r="R204" s="94">
        <v>5000143892</v>
      </c>
      <c r="S204" s="94"/>
      <c r="T204" s="90" t="s">
        <v>152</v>
      </c>
      <c r="U204" s="90">
        <v>8500067345</v>
      </c>
      <c r="V204" s="90">
        <v>5000139615</v>
      </c>
      <c r="W204" s="376">
        <v>45325</v>
      </c>
      <c r="X204" s="106">
        <v>72</v>
      </c>
      <c r="Y204" s="106">
        <v>720</v>
      </c>
      <c r="Z204" s="106" t="s">
        <v>800</v>
      </c>
      <c r="AA204" s="106">
        <f t="shared" si="9"/>
        <v>0</v>
      </c>
      <c r="AB204" s="106">
        <f t="shared" si="10"/>
        <v>0</v>
      </c>
      <c r="AC204" s="94"/>
      <c r="AD204" s="94"/>
      <c r="AE204" s="94"/>
      <c r="AF204" s="94"/>
      <c r="AG204" s="94"/>
      <c r="AH204" s="263"/>
    </row>
    <row r="205" spans="1:34" ht="26.25" customHeight="1">
      <c r="A205" s="260"/>
      <c r="B205" s="264"/>
      <c r="C205" s="2"/>
      <c r="D205" s="276" t="s">
        <v>2555</v>
      </c>
      <c r="E205" s="94">
        <v>10</v>
      </c>
      <c r="F205" s="74">
        <v>120</v>
      </c>
      <c r="G205" s="45">
        <f t="shared" si="12"/>
        <v>1200</v>
      </c>
      <c r="H205" s="119" t="s">
        <v>146</v>
      </c>
      <c r="I205" s="128">
        <v>45324</v>
      </c>
      <c r="J205" s="74">
        <v>120</v>
      </c>
      <c r="K205" s="74">
        <v>4</v>
      </c>
      <c r="L205" s="156">
        <v>45323</v>
      </c>
      <c r="M205" s="90">
        <v>1200</v>
      </c>
      <c r="N205" s="90">
        <v>6</v>
      </c>
      <c r="O205" s="90" t="s">
        <v>734</v>
      </c>
      <c r="P205" s="94" t="s">
        <v>160</v>
      </c>
      <c r="Q205" s="94">
        <v>8500067346</v>
      </c>
      <c r="R205" s="94">
        <v>5000143892</v>
      </c>
      <c r="S205" s="94"/>
      <c r="T205" s="90" t="s">
        <v>152</v>
      </c>
      <c r="U205" s="90">
        <v>8500067345</v>
      </c>
      <c r="V205" s="90">
        <v>5000139615</v>
      </c>
      <c r="W205" s="376">
        <v>45324</v>
      </c>
      <c r="X205" s="106">
        <v>120</v>
      </c>
      <c r="Y205" s="106">
        <v>1200</v>
      </c>
      <c r="Z205" s="106" t="s">
        <v>2669</v>
      </c>
      <c r="AA205" s="106">
        <f t="shared" ref="AA205:AA268" si="13">J205-X205</f>
        <v>0</v>
      </c>
      <c r="AB205" s="106">
        <f t="shared" ref="AB205:AB268" si="14">M205-Y205</f>
        <v>0</v>
      </c>
      <c r="AC205" s="94"/>
      <c r="AD205" s="94"/>
      <c r="AE205" s="94"/>
      <c r="AF205" s="94"/>
      <c r="AG205" s="94"/>
      <c r="AH205" s="263"/>
    </row>
    <row r="206" spans="1:34" ht="26.25" customHeight="1">
      <c r="A206" s="2" t="s">
        <v>781</v>
      </c>
      <c r="B206" s="264">
        <v>6000028211</v>
      </c>
      <c r="C206" s="2" t="s">
        <v>784</v>
      </c>
      <c r="D206" s="276" t="s">
        <v>2558</v>
      </c>
      <c r="E206" s="94">
        <v>10</v>
      </c>
      <c r="F206" s="74">
        <v>105</v>
      </c>
      <c r="G206" s="45">
        <f t="shared" si="12"/>
        <v>1050</v>
      </c>
      <c r="H206" s="119" t="s">
        <v>46</v>
      </c>
      <c r="I206" s="128">
        <v>45324</v>
      </c>
      <c r="J206" s="74">
        <v>105</v>
      </c>
      <c r="K206" s="74">
        <f>3+2</f>
        <v>5</v>
      </c>
      <c r="L206" s="156">
        <v>45323</v>
      </c>
      <c r="M206" s="90">
        <v>1050</v>
      </c>
      <c r="N206" s="90">
        <v>6</v>
      </c>
      <c r="O206" s="90" t="s">
        <v>739</v>
      </c>
      <c r="P206" s="94" t="s">
        <v>160</v>
      </c>
      <c r="Q206" s="94">
        <v>8500067348</v>
      </c>
      <c r="R206" s="94">
        <v>5000143893</v>
      </c>
      <c r="S206" s="94"/>
      <c r="T206" s="90" t="s">
        <v>152</v>
      </c>
      <c r="U206" s="90">
        <v>8500067347</v>
      </c>
      <c r="V206" s="90">
        <v>5000139616</v>
      </c>
      <c r="W206" s="376">
        <v>45324</v>
      </c>
      <c r="X206" s="106">
        <v>105</v>
      </c>
      <c r="Y206" s="106">
        <v>1050</v>
      </c>
      <c r="Z206" s="106" t="s">
        <v>2766</v>
      </c>
      <c r="AA206" s="106">
        <f t="shared" si="13"/>
        <v>0</v>
      </c>
      <c r="AB206" s="106">
        <f t="shared" si="14"/>
        <v>0</v>
      </c>
      <c r="AC206" s="94"/>
      <c r="AD206" s="94"/>
      <c r="AE206" s="94"/>
      <c r="AF206" s="94"/>
      <c r="AG206" s="94"/>
      <c r="AH206" s="263"/>
    </row>
    <row r="207" spans="1:34" ht="26.25" customHeight="1">
      <c r="A207" s="260"/>
      <c r="B207" s="264"/>
      <c r="C207" s="2"/>
      <c r="D207" s="276" t="s">
        <v>2556</v>
      </c>
      <c r="E207" s="94">
        <v>10</v>
      </c>
      <c r="F207" s="74">
        <v>192</v>
      </c>
      <c r="G207" s="45">
        <f t="shared" si="12"/>
        <v>1920</v>
      </c>
      <c r="H207" s="119" t="s">
        <v>37</v>
      </c>
      <c r="I207" s="128">
        <v>45324</v>
      </c>
      <c r="J207" s="74">
        <v>192</v>
      </c>
      <c r="K207" s="74">
        <f>4+4</f>
        <v>8</v>
      </c>
      <c r="L207" s="156">
        <v>45323</v>
      </c>
      <c r="M207" s="90">
        <v>1920</v>
      </c>
      <c r="N207" s="90">
        <v>10</v>
      </c>
      <c r="O207" s="90" t="s">
        <v>2152</v>
      </c>
      <c r="P207" s="94" t="s">
        <v>160</v>
      </c>
      <c r="Q207" s="94">
        <v>8500067348</v>
      </c>
      <c r="R207" s="94">
        <v>5000143893</v>
      </c>
      <c r="S207" s="94"/>
      <c r="T207" s="90" t="s">
        <v>152</v>
      </c>
      <c r="U207" s="90">
        <v>8500067347</v>
      </c>
      <c r="V207" s="90">
        <v>5000139616</v>
      </c>
      <c r="W207" s="376">
        <v>45325</v>
      </c>
      <c r="X207" s="106">
        <v>192</v>
      </c>
      <c r="Y207" s="106">
        <v>1920</v>
      </c>
      <c r="Z207" s="106" t="s">
        <v>800</v>
      </c>
      <c r="AA207" s="106">
        <f t="shared" si="13"/>
        <v>0</v>
      </c>
      <c r="AB207" s="106">
        <f t="shared" si="14"/>
        <v>0</v>
      </c>
      <c r="AC207" s="94"/>
      <c r="AD207" s="94"/>
      <c r="AE207" s="94"/>
      <c r="AF207" s="94"/>
      <c r="AG207" s="94"/>
      <c r="AH207" s="263"/>
    </row>
    <row r="208" spans="1:34" ht="26.25" customHeight="1">
      <c r="A208" s="260"/>
      <c r="B208" s="264"/>
      <c r="C208" s="2"/>
      <c r="D208" s="276" t="s">
        <v>2557</v>
      </c>
      <c r="E208" s="94">
        <v>10</v>
      </c>
      <c r="F208" s="74">
        <v>160</v>
      </c>
      <c r="G208" s="45">
        <f t="shared" si="12"/>
        <v>1600</v>
      </c>
      <c r="H208" s="119" t="s">
        <v>146</v>
      </c>
      <c r="I208" s="128" t="s">
        <v>2960</v>
      </c>
      <c r="J208" s="74">
        <f>131+29</f>
        <v>160</v>
      </c>
      <c r="K208" s="74">
        <f>4+4</f>
        <v>8</v>
      </c>
      <c r="L208" s="156">
        <v>45323</v>
      </c>
      <c r="M208" s="90">
        <v>1600</v>
      </c>
      <c r="N208" s="90">
        <v>8</v>
      </c>
      <c r="O208" s="90" t="s">
        <v>739</v>
      </c>
      <c r="P208" s="94" t="s">
        <v>160</v>
      </c>
      <c r="Q208" s="94">
        <v>8500067348</v>
      </c>
      <c r="R208" s="94">
        <v>5000143893</v>
      </c>
      <c r="S208" s="94"/>
      <c r="T208" s="90" t="s">
        <v>152</v>
      </c>
      <c r="U208" s="90">
        <v>8500067347</v>
      </c>
      <c r="V208" s="90">
        <v>5000139616</v>
      </c>
      <c r="W208" s="376">
        <v>45324</v>
      </c>
      <c r="X208" s="106">
        <f>131+29</f>
        <v>160</v>
      </c>
      <c r="Y208" s="106">
        <f>1600</f>
        <v>1600</v>
      </c>
      <c r="Z208" s="106" t="s">
        <v>2990</v>
      </c>
      <c r="AA208" s="106">
        <f t="shared" si="13"/>
        <v>0</v>
      </c>
      <c r="AB208" s="106">
        <f t="shared" si="14"/>
        <v>0</v>
      </c>
      <c r="AC208" s="94"/>
      <c r="AD208" s="94"/>
      <c r="AE208" s="94"/>
      <c r="AF208" s="94"/>
      <c r="AG208" s="94"/>
      <c r="AH208" s="263"/>
    </row>
    <row r="209" spans="1:34" ht="26.25" customHeight="1">
      <c r="A209" s="2" t="s">
        <v>781</v>
      </c>
      <c r="B209" s="264">
        <v>6000028211</v>
      </c>
      <c r="C209" s="2" t="s">
        <v>2559</v>
      </c>
      <c r="D209" s="276" t="s">
        <v>2561</v>
      </c>
      <c r="E209" s="94">
        <v>10</v>
      </c>
      <c r="F209" s="74">
        <v>188</v>
      </c>
      <c r="G209" s="45">
        <f t="shared" si="12"/>
        <v>1880</v>
      </c>
      <c r="H209" s="119" t="s">
        <v>27</v>
      </c>
      <c r="I209" s="128">
        <v>45324</v>
      </c>
      <c r="J209" s="74">
        <v>188</v>
      </c>
      <c r="K209" s="74">
        <f>8+4</f>
        <v>12</v>
      </c>
      <c r="L209" s="156">
        <v>45325</v>
      </c>
      <c r="M209" s="90">
        <v>1880</v>
      </c>
      <c r="N209" s="90">
        <v>19</v>
      </c>
      <c r="O209" s="90" t="s">
        <v>822</v>
      </c>
      <c r="P209" s="94" t="s">
        <v>160</v>
      </c>
      <c r="Q209" s="94">
        <v>8500067350</v>
      </c>
      <c r="R209" s="94">
        <v>5000143894</v>
      </c>
      <c r="S209" s="94"/>
      <c r="T209" s="90" t="s">
        <v>794</v>
      </c>
      <c r="U209" s="90">
        <v>8500067349</v>
      </c>
      <c r="V209" s="90">
        <v>5000145564</v>
      </c>
      <c r="W209" s="376">
        <v>45349</v>
      </c>
      <c r="X209" s="106">
        <v>188</v>
      </c>
      <c r="Y209" s="106">
        <v>1880</v>
      </c>
      <c r="Z209" s="106" t="s">
        <v>800</v>
      </c>
      <c r="AA209" s="106">
        <f t="shared" si="13"/>
        <v>0</v>
      </c>
      <c r="AB209" s="106">
        <f t="shared" si="14"/>
        <v>0</v>
      </c>
      <c r="AC209" s="94"/>
      <c r="AD209" s="94"/>
      <c r="AE209" s="94"/>
      <c r="AF209" s="94"/>
      <c r="AG209" s="94"/>
      <c r="AH209" s="263"/>
    </row>
    <row r="210" spans="1:34" ht="26.25" customHeight="1">
      <c r="A210" s="260"/>
      <c r="B210" s="264"/>
      <c r="C210" s="518" t="s">
        <v>2560</v>
      </c>
      <c r="D210" s="276" t="s">
        <v>2562</v>
      </c>
      <c r="E210" s="94">
        <v>10</v>
      </c>
      <c r="F210" s="74">
        <v>540</v>
      </c>
      <c r="G210" s="45">
        <f t="shared" si="12"/>
        <v>5400</v>
      </c>
      <c r="H210" s="119" t="s">
        <v>46</v>
      </c>
      <c r="I210" s="128">
        <v>45324</v>
      </c>
      <c r="J210" s="74">
        <v>540</v>
      </c>
      <c r="K210" s="74">
        <f>10+3</f>
        <v>13</v>
      </c>
      <c r="L210" s="156">
        <v>45325</v>
      </c>
      <c r="M210" s="90">
        <v>5400</v>
      </c>
      <c r="N210" s="90">
        <v>54</v>
      </c>
      <c r="O210" s="90" t="s">
        <v>1369</v>
      </c>
      <c r="P210" s="94" t="s">
        <v>160</v>
      </c>
      <c r="Q210" s="94">
        <v>8500067350</v>
      </c>
      <c r="R210" s="94">
        <v>5000143894</v>
      </c>
      <c r="S210" s="94"/>
      <c r="T210" s="90" t="s">
        <v>794</v>
      </c>
      <c r="U210" s="90">
        <v>8500067349</v>
      </c>
      <c r="V210" s="90">
        <v>5000145564</v>
      </c>
      <c r="W210" s="376">
        <v>45349</v>
      </c>
      <c r="X210" s="106">
        <v>540</v>
      </c>
      <c r="Y210" s="106">
        <v>5400</v>
      </c>
      <c r="Z210" s="106" t="s">
        <v>800</v>
      </c>
      <c r="AA210" s="106">
        <f t="shared" si="13"/>
        <v>0</v>
      </c>
      <c r="AB210" s="106">
        <f t="shared" si="14"/>
        <v>0</v>
      </c>
      <c r="AC210" s="94"/>
      <c r="AD210" s="94"/>
      <c r="AE210" s="94"/>
      <c r="AF210" s="94"/>
      <c r="AG210" s="94"/>
      <c r="AH210" s="263"/>
    </row>
    <row r="211" spans="1:34" ht="26.25" customHeight="1">
      <c r="A211" s="260"/>
      <c r="B211" s="264"/>
      <c r="C211" s="519"/>
      <c r="D211" s="276" t="s">
        <v>2563</v>
      </c>
      <c r="E211" s="94">
        <v>10</v>
      </c>
      <c r="F211" s="74">
        <v>486</v>
      </c>
      <c r="G211" s="45">
        <f t="shared" si="12"/>
        <v>4860</v>
      </c>
      <c r="H211" s="119" t="s">
        <v>37</v>
      </c>
      <c r="I211" s="128">
        <v>45324</v>
      </c>
      <c r="J211" s="74">
        <v>486</v>
      </c>
      <c r="K211" s="74">
        <f>11+3</f>
        <v>14</v>
      </c>
      <c r="L211" s="156">
        <v>45327</v>
      </c>
      <c r="M211" s="90">
        <v>4860</v>
      </c>
      <c r="N211" s="90">
        <v>49</v>
      </c>
      <c r="O211" s="90" t="s">
        <v>1567</v>
      </c>
      <c r="P211" s="94" t="s">
        <v>160</v>
      </c>
      <c r="Q211" s="94">
        <v>8500067350</v>
      </c>
      <c r="R211" s="94">
        <v>5000143894</v>
      </c>
      <c r="S211" s="94"/>
      <c r="T211" s="90" t="s">
        <v>794</v>
      </c>
      <c r="U211" s="90">
        <v>8500067349</v>
      </c>
      <c r="V211" s="90">
        <v>5000152757</v>
      </c>
      <c r="W211" s="376">
        <v>45370</v>
      </c>
      <c r="X211" s="106">
        <v>486</v>
      </c>
      <c r="Y211" s="106">
        <v>4860</v>
      </c>
      <c r="Z211" s="106" t="s">
        <v>800</v>
      </c>
      <c r="AA211" s="106">
        <f t="shared" si="13"/>
        <v>0</v>
      </c>
      <c r="AB211" s="106">
        <f t="shared" si="14"/>
        <v>0</v>
      </c>
      <c r="AC211" s="94"/>
      <c r="AD211" s="94"/>
      <c r="AE211" s="94"/>
      <c r="AF211" s="94"/>
      <c r="AG211" s="94"/>
      <c r="AH211" s="263"/>
    </row>
    <row r="212" spans="1:34" ht="26.25" customHeight="1">
      <c r="A212" s="260"/>
      <c r="B212" s="264"/>
      <c r="C212" s="519"/>
      <c r="D212" s="276" t="s">
        <v>2564</v>
      </c>
      <c r="E212" s="94">
        <v>10</v>
      </c>
      <c r="F212" s="74">
        <v>150</v>
      </c>
      <c r="G212" s="45">
        <f t="shared" si="12"/>
        <v>1500</v>
      </c>
      <c r="H212" s="119" t="s">
        <v>146</v>
      </c>
      <c r="I212" s="128">
        <v>45324</v>
      </c>
      <c r="J212" s="74">
        <v>150</v>
      </c>
      <c r="K212" s="74">
        <f>6+4+2</f>
        <v>12</v>
      </c>
      <c r="L212" s="156">
        <v>45327</v>
      </c>
      <c r="M212" s="90">
        <v>1500</v>
      </c>
      <c r="N212" s="90">
        <v>15</v>
      </c>
      <c r="O212" s="90" t="s">
        <v>1567</v>
      </c>
      <c r="P212" s="94" t="s">
        <v>160</v>
      </c>
      <c r="Q212" s="94">
        <v>8500067350</v>
      </c>
      <c r="R212" s="94">
        <v>5000143894</v>
      </c>
      <c r="S212" s="94"/>
      <c r="T212" s="90" t="s">
        <v>794</v>
      </c>
      <c r="U212" s="90">
        <v>8500067349</v>
      </c>
      <c r="V212" s="90">
        <v>5000152757</v>
      </c>
      <c r="W212" s="376">
        <v>45349</v>
      </c>
      <c r="X212" s="106">
        <v>150</v>
      </c>
      <c r="Y212" s="106">
        <v>1500</v>
      </c>
      <c r="Z212" s="106" t="s">
        <v>800</v>
      </c>
      <c r="AA212" s="106">
        <f t="shared" si="13"/>
        <v>0</v>
      </c>
      <c r="AB212" s="106">
        <f t="shared" si="14"/>
        <v>0</v>
      </c>
      <c r="AC212" s="94"/>
      <c r="AD212" s="94"/>
      <c r="AE212" s="94"/>
      <c r="AF212" s="94"/>
      <c r="AG212" s="94"/>
      <c r="AH212" s="263"/>
    </row>
    <row r="213" spans="1:34" ht="26.25" customHeight="1">
      <c r="A213" s="260"/>
      <c r="B213" s="264"/>
      <c r="C213" s="519"/>
      <c r="D213" s="276"/>
      <c r="E213" s="94"/>
      <c r="F213" s="74"/>
      <c r="G213" s="521" t="s">
        <v>2534</v>
      </c>
      <c r="H213" s="119" t="s">
        <v>27</v>
      </c>
      <c r="I213" s="128">
        <v>45321</v>
      </c>
      <c r="J213" s="158">
        <v>3760</v>
      </c>
      <c r="K213" s="74"/>
      <c r="L213" s="156"/>
      <c r="M213" s="90"/>
      <c r="N213" s="90"/>
      <c r="O213" s="90"/>
      <c r="P213" s="94" t="s">
        <v>924</v>
      </c>
      <c r="Q213" s="94">
        <v>8500067351</v>
      </c>
      <c r="R213" s="94">
        <v>5000192670</v>
      </c>
      <c r="S213" s="94"/>
      <c r="T213" s="90"/>
      <c r="U213" s="90"/>
      <c r="V213" s="90"/>
      <c r="W213" s="376"/>
      <c r="X213" s="106">
        <v>3760</v>
      </c>
      <c r="Y213" s="106"/>
      <c r="Z213" s="106"/>
      <c r="AA213" s="106">
        <f t="shared" si="13"/>
        <v>0</v>
      </c>
      <c r="AB213" s="106">
        <f t="shared" si="14"/>
        <v>0</v>
      </c>
      <c r="AC213" s="94"/>
      <c r="AD213" s="94"/>
      <c r="AE213" s="94"/>
      <c r="AF213" s="94"/>
      <c r="AG213" s="94"/>
      <c r="AH213" s="263"/>
    </row>
    <row r="214" spans="1:34" ht="26.25" customHeight="1">
      <c r="A214" s="260"/>
      <c r="B214" s="264"/>
      <c r="C214" s="519"/>
      <c r="D214" s="276"/>
      <c r="E214" s="94"/>
      <c r="F214" s="74"/>
      <c r="G214" s="522"/>
      <c r="H214" s="119" t="s">
        <v>46</v>
      </c>
      <c r="I214" s="128">
        <v>45321</v>
      </c>
      <c r="J214" s="158">
        <v>10800</v>
      </c>
      <c r="K214" s="74"/>
      <c r="L214" s="156"/>
      <c r="M214" s="90"/>
      <c r="N214" s="90"/>
      <c r="O214" s="90"/>
      <c r="P214" s="94" t="s">
        <v>924</v>
      </c>
      <c r="Q214" s="94">
        <v>8500067351</v>
      </c>
      <c r="R214" s="94">
        <v>5000192670</v>
      </c>
      <c r="S214" s="94"/>
      <c r="T214" s="90"/>
      <c r="U214" s="90"/>
      <c r="V214" s="90"/>
      <c r="W214" s="376"/>
      <c r="X214" s="106">
        <v>10800</v>
      </c>
      <c r="Y214" s="106"/>
      <c r="Z214" s="106"/>
      <c r="AA214" s="106">
        <f t="shared" si="13"/>
        <v>0</v>
      </c>
      <c r="AB214" s="106">
        <f t="shared" si="14"/>
        <v>0</v>
      </c>
      <c r="AC214" s="94"/>
      <c r="AD214" s="94"/>
      <c r="AE214" s="94"/>
      <c r="AF214" s="94"/>
      <c r="AG214" s="94"/>
      <c r="AH214" s="263"/>
    </row>
    <row r="215" spans="1:34" ht="26.25" customHeight="1">
      <c r="A215" s="260"/>
      <c r="B215" s="264"/>
      <c r="C215" s="519"/>
      <c r="D215" s="276"/>
      <c r="E215" s="94"/>
      <c r="F215" s="74"/>
      <c r="G215" s="522"/>
      <c r="H215" s="119" t="s">
        <v>37</v>
      </c>
      <c r="I215" s="128">
        <v>45321</v>
      </c>
      <c r="J215" s="158">
        <v>9720</v>
      </c>
      <c r="K215" s="74"/>
      <c r="L215" s="156"/>
      <c r="M215" s="90"/>
      <c r="N215" s="90"/>
      <c r="O215" s="90"/>
      <c r="P215" s="94" t="s">
        <v>924</v>
      </c>
      <c r="Q215" s="94">
        <v>8500067351</v>
      </c>
      <c r="R215" s="94">
        <v>5000192670</v>
      </c>
      <c r="S215" s="94"/>
      <c r="T215" s="90"/>
      <c r="U215" s="90"/>
      <c r="V215" s="90"/>
      <c r="W215" s="376"/>
      <c r="X215" s="106">
        <v>9720</v>
      </c>
      <c r="Y215" s="106"/>
      <c r="Z215" s="106"/>
      <c r="AA215" s="106">
        <f t="shared" si="13"/>
        <v>0</v>
      </c>
      <c r="AB215" s="106">
        <f t="shared" si="14"/>
        <v>0</v>
      </c>
      <c r="AC215" s="94"/>
      <c r="AD215" s="94"/>
      <c r="AE215" s="94"/>
      <c r="AF215" s="94"/>
      <c r="AG215" s="94"/>
      <c r="AH215" s="263"/>
    </row>
    <row r="216" spans="1:34" ht="26.25" customHeight="1">
      <c r="A216" s="260"/>
      <c r="B216" s="264"/>
      <c r="C216" s="520"/>
      <c r="D216" s="276"/>
      <c r="E216" s="94"/>
      <c r="F216" s="74"/>
      <c r="G216" s="523"/>
      <c r="H216" s="119" t="s">
        <v>146</v>
      </c>
      <c r="I216" s="128">
        <v>45321</v>
      </c>
      <c r="J216" s="158">
        <v>3000</v>
      </c>
      <c r="K216" s="74"/>
      <c r="L216" s="156"/>
      <c r="M216" s="90"/>
      <c r="N216" s="90"/>
      <c r="O216" s="90"/>
      <c r="P216" s="94" t="s">
        <v>924</v>
      </c>
      <c r="Q216" s="94">
        <v>8500067351</v>
      </c>
      <c r="R216" s="94">
        <v>5000192670</v>
      </c>
      <c r="S216" s="94"/>
      <c r="T216" s="90"/>
      <c r="U216" s="90"/>
      <c r="V216" s="90"/>
      <c r="W216" s="376"/>
      <c r="X216" s="106">
        <v>3000</v>
      </c>
      <c r="Y216" s="106"/>
      <c r="Z216" s="106"/>
      <c r="AA216" s="106">
        <f t="shared" si="13"/>
        <v>0</v>
      </c>
      <c r="AB216" s="106">
        <f t="shared" si="14"/>
        <v>0</v>
      </c>
      <c r="AC216" s="94"/>
      <c r="AD216" s="94"/>
      <c r="AE216" s="94"/>
      <c r="AF216" s="94"/>
      <c r="AG216" s="94"/>
      <c r="AH216" s="263"/>
    </row>
    <row r="217" spans="1:34" ht="26.25" customHeight="1">
      <c r="A217" s="83" t="s">
        <v>868</v>
      </c>
      <c r="B217" s="88">
        <v>6000027667</v>
      </c>
      <c r="C217" s="2" t="s">
        <v>869</v>
      </c>
      <c r="D217" s="2">
        <v>6000027667</v>
      </c>
      <c r="E217" s="94">
        <v>20</v>
      </c>
      <c r="F217" s="74">
        <v>480</v>
      </c>
      <c r="G217" s="45">
        <f t="shared" si="12"/>
        <v>9600</v>
      </c>
      <c r="H217" s="119" t="s">
        <v>27</v>
      </c>
      <c r="I217" s="128">
        <v>45309</v>
      </c>
      <c r="J217" s="74">
        <v>480</v>
      </c>
      <c r="K217" s="74">
        <v>6</v>
      </c>
      <c r="L217" s="156">
        <v>44216</v>
      </c>
      <c r="M217" s="90">
        <v>9600</v>
      </c>
      <c r="N217" s="90">
        <v>100</v>
      </c>
      <c r="O217" s="90"/>
      <c r="P217" s="94" t="s">
        <v>28</v>
      </c>
      <c r="Q217" s="94">
        <v>8500065791</v>
      </c>
      <c r="R217" s="94">
        <v>5000074152</v>
      </c>
      <c r="S217" s="74">
        <v>480</v>
      </c>
      <c r="T217" s="90" t="s">
        <v>655</v>
      </c>
      <c r="U217" s="90">
        <v>8500065790</v>
      </c>
      <c r="V217" s="90">
        <v>5000082282</v>
      </c>
      <c r="W217" s="376">
        <v>45346</v>
      </c>
      <c r="X217" s="106">
        <v>480</v>
      </c>
      <c r="Y217" s="106">
        <v>9600</v>
      </c>
      <c r="Z217" s="106" t="s">
        <v>1502</v>
      </c>
      <c r="AA217" s="106">
        <f t="shared" si="13"/>
        <v>0</v>
      </c>
      <c r="AB217" s="106">
        <f t="shared" si="14"/>
        <v>0</v>
      </c>
      <c r="AC217" s="94"/>
      <c r="AD217" s="94"/>
      <c r="AE217" s="94"/>
      <c r="AF217" s="94"/>
      <c r="AG217" s="94"/>
      <c r="AH217" s="263"/>
    </row>
    <row r="218" spans="1:34" ht="26.25" customHeight="1">
      <c r="A218" s="83"/>
      <c r="B218" s="88"/>
      <c r="C218" s="2"/>
      <c r="D218" s="2"/>
      <c r="E218" s="94">
        <v>20</v>
      </c>
      <c r="F218" s="74">
        <v>700</v>
      </c>
      <c r="G218" s="45">
        <f t="shared" si="12"/>
        <v>14000</v>
      </c>
      <c r="H218" s="119" t="s">
        <v>46</v>
      </c>
      <c r="I218" s="128">
        <v>45309</v>
      </c>
      <c r="J218" s="74">
        <v>700</v>
      </c>
      <c r="K218" s="74">
        <v>9</v>
      </c>
      <c r="L218" s="156">
        <v>44216</v>
      </c>
      <c r="M218" s="90">
        <v>14000</v>
      </c>
      <c r="N218" s="90">
        <v>100</v>
      </c>
      <c r="O218" s="90"/>
      <c r="P218" s="94" t="s">
        <v>28</v>
      </c>
      <c r="Q218" s="94">
        <v>8500065791</v>
      </c>
      <c r="R218" s="94">
        <v>5000077558</v>
      </c>
      <c r="S218" s="74">
        <v>700</v>
      </c>
      <c r="T218" s="90" t="s">
        <v>655</v>
      </c>
      <c r="U218" s="90">
        <v>8500065790</v>
      </c>
      <c r="V218" s="90">
        <v>5000082282</v>
      </c>
      <c r="W218" s="376">
        <v>45325</v>
      </c>
      <c r="X218" s="106">
        <v>700</v>
      </c>
      <c r="Y218" s="106">
        <v>14000</v>
      </c>
      <c r="Z218" s="106" t="s">
        <v>1460</v>
      </c>
      <c r="AA218" s="106">
        <f t="shared" si="13"/>
        <v>0</v>
      </c>
      <c r="AB218" s="106">
        <f t="shared" si="14"/>
        <v>0</v>
      </c>
      <c r="AC218" s="94"/>
      <c r="AD218" s="94"/>
      <c r="AE218" s="94"/>
      <c r="AF218" s="94"/>
      <c r="AG218" s="94"/>
      <c r="AH218" s="263"/>
    </row>
    <row r="219" spans="1:34" ht="26.25" customHeight="1">
      <c r="A219" s="83"/>
      <c r="B219" s="88"/>
      <c r="C219" s="2"/>
      <c r="D219" s="2"/>
      <c r="E219" s="94">
        <v>20</v>
      </c>
      <c r="F219" s="74">
        <v>400</v>
      </c>
      <c r="G219" s="45">
        <f t="shared" si="12"/>
        <v>8000</v>
      </c>
      <c r="H219" s="119" t="s">
        <v>37</v>
      </c>
      <c r="I219" s="128">
        <v>45309</v>
      </c>
      <c r="J219" s="74">
        <v>400</v>
      </c>
      <c r="K219" s="74">
        <v>6</v>
      </c>
      <c r="L219" s="156">
        <v>45310</v>
      </c>
      <c r="M219" s="90">
        <v>8000</v>
      </c>
      <c r="N219" s="90">
        <v>100</v>
      </c>
      <c r="O219" s="90"/>
      <c r="P219" s="94" t="s">
        <v>28</v>
      </c>
      <c r="Q219" s="94">
        <v>8500065791</v>
      </c>
      <c r="R219" s="94">
        <v>5000077558</v>
      </c>
      <c r="S219" s="74">
        <v>400</v>
      </c>
      <c r="T219" s="90" t="s">
        <v>655</v>
      </c>
      <c r="U219" s="90">
        <v>8500065790</v>
      </c>
      <c r="V219" s="90">
        <v>5000082160</v>
      </c>
      <c r="W219" s="376">
        <v>45346</v>
      </c>
      <c r="X219" s="106">
        <v>400</v>
      </c>
      <c r="Y219" s="106">
        <v>8000</v>
      </c>
      <c r="Z219" s="106" t="s">
        <v>2945</v>
      </c>
      <c r="AA219" s="106">
        <f t="shared" si="13"/>
        <v>0</v>
      </c>
      <c r="AB219" s="106">
        <f t="shared" si="14"/>
        <v>0</v>
      </c>
      <c r="AC219" s="94"/>
      <c r="AD219" s="94"/>
      <c r="AE219" s="94"/>
      <c r="AF219" s="94"/>
      <c r="AG219" s="94"/>
      <c r="AH219" s="263"/>
    </row>
    <row r="220" spans="1:34" ht="26.25" customHeight="1">
      <c r="A220" s="83" t="s">
        <v>868</v>
      </c>
      <c r="B220" s="88">
        <v>6000027665</v>
      </c>
      <c r="C220" s="2" t="s">
        <v>869</v>
      </c>
      <c r="D220" s="2">
        <v>6000027665</v>
      </c>
      <c r="E220" s="94">
        <v>20</v>
      </c>
      <c r="F220" s="74">
        <v>100</v>
      </c>
      <c r="G220" s="45">
        <f t="shared" si="12"/>
        <v>2000</v>
      </c>
      <c r="H220" s="119" t="s">
        <v>243</v>
      </c>
      <c r="I220" s="128">
        <v>45309</v>
      </c>
      <c r="J220" s="74">
        <v>100</v>
      </c>
      <c r="K220" s="74">
        <v>2</v>
      </c>
      <c r="L220" s="156">
        <v>45311</v>
      </c>
      <c r="M220" s="45">
        <v>2000</v>
      </c>
      <c r="N220" s="90">
        <v>30</v>
      </c>
      <c r="O220" s="90" t="s">
        <v>1890</v>
      </c>
      <c r="P220" s="94" t="s">
        <v>28</v>
      </c>
      <c r="Q220" s="94">
        <v>8500065795</v>
      </c>
      <c r="R220" s="94">
        <v>5000077580</v>
      </c>
      <c r="S220" s="74">
        <v>100</v>
      </c>
      <c r="T220" s="90" t="s">
        <v>655</v>
      </c>
      <c r="U220" s="90">
        <v>8500067594</v>
      </c>
      <c r="V220" s="90">
        <v>5000082265</v>
      </c>
      <c r="W220" s="376">
        <v>45320</v>
      </c>
      <c r="X220" s="106">
        <v>100</v>
      </c>
      <c r="Y220" s="106">
        <v>2000</v>
      </c>
      <c r="Z220" s="106" t="s">
        <v>800</v>
      </c>
      <c r="AA220" s="106">
        <f t="shared" si="13"/>
        <v>0</v>
      </c>
      <c r="AB220" s="106">
        <f t="shared" si="14"/>
        <v>0</v>
      </c>
      <c r="AC220" s="94"/>
      <c r="AD220" s="94"/>
      <c r="AE220" s="94"/>
      <c r="AF220" s="94"/>
      <c r="AG220" s="94"/>
      <c r="AH220" s="263"/>
    </row>
    <row r="221" spans="1:34" ht="26.25" customHeight="1">
      <c r="A221" s="260"/>
      <c r="B221" s="264"/>
      <c r="C221" s="2"/>
      <c r="D221" s="2"/>
      <c r="E221" s="94">
        <v>20</v>
      </c>
      <c r="F221" s="74">
        <v>120</v>
      </c>
      <c r="G221" s="45">
        <f t="shared" si="12"/>
        <v>2400</v>
      </c>
      <c r="H221" s="119" t="s">
        <v>27</v>
      </c>
      <c r="I221" s="128">
        <v>45309</v>
      </c>
      <c r="J221" s="74">
        <v>120</v>
      </c>
      <c r="K221" s="74">
        <v>2</v>
      </c>
      <c r="L221" s="156">
        <v>45311</v>
      </c>
      <c r="M221" s="45">
        <v>2400</v>
      </c>
      <c r="N221" s="90">
        <v>84</v>
      </c>
      <c r="O221" s="90" t="s">
        <v>1580</v>
      </c>
      <c r="P221" s="94" t="s">
        <v>28</v>
      </c>
      <c r="Q221" s="94">
        <v>8500065795</v>
      </c>
      <c r="R221" s="94">
        <v>5000077580</v>
      </c>
      <c r="S221" s="74">
        <v>120</v>
      </c>
      <c r="T221" s="90" t="s">
        <v>655</v>
      </c>
      <c r="U221" s="90">
        <v>8500067594</v>
      </c>
      <c r="V221" s="90">
        <v>5000082265</v>
      </c>
      <c r="W221" s="376">
        <v>45349</v>
      </c>
      <c r="X221" s="106">
        <v>120</v>
      </c>
      <c r="Y221" s="106">
        <v>2400</v>
      </c>
      <c r="Z221" s="106" t="s">
        <v>1502</v>
      </c>
      <c r="AA221" s="106">
        <f t="shared" si="13"/>
        <v>0</v>
      </c>
      <c r="AB221" s="106">
        <f t="shared" si="14"/>
        <v>0</v>
      </c>
      <c r="AC221" s="94"/>
      <c r="AD221" s="94"/>
      <c r="AE221" s="94"/>
      <c r="AF221" s="94"/>
      <c r="AG221" s="94"/>
      <c r="AH221" s="263"/>
    </row>
    <row r="222" spans="1:34" ht="26.25" customHeight="1">
      <c r="A222" s="260"/>
      <c r="B222" s="264"/>
      <c r="C222" s="2"/>
      <c r="D222" s="2"/>
      <c r="E222" s="94">
        <v>20</v>
      </c>
      <c r="F222" s="74">
        <v>950</v>
      </c>
      <c r="G222" s="45">
        <f t="shared" si="12"/>
        <v>19000</v>
      </c>
      <c r="H222" s="119" t="s">
        <v>46</v>
      </c>
      <c r="I222" s="128">
        <v>45309</v>
      </c>
      <c r="J222" s="74">
        <v>950</v>
      </c>
      <c r="K222" s="74">
        <v>12</v>
      </c>
      <c r="L222" s="156" t="s">
        <v>2604</v>
      </c>
      <c r="M222" s="45">
        <f>16400+2600</f>
        <v>19000</v>
      </c>
      <c r="N222" s="90">
        <v>100</v>
      </c>
      <c r="O222" s="90" t="s">
        <v>2609</v>
      </c>
      <c r="P222" s="94" t="s">
        <v>28</v>
      </c>
      <c r="Q222" s="94">
        <v>8500065795</v>
      </c>
      <c r="R222" s="94">
        <v>5000074156</v>
      </c>
      <c r="S222" s="74">
        <v>950</v>
      </c>
      <c r="T222" s="90" t="s">
        <v>655</v>
      </c>
      <c r="U222" s="90">
        <v>8500067594</v>
      </c>
      <c r="V222" s="90">
        <v>5000082265</v>
      </c>
      <c r="W222" s="376">
        <v>45329</v>
      </c>
      <c r="X222" s="106">
        <v>950</v>
      </c>
      <c r="Y222" s="106">
        <v>19000</v>
      </c>
      <c r="Z222" s="106" t="s">
        <v>1460</v>
      </c>
      <c r="AA222" s="106">
        <f t="shared" si="13"/>
        <v>0</v>
      </c>
      <c r="AB222" s="106">
        <f t="shared" si="14"/>
        <v>0</v>
      </c>
      <c r="AC222" s="94"/>
      <c r="AD222" s="94"/>
      <c r="AE222" s="94"/>
      <c r="AF222" s="94"/>
      <c r="AG222" s="94"/>
      <c r="AH222" s="263"/>
    </row>
    <row r="223" spans="1:34" ht="26.25" customHeight="1">
      <c r="A223" s="260"/>
      <c r="B223" s="264"/>
      <c r="C223" s="2"/>
      <c r="D223" s="2"/>
      <c r="E223" s="94">
        <v>20</v>
      </c>
      <c r="F223" s="74">
        <v>400</v>
      </c>
      <c r="G223" s="45">
        <f t="shared" si="12"/>
        <v>8000</v>
      </c>
      <c r="H223" s="119" t="s">
        <v>37</v>
      </c>
      <c r="I223" s="128">
        <v>45309</v>
      </c>
      <c r="J223" s="74">
        <v>400</v>
      </c>
      <c r="K223" s="74">
        <v>5</v>
      </c>
      <c r="L223" s="156">
        <v>45311</v>
      </c>
      <c r="M223" s="45">
        <v>8000</v>
      </c>
      <c r="N223" s="90">
        <v>44</v>
      </c>
      <c r="O223" s="90"/>
      <c r="P223" s="94" t="s">
        <v>28</v>
      </c>
      <c r="Q223" s="94">
        <v>8500065795</v>
      </c>
      <c r="R223" s="94">
        <v>5000074156</v>
      </c>
      <c r="S223" s="94"/>
      <c r="T223" s="90" t="s">
        <v>655</v>
      </c>
      <c r="U223" s="90">
        <v>8500067594</v>
      </c>
      <c r="V223" s="90">
        <v>5000082265</v>
      </c>
      <c r="W223" s="376">
        <v>45346</v>
      </c>
      <c r="X223" s="106">
        <v>400</v>
      </c>
      <c r="Y223" s="106">
        <v>8000</v>
      </c>
      <c r="Z223" s="106" t="s">
        <v>927</v>
      </c>
      <c r="AA223" s="106">
        <f t="shared" si="13"/>
        <v>0</v>
      </c>
      <c r="AB223" s="106">
        <f t="shared" si="14"/>
        <v>0</v>
      </c>
      <c r="AC223" s="94"/>
      <c r="AD223" s="94"/>
      <c r="AE223" s="94"/>
      <c r="AF223" s="94"/>
      <c r="AG223" s="94"/>
      <c r="AH223" s="263"/>
    </row>
    <row r="224" spans="1:34" ht="26.25" customHeight="1">
      <c r="A224" s="83" t="s">
        <v>868</v>
      </c>
      <c r="B224" s="264">
        <v>6000027666</v>
      </c>
      <c r="C224" s="2" t="s">
        <v>869</v>
      </c>
      <c r="D224" s="2"/>
      <c r="E224" s="94">
        <v>20</v>
      </c>
      <c r="F224" s="74">
        <v>420</v>
      </c>
      <c r="G224" s="45">
        <f t="shared" si="12"/>
        <v>8400</v>
      </c>
      <c r="H224" s="119" t="s">
        <v>27</v>
      </c>
      <c r="I224" s="128">
        <v>45309</v>
      </c>
      <c r="J224" s="74">
        <v>420</v>
      </c>
      <c r="K224" s="74">
        <v>5</v>
      </c>
      <c r="L224" s="156">
        <v>45310</v>
      </c>
      <c r="M224" s="90">
        <v>8400</v>
      </c>
      <c r="N224" s="90">
        <v>50</v>
      </c>
      <c r="O224" s="90"/>
      <c r="P224" s="94" t="s">
        <v>28</v>
      </c>
      <c r="Q224" s="94">
        <v>8500065793</v>
      </c>
      <c r="R224" s="94">
        <v>5000077586</v>
      </c>
      <c r="S224" s="74">
        <v>420</v>
      </c>
      <c r="T224" s="90" t="s">
        <v>655</v>
      </c>
      <c r="U224" s="90">
        <v>8500065792</v>
      </c>
      <c r="V224" s="90">
        <v>5000082155</v>
      </c>
      <c r="W224" s="376">
        <v>45348</v>
      </c>
      <c r="X224" s="106">
        <v>420</v>
      </c>
      <c r="Y224" s="106">
        <v>8400</v>
      </c>
      <c r="Z224" s="106" t="s">
        <v>1502</v>
      </c>
      <c r="AA224" s="106">
        <f t="shared" si="13"/>
        <v>0</v>
      </c>
      <c r="AB224" s="106">
        <f t="shared" si="14"/>
        <v>0</v>
      </c>
      <c r="AC224" s="94"/>
      <c r="AD224" s="94"/>
      <c r="AE224" s="94"/>
      <c r="AF224" s="94"/>
      <c r="AG224" s="94"/>
      <c r="AH224" s="263"/>
    </row>
    <row r="225" spans="1:34" ht="26.25" customHeight="1">
      <c r="A225" s="260"/>
      <c r="B225" s="264"/>
      <c r="C225" s="2"/>
      <c r="D225" s="2"/>
      <c r="E225" s="94">
        <v>20</v>
      </c>
      <c r="F225" s="74">
        <v>750</v>
      </c>
      <c r="G225" s="45">
        <f t="shared" si="12"/>
        <v>15000</v>
      </c>
      <c r="H225" s="119" t="s">
        <v>46</v>
      </c>
      <c r="I225" s="128">
        <v>45309</v>
      </c>
      <c r="J225" s="74">
        <v>750</v>
      </c>
      <c r="K225" s="74">
        <v>2</v>
      </c>
      <c r="L225" s="156">
        <v>45310</v>
      </c>
      <c r="M225" s="90">
        <v>15000</v>
      </c>
      <c r="N225" s="90">
        <v>150</v>
      </c>
      <c r="O225" s="90"/>
      <c r="P225" s="94" t="s">
        <v>28</v>
      </c>
      <c r="Q225" s="94">
        <v>8500065793</v>
      </c>
      <c r="R225" s="94">
        <v>5000077586</v>
      </c>
      <c r="S225" s="74">
        <v>750</v>
      </c>
      <c r="T225" s="90" t="s">
        <v>655</v>
      </c>
      <c r="U225" s="90">
        <v>8500065792</v>
      </c>
      <c r="V225" s="90">
        <v>5000082155</v>
      </c>
      <c r="W225" s="376">
        <v>45328</v>
      </c>
      <c r="X225" s="106">
        <v>750</v>
      </c>
      <c r="Y225" s="106">
        <v>15000</v>
      </c>
      <c r="Z225" s="106" t="s">
        <v>1460</v>
      </c>
      <c r="AA225" s="106">
        <f t="shared" si="13"/>
        <v>0</v>
      </c>
      <c r="AB225" s="106">
        <f t="shared" si="14"/>
        <v>0</v>
      </c>
      <c r="AC225" s="94"/>
      <c r="AD225" s="94"/>
      <c r="AE225" s="94"/>
      <c r="AF225" s="94"/>
      <c r="AG225" s="94"/>
      <c r="AH225" s="263"/>
    </row>
    <row r="226" spans="1:34" ht="26.25" customHeight="1">
      <c r="A226" s="260"/>
      <c r="B226" s="264"/>
      <c r="C226" s="2"/>
      <c r="D226" s="2"/>
      <c r="E226" s="94">
        <v>20</v>
      </c>
      <c r="F226" s="74">
        <v>400</v>
      </c>
      <c r="G226" s="45">
        <f t="shared" si="12"/>
        <v>8000</v>
      </c>
      <c r="H226" s="119" t="s">
        <v>37</v>
      </c>
      <c r="I226" s="128">
        <v>45309</v>
      </c>
      <c r="J226" s="74">
        <v>400</v>
      </c>
      <c r="K226" s="74">
        <v>2</v>
      </c>
      <c r="L226" s="156">
        <v>45310</v>
      </c>
      <c r="M226" s="90">
        <v>8000</v>
      </c>
      <c r="N226" s="90">
        <v>100</v>
      </c>
      <c r="O226" s="90"/>
      <c r="P226" s="94" t="s">
        <v>28</v>
      </c>
      <c r="Q226" s="94">
        <v>8500065793</v>
      </c>
      <c r="R226" s="94">
        <v>5000077586</v>
      </c>
      <c r="S226" s="74">
        <v>400</v>
      </c>
      <c r="T226" s="90" t="s">
        <v>655</v>
      </c>
      <c r="U226" s="90">
        <v>8500065792</v>
      </c>
      <c r="V226" s="90">
        <v>5000082155</v>
      </c>
      <c r="W226" s="376">
        <v>45346</v>
      </c>
      <c r="X226" s="106">
        <v>400</v>
      </c>
      <c r="Y226" s="106">
        <v>8000</v>
      </c>
      <c r="Z226" s="106" t="s">
        <v>2944</v>
      </c>
      <c r="AA226" s="106">
        <f t="shared" si="13"/>
        <v>0</v>
      </c>
      <c r="AB226" s="106">
        <f t="shared" si="14"/>
        <v>0</v>
      </c>
      <c r="AC226" s="94"/>
      <c r="AD226" s="94"/>
      <c r="AE226" s="94"/>
      <c r="AF226" s="94"/>
      <c r="AG226" s="94"/>
      <c r="AH226" s="263"/>
    </row>
    <row r="227" spans="1:34" ht="26.25" customHeight="1">
      <c r="A227" s="83" t="s">
        <v>352</v>
      </c>
      <c r="B227" s="264">
        <v>6000027639</v>
      </c>
      <c r="C227" s="2" t="s">
        <v>2535</v>
      </c>
      <c r="D227" s="2">
        <v>6000027639</v>
      </c>
      <c r="E227" s="94">
        <v>10</v>
      </c>
      <c r="F227" s="74">
        <v>100</v>
      </c>
      <c r="G227" s="45">
        <f t="shared" si="12"/>
        <v>1000</v>
      </c>
      <c r="H227" s="119" t="s">
        <v>27</v>
      </c>
      <c r="I227" s="128">
        <v>45313</v>
      </c>
      <c r="J227" s="74">
        <v>100</v>
      </c>
      <c r="K227" s="74">
        <v>2</v>
      </c>
      <c r="L227" s="156">
        <v>45315</v>
      </c>
      <c r="M227" s="90">
        <v>1000</v>
      </c>
      <c r="N227" s="90">
        <v>10</v>
      </c>
      <c r="O227" s="90" t="s">
        <v>2637</v>
      </c>
      <c r="P227" s="94" t="s">
        <v>28</v>
      </c>
      <c r="Q227" s="94">
        <v>8500066380</v>
      </c>
      <c r="R227" s="94">
        <v>5000091836</v>
      </c>
      <c r="S227" s="74">
        <v>100</v>
      </c>
      <c r="T227" s="90" t="s">
        <v>1558</v>
      </c>
      <c r="U227" s="90">
        <v>8500066379</v>
      </c>
      <c r="V227" s="90">
        <v>5000104392</v>
      </c>
      <c r="W227" s="376">
        <v>45316</v>
      </c>
      <c r="X227" s="106">
        <v>100</v>
      </c>
      <c r="Y227" s="106">
        <v>1000</v>
      </c>
      <c r="Z227" s="106" t="s">
        <v>1608</v>
      </c>
      <c r="AA227" s="106">
        <f t="shared" si="13"/>
        <v>0</v>
      </c>
      <c r="AB227" s="106">
        <f t="shared" si="14"/>
        <v>0</v>
      </c>
      <c r="AC227" s="94"/>
      <c r="AD227" s="94"/>
      <c r="AE227" s="94"/>
      <c r="AF227" s="94"/>
      <c r="AG227" s="94"/>
      <c r="AH227" s="263"/>
    </row>
    <row r="228" spans="1:34" ht="26.25" customHeight="1">
      <c r="A228" s="83"/>
      <c r="B228" s="264"/>
      <c r="C228" s="2"/>
      <c r="D228" s="2"/>
      <c r="E228" s="94">
        <v>10</v>
      </c>
      <c r="F228" s="74">
        <v>200</v>
      </c>
      <c r="G228" s="45">
        <f t="shared" si="12"/>
        <v>2000</v>
      </c>
      <c r="H228" s="119" t="s">
        <v>46</v>
      </c>
      <c r="I228" s="128">
        <v>45313</v>
      </c>
      <c r="J228" s="74">
        <v>200</v>
      </c>
      <c r="K228" s="74">
        <v>4</v>
      </c>
      <c r="L228" s="156">
        <v>45315</v>
      </c>
      <c r="M228" s="90">
        <v>2000</v>
      </c>
      <c r="N228" s="90">
        <v>20</v>
      </c>
      <c r="O228" s="90" t="s">
        <v>2637</v>
      </c>
      <c r="P228" s="94" t="s">
        <v>28</v>
      </c>
      <c r="Q228" s="94">
        <v>8500066380</v>
      </c>
      <c r="R228" s="94">
        <v>5000091836</v>
      </c>
      <c r="S228" s="74">
        <v>200</v>
      </c>
      <c r="T228" s="90" t="s">
        <v>1558</v>
      </c>
      <c r="U228" s="90">
        <v>8500066379</v>
      </c>
      <c r="V228" s="90">
        <v>5000104392</v>
      </c>
      <c r="W228" s="376">
        <v>45338</v>
      </c>
      <c r="X228" s="106">
        <v>200</v>
      </c>
      <c r="Y228" s="106">
        <v>2000</v>
      </c>
      <c r="Z228" s="106" t="s">
        <v>1980</v>
      </c>
      <c r="AA228" s="106">
        <f t="shared" si="13"/>
        <v>0</v>
      </c>
      <c r="AB228" s="106">
        <f t="shared" si="14"/>
        <v>0</v>
      </c>
      <c r="AC228" s="94"/>
      <c r="AD228" s="94"/>
      <c r="AE228" s="94"/>
      <c r="AF228" s="94"/>
      <c r="AG228" s="94"/>
      <c r="AH228" s="263"/>
    </row>
    <row r="229" spans="1:34" ht="26.25" customHeight="1">
      <c r="A229" s="83"/>
      <c r="B229" s="264"/>
      <c r="C229" s="2"/>
      <c r="D229" s="2"/>
      <c r="E229" s="94">
        <v>10</v>
      </c>
      <c r="F229" s="74">
        <v>100</v>
      </c>
      <c r="G229" s="45">
        <f t="shared" si="12"/>
        <v>1000</v>
      </c>
      <c r="H229" s="119" t="s">
        <v>37</v>
      </c>
      <c r="I229" s="128">
        <v>45313</v>
      </c>
      <c r="J229" s="74">
        <v>100</v>
      </c>
      <c r="K229" s="74">
        <v>2</v>
      </c>
      <c r="L229" s="156">
        <v>45315</v>
      </c>
      <c r="M229" s="90">
        <v>1000</v>
      </c>
      <c r="N229" s="90">
        <v>10</v>
      </c>
      <c r="O229" s="90" t="s">
        <v>2637</v>
      </c>
      <c r="P229" s="94" t="s">
        <v>28</v>
      </c>
      <c r="Q229" s="94">
        <v>8500066380</v>
      </c>
      <c r="R229" s="94">
        <v>5000091836</v>
      </c>
      <c r="S229" s="74">
        <v>100</v>
      </c>
      <c r="T229" s="90" t="s">
        <v>1558</v>
      </c>
      <c r="U229" s="90">
        <v>8500066379</v>
      </c>
      <c r="V229" s="90">
        <v>5000104392</v>
      </c>
      <c r="W229" s="376">
        <v>45343</v>
      </c>
      <c r="X229" s="106">
        <v>100</v>
      </c>
      <c r="Y229" s="106">
        <v>1000</v>
      </c>
      <c r="Z229" s="106" t="s">
        <v>1980</v>
      </c>
      <c r="AA229" s="106">
        <f t="shared" si="13"/>
        <v>0</v>
      </c>
      <c r="AB229" s="106">
        <f t="shared" si="14"/>
        <v>0</v>
      </c>
      <c r="AC229" s="94"/>
      <c r="AD229" s="511"/>
      <c r="AE229" s="94"/>
      <c r="AF229" s="94"/>
      <c r="AG229" s="94"/>
      <c r="AH229" s="263"/>
    </row>
    <row r="230" spans="1:34" ht="34.5" customHeight="1">
      <c r="A230" s="83" t="s">
        <v>352</v>
      </c>
      <c r="B230" s="264">
        <v>6000027639</v>
      </c>
      <c r="C230" s="2" t="s">
        <v>2582</v>
      </c>
      <c r="D230" s="2">
        <v>6000027639</v>
      </c>
      <c r="E230" s="94">
        <v>10</v>
      </c>
      <c r="F230" s="74">
        <v>100</v>
      </c>
      <c r="G230" s="45">
        <f t="shared" si="12"/>
        <v>1000</v>
      </c>
      <c r="H230" s="119" t="s">
        <v>46</v>
      </c>
      <c r="I230" s="128">
        <v>45313</v>
      </c>
      <c r="J230" s="74">
        <v>100</v>
      </c>
      <c r="K230" s="74">
        <v>6</v>
      </c>
      <c r="L230" s="156">
        <v>45315</v>
      </c>
      <c r="M230" s="90">
        <v>1000</v>
      </c>
      <c r="N230" s="90">
        <v>10</v>
      </c>
      <c r="O230" s="90" t="s">
        <v>892</v>
      </c>
      <c r="P230" s="94" t="s">
        <v>28</v>
      </c>
      <c r="Q230" s="94">
        <v>8500066382</v>
      </c>
      <c r="R230" s="94">
        <v>5000091834</v>
      </c>
      <c r="S230" s="94"/>
      <c r="T230" s="90" t="s">
        <v>1558</v>
      </c>
      <c r="U230" s="90">
        <v>8500066381</v>
      </c>
      <c r="V230" s="90">
        <v>5000104390</v>
      </c>
      <c r="W230" s="376">
        <v>45373</v>
      </c>
      <c r="X230" s="106">
        <v>100</v>
      </c>
      <c r="Y230" s="106">
        <v>1000</v>
      </c>
      <c r="Z230" s="106" t="s">
        <v>800</v>
      </c>
      <c r="AA230" s="106">
        <f t="shared" si="13"/>
        <v>0</v>
      </c>
      <c r="AB230" s="106">
        <f t="shared" si="14"/>
        <v>0</v>
      </c>
      <c r="AC230" s="94"/>
      <c r="AD230" s="509"/>
      <c r="AE230" s="94"/>
      <c r="AF230" s="94"/>
      <c r="AG230" s="94"/>
      <c r="AH230" s="263"/>
    </row>
    <row r="231" spans="1:34" ht="33" customHeight="1">
      <c r="A231" s="83"/>
      <c r="B231" s="264"/>
      <c r="C231" s="2"/>
      <c r="D231" s="2"/>
      <c r="E231" s="94">
        <v>10</v>
      </c>
      <c r="F231" s="74">
        <v>150</v>
      </c>
      <c r="G231" s="45">
        <f t="shared" si="12"/>
        <v>1500</v>
      </c>
      <c r="H231" s="119" t="s">
        <v>37</v>
      </c>
      <c r="I231" s="128">
        <v>45313</v>
      </c>
      <c r="J231" s="74">
        <v>150</v>
      </c>
      <c r="K231" s="74">
        <v>8</v>
      </c>
      <c r="L231" s="156">
        <v>45315</v>
      </c>
      <c r="M231" s="90">
        <v>1500</v>
      </c>
      <c r="N231" s="90">
        <v>15</v>
      </c>
      <c r="O231" s="90" t="s">
        <v>2638</v>
      </c>
      <c r="P231" s="94" t="s">
        <v>28</v>
      </c>
      <c r="Q231" s="94">
        <v>8500066382</v>
      </c>
      <c r="R231" s="94">
        <v>5000091834</v>
      </c>
      <c r="S231" s="94"/>
      <c r="T231" s="90" t="s">
        <v>1558</v>
      </c>
      <c r="U231" s="90">
        <v>8500066381</v>
      </c>
      <c r="V231" s="90">
        <v>5000104390</v>
      </c>
      <c r="W231" s="376">
        <v>45407</v>
      </c>
      <c r="X231" s="106">
        <v>150</v>
      </c>
      <c r="Y231" s="106">
        <v>1500</v>
      </c>
      <c r="Z231" s="106" t="s">
        <v>800</v>
      </c>
      <c r="AA231" s="106">
        <f t="shared" si="13"/>
        <v>0</v>
      </c>
      <c r="AB231" s="106">
        <f t="shared" si="14"/>
        <v>0</v>
      </c>
      <c r="AC231" s="94"/>
      <c r="AD231" s="510"/>
      <c r="AE231" s="94"/>
      <c r="AF231" s="94"/>
      <c r="AG231" s="94"/>
      <c r="AH231" s="263"/>
    </row>
    <row r="232" spans="1:34" ht="26.25" customHeight="1">
      <c r="A232" s="260"/>
      <c r="B232" s="264"/>
      <c r="C232" s="2"/>
      <c r="D232" s="2"/>
      <c r="E232" s="94">
        <v>10</v>
      </c>
      <c r="F232" s="74">
        <v>150</v>
      </c>
      <c r="G232" s="45">
        <f t="shared" si="12"/>
        <v>1500</v>
      </c>
      <c r="H232" s="119" t="s">
        <v>146</v>
      </c>
      <c r="I232" s="128">
        <v>45313</v>
      </c>
      <c r="J232" s="74">
        <v>150</v>
      </c>
      <c r="K232" s="74">
        <v>8</v>
      </c>
      <c r="L232" s="156">
        <v>45315</v>
      </c>
      <c r="M232" s="90">
        <v>1500</v>
      </c>
      <c r="N232" s="90">
        <v>15</v>
      </c>
      <c r="O232" s="90" t="s">
        <v>2638</v>
      </c>
      <c r="P232" s="94" t="s">
        <v>28</v>
      </c>
      <c r="Q232" s="94">
        <v>8500066382</v>
      </c>
      <c r="R232" s="94">
        <v>5000091834</v>
      </c>
      <c r="S232" s="94"/>
      <c r="T232" s="90" t="s">
        <v>1558</v>
      </c>
      <c r="U232" s="90">
        <v>8500066381</v>
      </c>
      <c r="V232" s="90">
        <v>5000104390</v>
      </c>
      <c r="W232" s="376">
        <v>45407</v>
      </c>
      <c r="X232" s="106">
        <v>150</v>
      </c>
      <c r="Y232" s="106">
        <v>1500</v>
      </c>
      <c r="Z232" s="106" t="s">
        <v>800</v>
      </c>
      <c r="AA232" s="106">
        <f t="shared" si="13"/>
        <v>0</v>
      </c>
      <c r="AB232" s="106">
        <f t="shared" si="14"/>
        <v>0</v>
      </c>
      <c r="AC232" s="94"/>
      <c r="AD232" s="94"/>
      <c r="AE232" s="94"/>
      <c r="AF232" s="94"/>
      <c r="AG232" s="94"/>
      <c r="AH232" s="263"/>
    </row>
    <row r="233" spans="1:34" ht="26.25" customHeight="1">
      <c r="A233" s="83" t="s">
        <v>352</v>
      </c>
      <c r="B233" s="88">
        <v>6000027639</v>
      </c>
      <c r="C233" s="2" t="s">
        <v>2583</v>
      </c>
      <c r="D233" s="2">
        <v>6000027639</v>
      </c>
      <c r="E233" s="94">
        <v>10</v>
      </c>
      <c r="F233" s="74">
        <v>100</v>
      </c>
      <c r="G233" s="45">
        <f t="shared" si="12"/>
        <v>1000</v>
      </c>
      <c r="H233" s="119" t="s">
        <v>46</v>
      </c>
      <c r="I233" s="128">
        <v>45313</v>
      </c>
      <c r="J233" s="74">
        <v>100</v>
      </c>
      <c r="K233" s="74">
        <v>7</v>
      </c>
      <c r="L233" s="237">
        <v>45310</v>
      </c>
      <c r="M233" s="45">
        <v>1000</v>
      </c>
      <c r="N233" s="90">
        <v>10</v>
      </c>
      <c r="O233" s="90" t="s">
        <v>891</v>
      </c>
      <c r="P233" s="94" t="s">
        <v>28</v>
      </c>
      <c r="Q233" s="94">
        <v>8500066386</v>
      </c>
      <c r="R233" s="94">
        <v>5000091837</v>
      </c>
      <c r="S233" s="74">
        <v>100</v>
      </c>
      <c r="T233" s="90" t="s">
        <v>1558</v>
      </c>
      <c r="U233" s="90">
        <v>8500066384</v>
      </c>
      <c r="V233" s="90">
        <v>5000082007</v>
      </c>
      <c r="W233" s="376">
        <v>45322</v>
      </c>
      <c r="X233" s="106">
        <v>100</v>
      </c>
      <c r="Y233" s="106">
        <v>1000</v>
      </c>
      <c r="Z233" s="106" t="s">
        <v>800</v>
      </c>
      <c r="AA233" s="106">
        <f t="shared" si="13"/>
        <v>0</v>
      </c>
      <c r="AB233" s="106">
        <f t="shared" si="14"/>
        <v>0</v>
      </c>
      <c r="AC233" s="94"/>
      <c r="AD233" s="94"/>
      <c r="AE233" s="94"/>
      <c r="AF233" s="94"/>
      <c r="AG233" s="94"/>
      <c r="AH233" s="263"/>
    </row>
    <row r="234" spans="1:34" ht="26.25" customHeight="1">
      <c r="A234" s="83"/>
      <c r="B234" s="88"/>
      <c r="C234" s="2"/>
      <c r="D234" s="2"/>
      <c r="E234" s="94">
        <v>10</v>
      </c>
      <c r="F234" s="74">
        <v>150</v>
      </c>
      <c r="G234" s="45">
        <f t="shared" si="12"/>
        <v>1500</v>
      </c>
      <c r="H234" s="119" t="s">
        <v>37</v>
      </c>
      <c r="I234" s="128">
        <v>45313</v>
      </c>
      <c r="J234" s="74">
        <v>150</v>
      </c>
      <c r="K234" s="74">
        <v>8</v>
      </c>
      <c r="L234" s="237">
        <v>45310</v>
      </c>
      <c r="M234" s="90">
        <v>1500</v>
      </c>
      <c r="N234" s="90">
        <v>15</v>
      </c>
      <c r="O234" s="90" t="s">
        <v>891</v>
      </c>
      <c r="P234" s="94" t="s">
        <v>28</v>
      </c>
      <c r="Q234" s="94">
        <v>8500066386</v>
      </c>
      <c r="R234" s="94">
        <v>5000091837</v>
      </c>
      <c r="S234" s="74">
        <v>150</v>
      </c>
      <c r="T234" s="90" t="s">
        <v>1558</v>
      </c>
      <c r="U234" s="90">
        <v>8500066384</v>
      </c>
      <c r="V234" s="90">
        <v>5000082007</v>
      </c>
      <c r="W234" s="376">
        <v>45322</v>
      </c>
      <c r="X234" s="106">
        <v>150</v>
      </c>
      <c r="Y234" s="106">
        <v>1500</v>
      </c>
      <c r="Z234" s="106" t="s">
        <v>800</v>
      </c>
      <c r="AA234" s="106">
        <f t="shared" si="13"/>
        <v>0</v>
      </c>
      <c r="AB234" s="106">
        <f t="shared" si="14"/>
        <v>0</v>
      </c>
      <c r="AC234" s="94"/>
      <c r="AD234" s="94"/>
      <c r="AE234" s="94"/>
      <c r="AF234" s="94"/>
      <c r="AG234" s="94"/>
      <c r="AH234" s="263"/>
    </row>
    <row r="235" spans="1:34" ht="26.25" customHeight="1">
      <c r="A235" s="83"/>
      <c r="B235" s="88"/>
      <c r="C235" s="2"/>
      <c r="D235" s="2"/>
      <c r="E235" s="94">
        <v>10</v>
      </c>
      <c r="F235" s="74">
        <v>150</v>
      </c>
      <c r="G235" s="45">
        <f t="shared" si="12"/>
        <v>1500</v>
      </c>
      <c r="H235" s="119" t="s">
        <v>146</v>
      </c>
      <c r="I235" s="128">
        <v>45313</v>
      </c>
      <c r="J235" s="74">
        <v>150</v>
      </c>
      <c r="K235" s="74">
        <v>7</v>
      </c>
      <c r="L235" s="237">
        <v>45310</v>
      </c>
      <c r="M235" s="90">
        <v>1500</v>
      </c>
      <c r="N235" s="90">
        <v>15</v>
      </c>
      <c r="O235" s="90" t="s">
        <v>891</v>
      </c>
      <c r="P235" s="94" t="s">
        <v>28</v>
      </c>
      <c r="Q235" s="94">
        <v>8500066386</v>
      </c>
      <c r="R235" s="94">
        <v>5000091837</v>
      </c>
      <c r="S235" s="74">
        <v>150</v>
      </c>
      <c r="T235" s="90" t="s">
        <v>1558</v>
      </c>
      <c r="U235" s="90">
        <v>8500066384</v>
      </c>
      <c r="V235" s="90">
        <v>5000082007</v>
      </c>
      <c r="W235" s="376">
        <v>45321</v>
      </c>
      <c r="X235" s="106">
        <v>150</v>
      </c>
      <c r="Y235" s="106">
        <v>1500</v>
      </c>
      <c r="Z235" s="106" t="s">
        <v>800</v>
      </c>
      <c r="AA235" s="106">
        <f t="shared" si="13"/>
        <v>0</v>
      </c>
      <c r="AB235" s="106">
        <f t="shared" si="14"/>
        <v>0</v>
      </c>
      <c r="AC235" s="94"/>
      <c r="AD235" s="94"/>
      <c r="AE235" s="94"/>
      <c r="AF235" s="94"/>
      <c r="AG235" s="94"/>
      <c r="AH235" s="263"/>
    </row>
    <row r="236" spans="1:34" ht="26.25" customHeight="1">
      <c r="A236" s="83" t="s">
        <v>652</v>
      </c>
      <c r="B236" s="88">
        <v>6000027373</v>
      </c>
      <c r="C236" s="2" t="s">
        <v>2060</v>
      </c>
      <c r="D236" s="2">
        <v>2342525</v>
      </c>
      <c r="E236" s="94">
        <v>10</v>
      </c>
      <c r="F236" s="74">
        <v>900</v>
      </c>
      <c r="G236" s="45">
        <f t="shared" si="12"/>
        <v>9000</v>
      </c>
      <c r="H236" s="119" t="s">
        <v>46</v>
      </c>
      <c r="I236" s="128" t="s">
        <v>2655</v>
      </c>
      <c r="J236" s="158">
        <f>460+440</f>
        <v>900</v>
      </c>
      <c r="K236" s="74">
        <v>10</v>
      </c>
      <c r="L236" s="156">
        <v>45313</v>
      </c>
      <c r="M236" s="90">
        <v>9000</v>
      </c>
      <c r="N236" s="90">
        <v>100</v>
      </c>
      <c r="O236" s="90" t="s">
        <v>824</v>
      </c>
      <c r="P236" s="94" t="s">
        <v>160</v>
      </c>
      <c r="Q236" s="94">
        <v>8500065614</v>
      </c>
      <c r="R236" s="94">
        <v>5000091005</v>
      </c>
      <c r="S236" s="94"/>
      <c r="T236" s="90" t="s">
        <v>655</v>
      </c>
      <c r="U236" s="90">
        <v>8500065613</v>
      </c>
      <c r="V236" s="90">
        <v>5000095073</v>
      </c>
      <c r="W236" s="376">
        <v>45325</v>
      </c>
      <c r="X236" s="106">
        <v>900</v>
      </c>
      <c r="Y236" s="106">
        <v>9000</v>
      </c>
      <c r="Z236" s="106" t="s">
        <v>1460</v>
      </c>
      <c r="AA236" s="106">
        <f t="shared" si="13"/>
        <v>0</v>
      </c>
      <c r="AB236" s="106">
        <f t="shared" si="14"/>
        <v>0</v>
      </c>
      <c r="AC236" s="94"/>
      <c r="AD236" s="94"/>
      <c r="AE236" s="94"/>
      <c r="AF236" s="94"/>
      <c r="AG236" s="94"/>
      <c r="AH236" s="263"/>
    </row>
    <row r="237" spans="1:34" ht="26.25" customHeight="1">
      <c r="A237" s="83"/>
      <c r="B237" s="88"/>
      <c r="C237" s="2"/>
      <c r="D237" s="2"/>
      <c r="E237" s="94">
        <v>10</v>
      </c>
      <c r="F237" s="74">
        <v>850</v>
      </c>
      <c r="G237" s="45">
        <f t="shared" si="12"/>
        <v>8500</v>
      </c>
      <c r="H237" s="119" t="s">
        <v>37</v>
      </c>
      <c r="I237" s="128">
        <v>45313</v>
      </c>
      <c r="J237" s="158">
        <v>850</v>
      </c>
      <c r="K237" s="74">
        <f>10+3</f>
        <v>13</v>
      </c>
      <c r="L237" s="156">
        <v>45313</v>
      </c>
      <c r="M237" s="90">
        <v>8500</v>
      </c>
      <c r="N237" s="90">
        <v>100</v>
      </c>
      <c r="O237" s="90" t="s">
        <v>916</v>
      </c>
      <c r="P237" s="94" t="s">
        <v>160</v>
      </c>
      <c r="Q237" s="94">
        <v>8500065614</v>
      </c>
      <c r="R237" s="94">
        <v>5000091005</v>
      </c>
      <c r="S237" s="158">
        <v>850</v>
      </c>
      <c r="T237" s="90" t="s">
        <v>655</v>
      </c>
      <c r="U237" s="90">
        <v>8500065613</v>
      </c>
      <c r="V237" s="90">
        <v>5000095073</v>
      </c>
      <c r="W237" s="376">
        <v>45344</v>
      </c>
      <c r="X237" s="106">
        <v>850</v>
      </c>
      <c r="Y237" s="106">
        <v>8500</v>
      </c>
      <c r="Z237" s="106" t="s">
        <v>927</v>
      </c>
      <c r="AA237" s="106">
        <f t="shared" si="13"/>
        <v>0</v>
      </c>
      <c r="AB237" s="106">
        <f t="shared" si="14"/>
        <v>0</v>
      </c>
      <c r="AC237" s="94"/>
      <c r="AD237" s="94"/>
      <c r="AE237" s="94"/>
      <c r="AF237" s="94"/>
      <c r="AG237" s="94"/>
      <c r="AH237" s="263"/>
    </row>
    <row r="238" spans="1:34" ht="26.25" customHeight="1">
      <c r="A238" s="83" t="s">
        <v>868</v>
      </c>
      <c r="B238" s="88">
        <v>6000027812</v>
      </c>
      <c r="C238" s="2" t="s">
        <v>869</v>
      </c>
      <c r="D238" s="2">
        <v>6000027812</v>
      </c>
      <c r="E238" s="94">
        <v>20</v>
      </c>
      <c r="F238" s="74">
        <v>100</v>
      </c>
      <c r="G238" s="45">
        <f t="shared" si="12"/>
        <v>2000</v>
      </c>
      <c r="H238" s="119" t="s">
        <v>243</v>
      </c>
      <c r="I238" s="128">
        <v>45314</v>
      </c>
      <c r="J238" s="74">
        <v>100</v>
      </c>
      <c r="K238" s="74">
        <v>7</v>
      </c>
      <c r="L238" s="156">
        <v>45314</v>
      </c>
      <c r="M238" s="90">
        <v>2000</v>
      </c>
      <c r="N238" s="90">
        <v>50</v>
      </c>
      <c r="O238" s="90" t="s">
        <v>897</v>
      </c>
      <c r="P238" s="94" t="s">
        <v>28</v>
      </c>
      <c r="Q238" s="94">
        <v>8500066015</v>
      </c>
      <c r="R238" s="94">
        <v>5000096477</v>
      </c>
      <c r="S238" s="74">
        <v>100</v>
      </c>
      <c r="T238" s="90" t="s">
        <v>655</v>
      </c>
      <c r="U238" s="90">
        <v>8500066014</v>
      </c>
      <c r="V238" s="90">
        <v>5000099699</v>
      </c>
      <c r="W238" s="376">
        <v>45321</v>
      </c>
      <c r="X238" s="106">
        <v>100</v>
      </c>
      <c r="Y238" s="106">
        <v>2000</v>
      </c>
      <c r="Z238" s="106" t="s">
        <v>800</v>
      </c>
      <c r="AA238" s="106">
        <f t="shared" si="13"/>
        <v>0</v>
      </c>
      <c r="AB238" s="106">
        <f t="shared" si="14"/>
        <v>0</v>
      </c>
      <c r="AC238" s="94"/>
      <c r="AD238" s="94"/>
      <c r="AE238" s="94"/>
      <c r="AF238" s="94"/>
      <c r="AG238" s="94"/>
      <c r="AH238" s="263"/>
    </row>
    <row r="239" spans="1:34" ht="26.25" customHeight="1">
      <c r="A239" s="83"/>
      <c r="B239" s="88"/>
      <c r="C239" s="2"/>
      <c r="D239" s="2"/>
      <c r="E239" s="94">
        <v>20</v>
      </c>
      <c r="F239" s="74">
        <v>120</v>
      </c>
      <c r="G239" s="45">
        <f t="shared" si="12"/>
        <v>2400</v>
      </c>
      <c r="H239" s="119" t="s">
        <v>27</v>
      </c>
      <c r="I239" s="128">
        <v>45314</v>
      </c>
      <c r="J239" s="74">
        <v>120</v>
      </c>
      <c r="K239" s="74">
        <v>7</v>
      </c>
      <c r="L239" s="156">
        <v>45314</v>
      </c>
      <c r="M239" s="90">
        <v>2400</v>
      </c>
      <c r="N239" s="90">
        <v>50</v>
      </c>
      <c r="O239" s="90" t="s">
        <v>897</v>
      </c>
      <c r="P239" s="94" t="s">
        <v>28</v>
      </c>
      <c r="Q239" s="94">
        <v>8500066015</v>
      </c>
      <c r="R239" s="94">
        <v>5000096477</v>
      </c>
      <c r="S239" s="74">
        <v>120</v>
      </c>
      <c r="T239" s="90" t="s">
        <v>655</v>
      </c>
      <c r="U239" s="90">
        <v>8500066014</v>
      </c>
      <c r="V239" s="90">
        <v>5000099699</v>
      </c>
      <c r="W239" s="376">
        <v>45327</v>
      </c>
      <c r="X239" s="106">
        <v>120</v>
      </c>
      <c r="Y239" s="106">
        <v>2400</v>
      </c>
      <c r="Z239" s="106" t="s">
        <v>727</v>
      </c>
      <c r="AA239" s="106">
        <f t="shared" si="13"/>
        <v>0</v>
      </c>
      <c r="AB239" s="106">
        <f t="shared" si="14"/>
        <v>0</v>
      </c>
      <c r="AC239" s="94"/>
      <c r="AD239" s="94"/>
      <c r="AE239" s="94"/>
      <c r="AF239" s="94"/>
      <c r="AG239" s="94"/>
      <c r="AH239" s="263"/>
    </row>
    <row r="240" spans="1:34" ht="26.25" customHeight="1">
      <c r="A240" s="83"/>
      <c r="B240" s="88"/>
      <c r="C240" s="2"/>
      <c r="D240" s="2"/>
      <c r="E240" s="94">
        <v>20</v>
      </c>
      <c r="F240" s="74">
        <v>950</v>
      </c>
      <c r="G240" s="45">
        <f t="shared" si="12"/>
        <v>19000</v>
      </c>
      <c r="H240" s="119" t="s">
        <v>46</v>
      </c>
      <c r="I240" s="128">
        <v>45314</v>
      </c>
      <c r="J240" s="74">
        <v>950</v>
      </c>
      <c r="K240" s="74">
        <v>15</v>
      </c>
      <c r="L240" s="156">
        <v>45314</v>
      </c>
      <c r="M240" s="90">
        <v>19000</v>
      </c>
      <c r="N240" s="90">
        <v>150</v>
      </c>
      <c r="O240" s="90"/>
      <c r="P240" s="94" t="s">
        <v>28</v>
      </c>
      <c r="Q240" s="94">
        <v>8500066015</v>
      </c>
      <c r="R240" s="94">
        <v>5000096477</v>
      </c>
      <c r="S240" s="74">
        <v>950</v>
      </c>
      <c r="T240" s="90" t="s">
        <v>655</v>
      </c>
      <c r="U240" s="90">
        <v>8500066014</v>
      </c>
      <c r="V240" s="90">
        <v>5000099699</v>
      </c>
      <c r="W240" s="376">
        <v>45321</v>
      </c>
      <c r="X240" s="106">
        <v>950</v>
      </c>
      <c r="Y240" s="106">
        <v>19000</v>
      </c>
      <c r="Z240" s="106" t="s">
        <v>2739</v>
      </c>
      <c r="AA240" s="106">
        <f t="shared" si="13"/>
        <v>0</v>
      </c>
      <c r="AB240" s="106">
        <f t="shared" si="14"/>
        <v>0</v>
      </c>
      <c r="AC240" s="94"/>
      <c r="AD240" s="94"/>
      <c r="AE240" s="94"/>
      <c r="AF240" s="94"/>
      <c r="AG240" s="94"/>
      <c r="AH240" s="263"/>
    </row>
    <row r="241" spans="1:34" ht="26.25" customHeight="1">
      <c r="A241" s="83"/>
      <c r="B241" s="88"/>
      <c r="C241" s="2"/>
      <c r="D241" s="2"/>
      <c r="E241" s="94">
        <v>20</v>
      </c>
      <c r="F241" s="74">
        <v>400</v>
      </c>
      <c r="G241" s="45">
        <f t="shared" si="12"/>
        <v>8000</v>
      </c>
      <c r="H241" s="119" t="s">
        <v>37</v>
      </c>
      <c r="I241" s="128">
        <v>45314</v>
      </c>
      <c r="J241" s="74">
        <v>400</v>
      </c>
      <c r="K241" s="74">
        <v>10</v>
      </c>
      <c r="L241" s="156">
        <v>45314</v>
      </c>
      <c r="M241" s="90">
        <v>8000</v>
      </c>
      <c r="N241" s="90">
        <v>100</v>
      </c>
      <c r="O241" s="90"/>
      <c r="P241" s="94" t="s">
        <v>28</v>
      </c>
      <c r="Q241" s="94">
        <v>8500066015</v>
      </c>
      <c r="R241" s="94">
        <v>5000096477</v>
      </c>
      <c r="S241" s="74">
        <v>400</v>
      </c>
      <c r="T241" s="90" t="s">
        <v>655</v>
      </c>
      <c r="U241" s="90">
        <v>8500066014</v>
      </c>
      <c r="V241" s="90">
        <v>5000099699</v>
      </c>
      <c r="W241" s="376">
        <v>45343</v>
      </c>
      <c r="X241" s="106">
        <v>400</v>
      </c>
      <c r="Y241" s="106">
        <v>8000</v>
      </c>
      <c r="Z241" s="106" t="s">
        <v>927</v>
      </c>
      <c r="AA241" s="106">
        <f t="shared" si="13"/>
        <v>0</v>
      </c>
      <c r="AB241" s="106">
        <f t="shared" si="14"/>
        <v>0</v>
      </c>
      <c r="AC241" s="94"/>
      <c r="AD241" s="94"/>
      <c r="AE241" s="94"/>
      <c r="AF241" s="94"/>
      <c r="AG241" s="94"/>
      <c r="AH241" s="263"/>
    </row>
    <row r="242" spans="1:34" ht="26.25" customHeight="1">
      <c r="A242" s="83" t="s">
        <v>868</v>
      </c>
      <c r="B242" s="88">
        <v>6000027812</v>
      </c>
      <c r="C242" s="2" t="s">
        <v>869</v>
      </c>
      <c r="D242" s="2" t="s">
        <v>244</v>
      </c>
      <c r="E242" s="94">
        <v>20</v>
      </c>
      <c r="F242" s="74">
        <v>5</v>
      </c>
      <c r="G242" s="45">
        <f t="shared" si="12"/>
        <v>100</v>
      </c>
      <c r="H242" s="119" t="s">
        <v>243</v>
      </c>
      <c r="I242" s="128">
        <v>45314</v>
      </c>
      <c r="J242" s="74">
        <v>5</v>
      </c>
      <c r="K242" s="74">
        <v>1</v>
      </c>
      <c r="L242" s="156">
        <v>45310</v>
      </c>
      <c r="M242" s="90">
        <v>100</v>
      </c>
      <c r="N242" s="90"/>
      <c r="O242" s="90" t="s">
        <v>814</v>
      </c>
      <c r="P242" s="94" t="s">
        <v>28</v>
      </c>
      <c r="Q242" s="94">
        <v>8500066017</v>
      </c>
      <c r="R242" s="94">
        <v>5000096481</v>
      </c>
      <c r="S242" s="94"/>
      <c r="T242" s="90" t="s">
        <v>1418</v>
      </c>
      <c r="U242" s="90">
        <v>8500066016</v>
      </c>
      <c r="V242" s="90">
        <v>5000082219</v>
      </c>
      <c r="W242" s="376"/>
      <c r="X242" s="106">
        <v>5</v>
      </c>
      <c r="Y242" s="106">
        <v>100</v>
      </c>
      <c r="Z242" s="106"/>
      <c r="AA242" s="106">
        <f t="shared" si="13"/>
        <v>0</v>
      </c>
      <c r="AB242" s="106">
        <f t="shared" si="14"/>
        <v>0</v>
      </c>
      <c r="AC242" s="94"/>
      <c r="AD242" s="94"/>
      <c r="AE242" s="94"/>
      <c r="AF242" s="94"/>
      <c r="AG242" s="94"/>
      <c r="AH242" s="263"/>
    </row>
    <row r="243" spans="1:34" ht="26.25" customHeight="1">
      <c r="A243" s="83"/>
      <c r="B243" s="88"/>
      <c r="C243" s="2"/>
      <c r="D243" s="2"/>
      <c r="E243" s="94">
        <v>20</v>
      </c>
      <c r="F243" s="74">
        <v>5</v>
      </c>
      <c r="G243" s="45">
        <f t="shared" si="12"/>
        <v>100</v>
      </c>
      <c r="H243" s="119" t="s">
        <v>27</v>
      </c>
      <c r="I243" s="128">
        <v>45314</v>
      </c>
      <c r="J243" s="74">
        <v>5</v>
      </c>
      <c r="K243" s="74">
        <v>1</v>
      </c>
      <c r="L243" s="156">
        <v>45310</v>
      </c>
      <c r="M243" s="90">
        <v>100</v>
      </c>
      <c r="N243" s="90"/>
      <c r="O243" s="90" t="s">
        <v>814</v>
      </c>
      <c r="P243" s="94" t="s">
        <v>28</v>
      </c>
      <c r="Q243" s="94">
        <v>8500066017</v>
      </c>
      <c r="R243" s="94">
        <v>5000096481</v>
      </c>
      <c r="S243" s="94"/>
      <c r="T243" s="90" t="s">
        <v>1418</v>
      </c>
      <c r="U243" s="90">
        <v>8500066016</v>
      </c>
      <c r="V243" s="90">
        <v>5000082219</v>
      </c>
      <c r="W243" s="375"/>
      <c r="X243" s="106">
        <v>5</v>
      </c>
      <c r="Y243" s="106">
        <v>100</v>
      </c>
      <c r="Z243" s="106"/>
      <c r="AA243" s="106">
        <f t="shared" si="13"/>
        <v>0</v>
      </c>
      <c r="AB243" s="106">
        <f t="shared" si="14"/>
        <v>0</v>
      </c>
      <c r="AC243" s="94"/>
      <c r="AD243" s="94"/>
      <c r="AE243" s="94"/>
      <c r="AF243" s="94"/>
      <c r="AG243" s="94"/>
      <c r="AH243" s="263"/>
    </row>
    <row r="244" spans="1:34" ht="26.25" customHeight="1">
      <c r="A244" s="83"/>
      <c r="B244" s="88"/>
      <c r="C244" s="2"/>
      <c r="D244" s="2"/>
      <c r="E244" s="94">
        <v>20</v>
      </c>
      <c r="F244" s="74">
        <v>5</v>
      </c>
      <c r="G244" s="45">
        <f t="shared" si="12"/>
        <v>100</v>
      </c>
      <c r="H244" s="119" t="s">
        <v>46</v>
      </c>
      <c r="I244" s="128">
        <v>45314</v>
      </c>
      <c r="J244" s="74">
        <v>5</v>
      </c>
      <c r="K244" s="74">
        <v>1</v>
      </c>
      <c r="L244" s="156">
        <v>45310</v>
      </c>
      <c r="M244" s="90">
        <v>100</v>
      </c>
      <c r="N244" s="90"/>
      <c r="O244" s="90" t="s">
        <v>814</v>
      </c>
      <c r="P244" s="94" t="s">
        <v>28</v>
      </c>
      <c r="Q244" s="94">
        <v>8500066017</v>
      </c>
      <c r="R244" s="94">
        <v>5000096481</v>
      </c>
      <c r="S244" s="94"/>
      <c r="T244" s="90" t="s">
        <v>1418</v>
      </c>
      <c r="U244" s="90">
        <v>8500066016</v>
      </c>
      <c r="V244" s="90">
        <v>5000082219</v>
      </c>
      <c r="W244" s="375"/>
      <c r="X244" s="106">
        <v>5</v>
      </c>
      <c r="Y244" s="106">
        <v>100</v>
      </c>
      <c r="Z244" s="106"/>
      <c r="AA244" s="106">
        <f t="shared" si="13"/>
        <v>0</v>
      </c>
      <c r="AB244" s="106">
        <f t="shared" si="14"/>
        <v>0</v>
      </c>
      <c r="AC244" s="94"/>
      <c r="AD244" s="94"/>
      <c r="AE244" s="94"/>
      <c r="AF244" s="94"/>
      <c r="AG244" s="94"/>
      <c r="AH244" s="263"/>
    </row>
    <row r="245" spans="1:34" ht="26.25" customHeight="1">
      <c r="A245" s="83"/>
      <c r="B245" s="88"/>
      <c r="C245" s="2"/>
      <c r="D245" s="2"/>
      <c r="E245" s="94">
        <v>20</v>
      </c>
      <c r="F245" s="74">
        <v>5</v>
      </c>
      <c r="G245" s="45">
        <f t="shared" si="12"/>
        <v>100</v>
      </c>
      <c r="H245" s="119" t="s">
        <v>37</v>
      </c>
      <c r="I245" s="128">
        <v>45314</v>
      </c>
      <c r="J245" s="74">
        <v>5</v>
      </c>
      <c r="K245" s="74">
        <v>1</v>
      </c>
      <c r="L245" s="156">
        <v>45310</v>
      </c>
      <c r="M245" s="90">
        <v>100</v>
      </c>
      <c r="N245" s="90"/>
      <c r="O245" s="90" t="s">
        <v>814</v>
      </c>
      <c r="P245" s="94" t="s">
        <v>28</v>
      </c>
      <c r="Q245" s="94">
        <v>8500066017</v>
      </c>
      <c r="R245" s="94">
        <v>5000096481</v>
      </c>
      <c r="S245" s="94"/>
      <c r="T245" s="90" t="s">
        <v>1418</v>
      </c>
      <c r="U245" s="90">
        <v>8500066016</v>
      </c>
      <c r="V245" s="90">
        <v>5000082219</v>
      </c>
      <c r="W245" s="376"/>
      <c r="X245" s="106">
        <v>5</v>
      </c>
      <c r="Y245" s="106">
        <v>100</v>
      </c>
      <c r="Z245" s="106"/>
      <c r="AA245" s="106">
        <f t="shared" si="13"/>
        <v>0</v>
      </c>
      <c r="AB245" s="106">
        <f t="shared" si="14"/>
        <v>0</v>
      </c>
      <c r="AC245" s="94"/>
      <c r="AD245" s="94"/>
      <c r="AE245" s="94"/>
      <c r="AF245" s="94"/>
      <c r="AG245" s="94"/>
      <c r="AH245" s="263"/>
    </row>
    <row r="246" spans="1:34" ht="26.25" customHeight="1">
      <c r="A246" s="83" t="s">
        <v>279</v>
      </c>
      <c r="B246" s="88">
        <v>6000027383</v>
      </c>
      <c r="C246" s="2" t="s">
        <v>2589</v>
      </c>
      <c r="D246" s="2" t="s">
        <v>2590</v>
      </c>
      <c r="E246" s="94">
        <v>10</v>
      </c>
      <c r="F246" s="74">
        <v>880</v>
      </c>
      <c r="G246" s="45">
        <f t="shared" si="12"/>
        <v>8800</v>
      </c>
      <c r="H246" s="119" t="s">
        <v>27</v>
      </c>
      <c r="I246" s="128">
        <v>45311</v>
      </c>
      <c r="J246" s="74">
        <v>880</v>
      </c>
      <c r="K246" s="74">
        <f>10+11</f>
        <v>21</v>
      </c>
      <c r="L246" s="156">
        <v>45315</v>
      </c>
      <c r="M246" s="90">
        <v>8800</v>
      </c>
      <c r="N246" s="90">
        <v>103</v>
      </c>
      <c r="O246" s="90" t="s">
        <v>2631</v>
      </c>
      <c r="P246" s="94" t="s">
        <v>28</v>
      </c>
      <c r="Q246" s="94">
        <v>8500066851</v>
      </c>
      <c r="R246" s="94">
        <v>5000082845</v>
      </c>
      <c r="S246" s="94"/>
      <c r="T246" s="90" t="s">
        <v>87</v>
      </c>
      <c r="U246" s="90">
        <v>8500066850</v>
      </c>
      <c r="V246" s="90">
        <v>5000104064</v>
      </c>
      <c r="W246" s="376">
        <v>45338</v>
      </c>
      <c r="X246" s="106">
        <v>880</v>
      </c>
      <c r="Y246" s="106">
        <v>8800</v>
      </c>
      <c r="Z246" s="106" t="s">
        <v>1502</v>
      </c>
      <c r="AA246" s="106">
        <f t="shared" si="13"/>
        <v>0</v>
      </c>
      <c r="AB246" s="106">
        <f t="shared" si="14"/>
        <v>0</v>
      </c>
      <c r="AC246" s="94"/>
      <c r="AD246" s="94"/>
      <c r="AE246" s="94"/>
      <c r="AF246" s="94"/>
      <c r="AG246" s="94"/>
      <c r="AH246" s="263"/>
    </row>
    <row r="247" spans="1:34" ht="26.25" customHeight="1">
      <c r="A247" s="83"/>
      <c r="B247" s="88"/>
      <c r="C247" s="2"/>
      <c r="D247" s="2"/>
      <c r="E247" s="94">
        <v>10</v>
      </c>
      <c r="F247" s="74">
        <v>2390</v>
      </c>
      <c r="G247" s="45">
        <f t="shared" si="12"/>
        <v>23900</v>
      </c>
      <c r="H247" s="119" t="s">
        <v>46</v>
      </c>
      <c r="I247" s="128">
        <v>45311</v>
      </c>
      <c r="J247" s="74">
        <v>2390</v>
      </c>
      <c r="K247" s="74">
        <f>10+24</f>
        <v>34</v>
      </c>
      <c r="L247" s="156">
        <v>45317</v>
      </c>
      <c r="M247" s="90">
        <v>23900</v>
      </c>
      <c r="N247" s="90">
        <v>254</v>
      </c>
      <c r="O247" s="90"/>
      <c r="P247" s="94" t="s">
        <v>28</v>
      </c>
      <c r="Q247" s="94">
        <v>8500066851</v>
      </c>
      <c r="R247" s="94">
        <v>5000082845</v>
      </c>
      <c r="S247" s="94"/>
      <c r="T247" s="90" t="s">
        <v>87</v>
      </c>
      <c r="U247" s="90">
        <v>8500066850</v>
      </c>
      <c r="V247" s="90">
        <v>5000123241</v>
      </c>
      <c r="W247" s="376">
        <v>45329</v>
      </c>
      <c r="X247" s="106">
        <v>2390</v>
      </c>
      <c r="Y247" s="106">
        <v>23900</v>
      </c>
      <c r="Z247" s="106" t="s">
        <v>817</v>
      </c>
      <c r="AA247" s="106">
        <f t="shared" si="13"/>
        <v>0</v>
      </c>
      <c r="AB247" s="106">
        <f t="shared" si="14"/>
        <v>0</v>
      </c>
      <c r="AC247" s="94"/>
      <c r="AD247" s="94"/>
      <c r="AE247" s="94"/>
      <c r="AF247" s="94"/>
      <c r="AG247" s="94"/>
      <c r="AH247" s="263"/>
    </row>
    <row r="248" spans="1:34" ht="26.25" customHeight="1">
      <c r="A248" s="83"/>
      <c r="B248" s="88"/>
      <c r="C248" s="2"/>
      <c r="D248" s="2"/>
      <c r="E248" s="94">
        <v>10</v>
      </c>
      <c r="F248" s="74">
        <v>800</v>
      </c>
      <c r="G248" s="45">
        <f t="shared" si="12"/>
        <v>8000</v>
      </c>
      <c r="H248" s="119" t="s">
        <v>37</v>
      </c>
      <c r="I248" s="128">
        <v>45311</v>
      </c>
      <c r="J248" s="74">
        <v>800</v>
      </c>
      <c r="K248" s="74">
        <f>10+8</f>
        <v>18</v>
      </c>
      <c r="L248" s="156">
        <v>45315</v>
      </c>
      <c r="M248" s="90">
        <v>8000</v>
      </c>
      <c r="N248" s="90">
        <v>95</v>
      </c>
      <c r="O248" s="90" t="s">
        <v>1547</v>
      </c>
      <c r="P248" s="94" t="s">
        <v>28</v>
      </c>
      <c r="Q248" s="94">
        <v>8500066851</v>
      </c>
      <c r="R248" s="94">
        <v>5000082845</v>
      </c>
      <c r="S248" s="94"/>
      <c r="T248" s="90" t="s">
        <v>87</v>
      </c>
      <c r="U248" s="90">
        <v>8500066850</v>
      </c>
      <c r="V248" s="90">
        <v>5000104064</v>
      </c>
      <c r="W248" s="376">
        <v>45338</v>
      </c>
      <c r="X248" s="106">
        <v>800</v>
      </c>
      <c r="Y248" s="106">
        <v>8000</v>
      </c>
      <c r="Z248" s="106" t="s">
        <v>197</v>
      </c>
      <c r="AA248" s="106">
        <f t="shared" si="13"/>
        <v>0</v>
      </c>
      <c r="AB248" s="106">
        <f t="shared" si="14"/>
        <v>0</v>
      </c>
      <c r="AC248" s="94"/>
      <c r="AD248" s="94"/>
      <c r="AE248" s="94"/>
      <c r="AF248" s="94"/>
      <c r="AG248" s="94"/>
      <c r="AH248" s="263"/>
    </row>
    <row r="249" spans="1:34" ht="26.25" customHeight="1">
      <c r="A249" s="83"/>
      <c r="B249" s="88"/>
      <c r="C249" s="2"/>
      <c r="D249" s="2"/>
      <c r="E249" s="94">
        <v>10</v>
      </c>
      <c r="F249" s="74">
        <v>340</v>
      </c>
      <c r="G249" s="45">
        <f t="shared" si="12"/>
        <v>3400</v>
      </c>
      <c r="H249" s="119" t="s">
        <v>146</v>
      </c>
      <c r="I249" s="128">
        <v>45311</v>
      </c>
      <c r="J249" s="158">
        <v>340</v>
      </c>
      <c r="K249" s="74">
        <f>10+6</f>
        <v>16</v>
      </c>
      <c r="L249" s="156">
        <v>45315</v>
      </c>
      <c r="M249" s="90">
        <v>3400</v>
      </c>
      <c r="N249" s="90">
        <v>49</v>
      </c>
      <c r="O249" s="90" t="s">
        <v>1580</v>
      </c>
      <c r="P249" s="94" t="s">
        <v>28</v>
      </c>
      <c r="Q249" s="94">
        <v>8500066851</v>
      </c>
      <c r="R249" s="94">
        <v>5000090725</v>
      </c>
      <c r="S249" s="94"/>
      <c r="T249" s="90" t="s">
        <v>87</v>
      </c>
      <c r="U249" s="90">
        <v>8500066850</v>
      </c>
      <c r="V249" s="90">
        <v>5000104064</v>
      </c>
      <c r="W249" s="376">
        <v>45348</v>
      </c>
      <c r="X249" s="106">
        <v>340</v>
      </c>
      <c r="Y249" s="106">
        <v>3400</v>
      </c>
      <c r="Z249" s="106" t="s">
        <v>754</v>
      </c>
      <c r="AA249" s="106">
        <f t="shared" si="13"/>
        <v>0</v>
      </c>
      <c r="AB249" s="106">
        <f t="shared" si="14"/>
        <v>0</v>
      </c>
      <c r="AC249" s="94"/>
      <c r="AD249" s="94"/>
      <c r="AE249" s="94"/>
      <c r="AF249" s="94"/>
      <c r="AG249" s="94"/>
      <c r="AH249" s="263"/>
    </row>
    <row r="250" spans="1:34" ht="26.25" customHeight="1">
      <c r="A250" s="83" t="s">
        <v>279</v>
      </c>
      <c r="B250" s="88">
        <v>6000027382</v>
      </c>
      <c r="C250" s="2" t="s">
        <v>2589</v>
      </c>
      <c r="D250" s="2" t="s">
        <v>2591</v>
      </c>
      <c r="E250" s="94">
        <v>10</v>
      </c>
      <c r="F250" s="74">
        <v>880</v>
      </c>
      <c r="G250" s="45">
        <f>F250*E250</f>
        <v>8800</v>
      </c>
      <c r="H250" s="119" t="s">
        <v>27</v>
      </c>
      <c r="I250" s="128">
        <v>45311</v>
      </c>
      <c r="J250" s="158">
        <v>880</v>
      </c>
      <c r="K250" s="74">
        <f>10+10</f>
        <v>20</v>
      </c>
      <c r="L250" s="156">
        <v>45316</v>
      </c>
      <c r="M250" s="90">
        <v>8800</v>
      </c>
      <c r="N250" s="90">
        <v>103</v>
      </c>
      <c r="O250" s="90" t="s">
        <v>1791</v>
      </c>
      <c r="P250" s="94" t="s">
        <v>28</v>
      </c>
      <c r="Q250" s="94">
        <v>8500066849</v>
      </c>
      <c r="R250" s="94">
        <v>5000082860</v>
      </c>
      <c r="S250" s="158">
        <v>880</v>
      </c>
      <c r="T250" s="90" t="s">
        <v>87</v>
      </c>
      <c r="U250" s="90">
        <v>8500066848</v>
      </c>
      <c r="V250" s="90">
        <v>5000105418</v>
      </c>
      <c r="W250" s="376" t="s">
        <v>2833</v>
      </c>
      <c r="X250" s="106">
        <f>200+680</f>
        <v>880</v>
      </c>
      <c r="Y250" s="106">
        <f>2000+6800</f>
        <v>8800</v>
      </c>
      <c r="Z250" s="106" t="s">
        <v>1470</v>
      </c>
      <c r="AA250" s="106">
        <f t="shared" si="13"/>
        <v>0</v>
      </c>
      <c r="AB250" s="106">
        <f t="shared" si="14"/>
        <v>0</v>
      </c>
      <c r="AC250" s="94"/>
      <c r="AD250" s="94"/>
      <c r="AE250" s="94"/>
      <c r="AF250" s="94"/>
      <c r="AG250" s="94"/>
      <c r="AH250" s="263"/>
    </row>
    <row r="251" spans="1:34" ht="26.25" customHeight="1">
      <c r="A251" s="83"/>
      <c r="B251" s="88"/>
      <c r="C251" s="2"/>
      <c r="D251" s="2"/>
      <c r="E251" s="94">
        <v>10</v>
      </c>
      <c r="F251" s="74">
        <v>2390</v>
      </c>
      <c r="G251" s="45">
        <f>F251*E251</f>
        <v>23900</v>
      </c>
      <c r="H251" s="119" t="s">
        <v>46</v>
      </c>
      <c r="I251" s="128">
        <v>45311</v>
      </c>
      <c r="J251" s="158">
        <v>2390</v>
      </c>
      <c r="K251" s="74">
        <f>10+25</f>
        <v>35</v>
      </c>
      <c r="L251" s="156">
        <v>45316</v>
      </c>
      <c r="M251" s="90">
        <v>23900</v>
      </c>
      <c r="N251" s="90">
        <v>254</v>
      </c>
      <c r="O251" s="90" t="s">
        <v>2645</v>
      </c>
      <c r="P251" s="94" t="s">
        <v>28</v>
      </c>
      <c r="Q251" s="94">
        <v>8500066849</v>
      </c>
      <c r="R251" s="94">
        <v>5000082919</v>
      </c>
      <c r="S251" s="158"/>
      <c r="T251" s="90" t="s">
        <v>87</v>
      </c>
      <c r="U251" s="90">
        <v>8500066848</v>
      </c>
      <c r="V251" s="90">
        <v>5000105418</v>
      </c>
      <c r="W251" s="376" t="s">
        <v>2801</v>
      </c>
      <c r="X251" s="106">
        <f>400+1990</f>
        <v>2390</v>
      </c>
      <c r="Y251" s="106">
        <f>4000+19900</f>
        <v>23900</v>
      </c>
      <c r="Z251" s="106" t="s">
        <v>1885</v>
      </c>
      <c r="AA251" s="106">
        <f t="shared" si="13"/>
        <v>0</v>
      </c>
      <c r="AB251" s="106">
        <f t="shared" si="14"/>
        <v>0</v>
      </c>
      <c r="AC251" s="94" t="s">
        <v>2823</v>
      </c>
      <c r="AD251" s="94"/>
      <c r="AE251" s="94"/>
      <c r="AF251" s="94"/>
      <c r="AG251" s="94"/>
      <c r="AH251" s="263"/>
    </row>
    <row r="252" spans="1:34" ht="26.25" customHeight="1">
      <c r="A252" s="83"/>
      <c r="B252" s="88"/>
      <c r="C252" s="2"/>
      <c r="D252" s="2"/>
      <c r="E252" s="94">
        <v>10</v>
      </c>
      <c r="F252" s="74">
        <v>800</v>
      </c>
      <c r="G252" s="45">
        <f>F252*E252</f>
        <v>8000</v>
      </c>
      <c r="H252" s="119" t="s">
        <v>37</v>
      </c>
      <c r="I252" s="128">
        <v>45311</v>
      </c>
      <c r="J252" s="158">
        <v>800</v>
      </c>
      <c r="K252" s="74">
        <f>10+8</f>
        <v>18</v>
      </c>
      <c r="L252" s="156">
        <v>45316</v>
      </c>
      <c r="M252" s="90">
        <v>8000</v>
      </c>
      <c r="N252" s="90">
        <v>95</v>
      </c>
      <c r="O252" s="90" t="s">
        <v>1743</v>
      </c>
      <c r="P252" s="94" t="s">
        <v>28</v>
      </c>
      <c r="Q252" s="94">
        <v>8500066849</v>
      </c>
      <c r="R252" s="94">
        <v>5000082860</v>
      </c>
      <c r="S252" s="158">
        <v>800</v>
      </c>
      <c r="T252" s="90" t="s">
        <v>87</v>
      </c>
      <c r="U252" s="90">
        <v>8500066848</v>
      </c>
      <c r="V252" s="90">
        <v>5000105418</v>
      </c>
      <c r="W252" s="376" t="s">
        <v>2833</v>
      </c>
      <c r="X252" s="106">
        <f>100+700</f>
        <v>800</v>
      </c>
      <c r="Y252" s="106">
        <f>1000+7000</f>
        <v>8000</v>
      </c>
      <c r="Z252" s="106" t="s">
        <v>2834</v>
      </c>
      <c r="AA252" s="106">
        <f t="shared" si="13"/>
        <v>0</v>
      </c>
      <c r="AB252" s="106">
        <f t="shared" si="14"/>
        <v>0</v>
      </c>
      <c r="AC252" s="94"/>
      <c r="AD252" s="94"/>
      <c r="AE252" s="94"/>
      <c r="AF252" s="94"/>
      <c r="AG252" s="94"/>
      <c r="AH252" s="263"/>
    </row>
    <row r="253" spans="1:34" ht="26.25" customHeight="1">
      <c r="A253" s="83"/>
      <c r="B253" s="88"/>
      <c r="C253" s="2"/>
      <c r="D253" s="2"/>
      <c r="E253" s="94">
        <v>10</v>
      </c>
      <c r="F253" s="74">
        <v>340</v>
      </c>
      <c r="G253" s="45">
        <f>F253*E253</f>
        <v>3400</v>
      </c>
      <c r="H253" s="119" t="s">
        <v>146</v>
      </c>
      <c r="I253" s="128">
        <v>45311</v>
      </c>
      <c r="J253" s="158">
        <v>340</v>
      </c>
      <c r="K253" s="74">
        <f>10+6</f>
        <v>16</v>
      </c>
      <c r="L253" s="156">
        <v>45315</v>
      </c>
      <c r="M253" s="90">
        <v>3400</v>
      </c>
      <c r="N253" s="90">
        <v>49</v>
      </c>
      <c r="O253" s="90" t="s">
        <v>1871</v>
      </c>
      <c r="P253" s="94" t="s">
        <v>28</v>
      </c>
      <c r="Q253" s="94">
        <v>8500066849</v>
      </c>
      <c r="R253" s="94">
        <v>5000090740</v>
      </c>
      <c r="S253" s="158">
        <v>340</v>
      </c>
      <c r="T253" s="90" t="s">
        <v>87</v>
      </c>
      <c r="U253" s="90">
        <v>8500066848</v>
      </c>
      <c r="V253" s="90">
        <v>5000104061</v>
      </c>
      <c r="W253" s="376" t="s">
        <v>2758</v>
      </c>
      <c r="X253" s="106">
        <f>200+140</f>
        <v>340</v>
      </c>
      <c r="Y253" s="106">
        <f>2000+1400</f>
        <v>3400</v>
      </c>
      <c r="Z253" s="106" t="s">
        <v>1785</v>
      </c>
      <c r="AA253" s="106">
        <f t="shared" si="13"/>
        <v>0</v>
      </c>
      <c r="AB253" s="106">
        <f t="shared" si="14"/>
        <v>0</v>
      </c>
      <c r="AC253" s="94"/>
      <c r="AD253" s="94"/>
      <c r="AE253" s="94"/>
      <c r="AF253" s="94"/>
      <c r="AG253" s="94"/>
      <c r="AH253" s="263"/>
    </row>
    <row r="254" spans="1:34" ht="26.25" customHeight="1">
      <c r="A254" s="83" t="s">
        <v>279</v>
      </c>
      <c r="B254" s="88">
        <v>6000027384</v>
      </c>
      <c r="C254" s="2" t="s">
        <v>2589</v>
      </c>
      <c r="D254" s="2" t="s">
        <v>2592</v>
      </c>
      <c r="E254" s="94">
        <v>10</v>
      </c>
      <c r="F254" s="74">
        <v>880</v>
      </c>
      <c r="G254" s="45">
        <f t="shared" ref="G254:G323" si="15">F254*E254</f>
        <v>8800</v>
      </c>
      <c r="H254" s="119" t="s">
        <v>27</v>
      </c>
      <c r="I254" s="128">
        <v>45616</v>
      </c>
      <c r="J254" s="74">
        <v>880</v>
      </c>
      <c r="K254" s="74">
        <f>10+10</f>
        <v>20</v>
      </c>
      <c r="L254" s="156">
        <v>45317</v>
      </c>
      <c r="M254" s="90">
        <v>8800</v>
      </c>
      <c r="N254" s="90">
        <v>103</v>
      </c>
      <c r="O254" s="90"/>
      <c r="P254" s="94" t="s">
        <v>28</v>
      </c>
      <c r="Q254" s="94">
        <v>8500066853</v>
      </c>
      <c r="R254" s="94">
        <v>5000082865</v>
      </c>
      <c r="S254" s="94"/>
      <c r="T254" s="90" t="s">
        <v>87</v>
      </c>
      <c r="U254" s="90">
        <v>8500066848</v>
      </c>
      <c r="V254" s="90">
        <v>5000123258</v>
      </c>
      <c r="W254" s="376">
        <v>45339</v>
      </c>
      <c r="X254" s="106">
        <v>880</v>
      </c>
      <c r="Y254" s="106">
        <v>8800</v>
      </c>
      <c r="Z254" s="106" t="s">
        <v>1502</v>
      </c>
      <c r="AA254" s="106">
        <f t="shared" si="13"/>
        <v>0</v>
      </c>
      <c r="AB254" s="106">
        <f t="shared" si="14"/>
        <v>0</v>
      </c>
      <c r="AC254" s="94"/>
      <c r="AD254" s="94"/>
      <c r="AE254" s="94"/>
      <c r="AF254" s="94"/>
      <c r="AG254" s="94"/>
      <c r="AH254" s="263"/>
    </row>
    <row r="255" spans="1:34" ht="26.25" customHeight="1">
      <c r="A255" s="83"/>
      <c r="B255" s="88"/>
      <c r="C255" s="2"/>
      <c r="D255" s="2"/>
      <c r="E255" s="94">
        <v>10</v>
      </c>
      <c r="F255" s="74">
        <v>2390</v>
      </c>
      <c r="G255" s="45">
        <f t="shared" si="15"/>
        <v>23900</v>
      </c>
      <c r="H255" s="119" t="s">
        <v>46</v>
      </c>
      <c r="I255" s="128">
        <v>45616</v>
      </c>
      <c r="J255" s="74">
        <v>2390</v>
      </c>
      <c r="K255" s="74">
        <f>10+25</f>
        <v>35</v>
      </c>
      <c r="L255" s="156">
        <v>45317</v>
      </c>
      <c r="M255" s="90">
        <v>23900</v>
      </c>
      <c r="N255" s="90">
        <v>354</v>
      </c>
      <c r="O255" s="90"/>
      <c r="P255" s="94" t="s">
        <v>28</v>
      </c>
      <c r="Q255" s="94">
        <v>8500066853</v>
      </c>
      <c r="R255" s="94">
        <v>5000082865</v>
      </c>
      <c r="S255" s="94"/>
      <c r="T255" s="90" t="s">
        <v>87</v>
      </c>
      <c r="U255" s="90">
        <v>8500066848</v>
      </c>
      <c r="V255" s="90">
        <v>5000123258</v>
      </c>
      <c r="W255" s="376">
        <v>45331</v>
      </c>
      <c r="X255" s="106">
        <v>2390</v>
      </c>
      <c r="Y255" s="106">
        <v>23900</v>
      </c>
      <c r="Z255" s="106" t="s">
        <v>817</v>
      </c>
      <c r="AA255" s="106">
        <f t="shared" si="13"/>
        <v>0</v>
      </c>
      <c r="AB255" s="106">
        <f t="shared" si="14"/>
        <v>0</v>
      </c>
      <c r="AC255" s="94"/>
      <c r="AD255" s="94"/>
      <c r="AE255" s="94"/>
      <c r="AF255" s="94"/>
      <c r="AG255" s="94"/>
      <c r="AH255" s="263"/>
    </row>
    <row r="256" spans="1:34" ht="26.25" customHeight="1">
      <c r="A256" s="83"/>
      <c r="B256" s="88"/>
      <c r="C256" s="2"/>
      <c r="D256" s="2"/>
      <c r="E256" s="94">
        <v>10</v>
      </c>
      <c r="F256" s="74">
        <v>800</v>
      </c>
      <c r="G256" s="45">
        <f t="shared" si="15"/>
        <v>8000</v>
      </c>
      <c r="H256" s="119" t="s">
        <v>37</v>
      </c>
      <c r="I256" s="128">
        <v>45616</v>
      </c>
      <c r="J256" s="74">
        <v>800</v>
      </c>
      <c r="K256" s="74">
        <f>10+9</f>
        <v>19</v>
      </c>
      <c r="L256" s="156">
        <v>45315</v>
      </c>
      <c r="M256" s="90">
        <v>8000</v>
      </c>
      <c r="N256" s="90">
        <v>95</v>
      </c>
      <c r="O256" s="90" t="s">
        <v>2037</v>
      </c>
      <c r="P256" s="94" t="s">
        <v>28</v>
      </c>
      <c r="Q256" s="94">
        <v>8500066853</v>
      </c>
      <c r="R256" s="94">
        <v>5000082865</v>
      </c>
      <c r="S256" s="94"/>
      <c r="T256" s="90" t="s">
        <v>87</v>
      </c>
      <c r="U256" s="90">
        <v>8500066850</v>
      </c>
      <c r="V256" s="90">
        <v>5000104067</v>
      </c>
      <c r="W256" s="376">
        <v>45339</v>
      </c>
      <c r="X256" s="106">
        <v>800</v>
      </c>
      <c r="Y256" s="106">
        <v>8000</v>
      </c>
      <c r="Z256" s="106" t="s">
        <v>197</v>
      </c>
      <c r="AA256" s="106">
        <f t="shared" si="13"/>
        <v>0</v>
      </c>
      <c r="AB256" s="106">
        <f t="shared" si="14"/>
        <v>0</v>
      </c>
      <c r="AC256" s="94"/>
      <c r="AD256" s="94"/>
      <c r="AE256" s="94"/>
      <c r="AF256" s="94"/>
      <c r="AG256" s="94"/>
      <c r="AH256" s="263"/>
    </row>
    <row r="257" spans="1:34" ht="26.25" customHeight="1">
      <c r="A257" s="83"/>
      <c r="B257" s="88"/>
      <c r="C257" s="2"/>
      <c r="D257" s="2"/>
      <c r="E257" s="94">
        <v>10</v>
      </c>
      <c r="F257" s="74">
        <v>340</v>
      </c>
      <c r="G257" s="45">
        <f t="shared" si="15"/>
        <v>3400</v>
      </c>
      <c r="H257" s="119" t="s">
        <v>146</v>
      </c>
      <c r="I257" s="128">
        <v>45616</v>
      </c>
      <c r="J257" s="74">
        <v>340</v>
      </c>
      <c r="K257" s="74">
        <f>10+5</f>
        <v>15</v>
      </c>
      <c r="L257" s="156">
        <v>45315</v>
      </c>
      <c r="M257" s="90">
        <v>3400</v>
      </c>
      <c r="N257" s="90">
        <v>49</v>
      </c>
      <c r="O257" s="90" t="s">
        <v>1387</v>
      </c>
      <c r="P257" s="94" t="s">
        <v>28</v>
      </c>
      <c r="Q257" s="94">
        <v>8500066853</v>
      </c>
      <c r="R257" s="94">
        <v>5000082865</v>
      </c>
      <c r="S257" s="94"/>
      <c r="T257" s="90" t="s">
        <v>87</v>
      </c>
      <c r="U257" s="90">
        <v>8500066850</v>
      </c>
      <c r="V257" s="90">
        <v>5000104067</v>
      </c>
      <c r="W257" s="376">
        <v>45350</v>
      </c>
      <c r="X257" s="106">
        <v>340</v>
      </c>
      <c r="Y257" s="106">
        <v>3400</v>
      </c>
      <c r="Z257" s="106" t="s">
        <v>800</v>
      </c>
      <c r="AA257" s="106">
        <f t="shared" si="13"/>
        <v>0</v>
      </c>
      <c r="AB257" s="106">
        <f t="shared" si="14"/>
        <v>0</v>
      </c>
      <c r="AC257" s="94"/>
      <c r="AD257" s="94"/>
      <c r="AE257" s="94"/>
      <c r="AF257" s="94"/>
      <c r="AG257" s="94"/>
      <c r="AH257" s="263"/>
    </row>
    <row r="258" spans="1:34" ht="26.25" customHeight="1">
      <c r="A258" s="83" t="s">
        <v>1481</v>
      </c>
      <c r="B258" s="88">
        <v>6000028229</v>
      </c>
      <c r="C258" s="2" t="s">
        <v>1480</v>
      </c>
      <c r="D258" s="2" t="s">
        <v>2593</v>
      </c>
      <c r="E258" s="94">
        <v>10</v>
      </c>
      <c r="F258" s="74">
        <v>760</v>
      </c>
      <c r="G258" s="45">
        <f t="shared" si="15"/>
        <v>7600</v>
      </c>
      <c r="H258" s="119" t="s">
        <v>27</v>
      </c>
      <c r="I258" s="128">
        <v>45311</v>
      </c>
      <c r="J258" s="74">
        <v>760</v>
      </c>
      <c r="K258" s="74">
        <v>18</v>
      </c>
      <c r="L258" s="156">
        <v>45314</v>
      </c>
      <c r="M258" s="90">
        <v>7600</v>
      </c>
      <c r="N258" s="90">
        <v>76</v>
      </c>
      <c r="O258" s="90" t="s">
        <v>1591</v>
      </c>
      <c r="P258" s="94" t="s">
        <v>28</v>
      </c>
      <c r="Q258" s="94">
        <v>8500066833</v>
      </c>
      <c r="R258" s="94">
        <v>5000091075</v>
      </c>
      <c r="S258" s="94"/>
      <c r="T258" s="90" t="s">
        <v>1558</v>
      </c>
      <c r="U258" s="90">
        <v>8500066832</v>
      </c>
      <c r="V258" s="90">
        <v>5000099677</v>
      </c>
      <c r="W258" s="376">
        <v>45350</v>
      </c>
      <c r="X258" s="106">
        <v>760</v>
      </c>
      <c r="Y258" s="106">
        <v>7600</v>
      </c>
      <c r="Z258" s="106" t="s">
        <v>803</v>
      </c>
      <c r="AA258" s="106">
        <f t="shared" si="13"/>
        <v>0</v>
      </c>
      <c r="AB258" s="106">
        <f t="shared" si="14"/>
        <v>0</v>
      </c>
      <c r="AC258" s="94"/>
      <c r="AD258" s="94"/>
      <c r="AE258" s="94"/>
      <c r="AF258" s="94"/>
      <c r="AG258" s="94"/>
      <c r="AH258" s="263"/>
    </row>
    <row r="259" spans="1:34" ht="26.25" customHeight="1">
      <c r="A259" s="83"/>
      <c r="B259" s="88"/>
      <c r="C259" s="2"/>
      <c r="D259" s="2"/>
      <c r="E259" s="94">
        <v>10</v>
      </c>
      <c r="F259" s="74">
        <v>1500</v>
      </c>
      <c r="G259" s="45">
        <f t="shared" si="15"/>
        <v>15000</v>
      </c>
      <c r="H259" s="119" t="s">
        <v>46</v>
      </c>
      <c r="I259" s="128">
        <v>45311</v>
      </c>
      <c r="J259" s="74">
        <v>1500</v>
      </c>
      <c r="K259" s="74">
        <v>20</v>
      </c>
      <c r="L259" s="156" t="s">
        <v>2630</v>
      </c>
      <c r="M259" s="90">
        <f>10200+4800</f>
        <v>15000</v>
      </c>
      <c r="N259" s="90">
        <v>150</v>
      </c>
      <c r="O259" s="90"/>
      <c r="P259" s="94" t="s">
        <v>28</v>
      </c>
      <c r="Q259" s="94">
        <v>8500066833</v>
      </c>
      <c r="R259" s="94">
        <v>5000091075</v>
      </c>
      <c r="S259" s="74">
        <v>1500</v>
      </c>
      <c r="T259" s="90" t="s">
        <v>1558</v>
      </c>
      <c r="U259" s="90">
        <v>8500066832</v>
      </c>
      <c r="V259" s="90">
        <v>5000099677</v>
      </c>
      <c r="W259" s="376" t="s">
        <v>2640</v>
      </c>
      <c r="X259" s="106">
        <f>1020+480</f>
        <v>1500</v>
      </c>
      <c r="Y259" s="106">
        <f>10200+4800</f>
        <v>15000</v>
      </c>
      <c r="Z259" s="106" t="s">
        <v>755</v>
      </c>
      <c r="AA259" s="106">
        <f t="shared" si="13"/>
        <v>0</v>
      </c>
      <c r="AB259" s="106">
        <f t="shared" si="14"/>
        <v>0</v>
      </c>
      <c r="AC259" s="94"/>
      <c r="AD259" s="94"/>
      <c r="AE259" s="94"/>
      <c r="AF259" s="94"/>
      <c r="AG259" s="94"/>
      <c r="AH259" s="263"/>
    </row>
    <row r="260" spans="1:34" ht="26.25" customHeight="1">
      <c r="A260" s="83"/>
      <c r="B260" s="88"/>
      <c r="C260" s="2"/>
      <c r="D260" s="2"/>
      <c r="E260" s="94">
        <v>10</v>
      </c>
      <c r="F260" s="74">
        <v>400</v>
      </c>
      <c r="G260" s="45">
        <f t="shared" si="15"/>
        <v>4000</v>
      </c>
      <c r="H260" s="119" t="s">
        <v>37</v>
      </c>
      <c r="I260" s="128">
        <v>45311</v>
      </c>
      <c r="J260" s="74">
        <v>400</v>
      </c>
      <c r="K260" s="74">
        <v>7</v>
      </c>
      <c r="L260" s="156">
        <v>45314</v>
      </c>
      <c r="M260" s="90">
        <v>4000</v>
      </c>
      <c r="N260" s="90">
        <v>40</v>
      </c>
      <c r="O260" s="90" t="s">
        <v>1813</v>
      </c>
      <c r="P260" s="94" t="s">
        <v>28</v>
      </c>
      <c r="Q260" s="94">
        <v>8500066833</v>
      </c>
      <c r="R260" s="94">
        <v>5000091075</v>
      </c>
      <c r="S260" s="94"/>
      <c r="T260" s="90" t="s">
        <v>1558</v>
      </c>
      <c r="U260" s="90">
        <v>8500066832</v>
      </c>
      <c r="V260" s="90">
        <v>5000099677</v>
      </c>
      <c r="W260" s="376">
        <v>45342</v>
      </c>
      <c r="X260" s="106">
        <v>400</v>
      </c>
      <c r="Y260" s="106">
        <v>4000</v>
      </c>
      <c r="Z260" s="106" t="s">
        <v>927</v>
      </c>
      <c r="AA260" s="106">
        <f t="shared" si="13"/>
        <v>0</v>
      </c>
      <c r="AB260" s="106">
        <f t="shared" si="14"/>
        <v>0</v>
      </c>
      <c r="AC260" s="94"/>
      <c r="AD260" s="94"/>
      <c r="AE260" s="94"/>
      <c r="AF260" s="94"/>
      <c r="AG260" s="94"/>
      <c r="AH260" s="263"/>
    </row>
    <row r="261" spans="1:34" ht="26.25" customHeight="1">
      <c r="A261" s="83" t="s">
        <v>591</v>
      </c>
      <c r="B261" s="88">
        <v>6000027718</v>
      </c>
      <c r="C261" s="2" t="s">
        <v>592</v>
      </c>
      <c r="D261" s="2">
        <v>6000027718</v>
      </c>
      <c r="E261" s="94">
        <v>10</v>
      </c>
      <c r="F261" s="74">
        <v>124</v>
      </c>
      <c r="G261" s="45">
        <f t="shared" si="15"/>
        <v>1240</v>
      </c>
      <c r="H261" s="119" t="s">
        <v>27</v>
      </c>
      <c r="I261" s="128">
        <v>45311</v>
      </c>
      <c r="J261" s="74">
        <v>124</v>
      </c>
      <c r="K261" s="74">
        <v>3</v>
      </c>
      <c r="L261" s="156">
        <v>45313</v>
      </c>
      <c r="M261" s="90">
        <v>1240</v>
      </c>
      <c r="N261" s="90">
        <v>12</v>
      </c>
      <c r="O261" s="90" t="s">
        <v>1351</v>
      </c>
      <c r="P261" s="94" t="s">
        <v>28</v>
      </c>
      <c r="Q261" s="94">
        <v>8500066811</v>
      </c>
      <c r="R261" s="94">
        <v>5000090741</v>
      </c>
      <c r="S261" s="74">
        <v>124</v>
      </c>
      <c r="T261" s="90" t="s">
        <v>1558</v>
      </c>
      <c r="U261" s="90">
        <v>8500066810</v>
      </c>
      <c r="V261" s="90">
        <v>5000091967</v>
      </c>
      <c r="W261" s="376">
        <v>45314</v>
      </c>
      <c r="X261" s="106">
        <v>124</v>
      </c>
      <c r="Y261" s="106">
        <v>1240</v>
      </c>
      <c r="Z261" s="106" t="s">
        <v>800</v>
      </c>
      <c r="AA261" s="106">
        <f t="shared" si="13"/>
        <v>0</v>
      </c>
      <c r="AB261" s="106">
        <f t="shared" si="14"/>
        <v>0</v>
      </c>
      <c r="AC261" s="94"/>
      <c r="AD261" s="94"/>
      <c r="AE261" s="94"/>
      <c r="AF261" s="94"/>
      <c r="AG261" s="94"/>
      <c r="AH261" s="263"/>
    </row>
    <row r="262" spans="1:34" ht="27.75" customHeight="1">
      <c r="A262" s="83"/>
      <c r="B262" s="88"/>
      <c r="C262" s="2"/>
      <c r="D262" s="2"/>
      <c r="E262" s="94">
        <v>10</v>
      </c>
      <c r="F262" s="74">
        <v>1696</v>
      </c>
      <c r="G262" s="45">
        <f t="shared" si="15"/>
        <v>16960</v>
      </c>
      <c r="H262" s="119" t="s">
        <v>46</v>
      </c>
      <c r="I262" s="128">
        <v>45311</v>
      </c>
      <c r="J262" s="74">
        <v>1696</v>
      </c>
      <c r="K262" s="74">
        <v>20</v>
      </c>
      <c r="L262" s="156">
        <v>45313</v>
      </c>
      <c r="M262" s="90">
        <v>16960</v>
      </c>
      <c r="N262" s="90">
        <v>170</v>
      </c>
      <c r="O262" s="90" t="s">
        <v>2605</v>
      </c>
      <c r="P262" s="94" t="s">
        <v>28</v>
      </c>
      <c r="Q262" s="94">
        <v>8500066811</v>
      </c>
      <c r="R262" s="94">
        <v>5000090741</v>
      </c>
      <c r="S262" s="74">
        <v>1696</v>
      </c>
      <c r="T262" s="90" t="s">
        <v>1558</v>
      </c>
      <c r="U262" s="90">
        <v>8500066810</v>
      </c>
      <c r="V262" s="90">
        <v>5000091967</v>
      </c>
      <c r="W262" s="376" t="s">
        <v>2836</v>
      </c>
      <c r="X262" s="106">
        <f>1080+616-35+35</f>
        <v>1696</v>
      </c>
      <c r="Y262" s="106">
        <f>10800+6160-350+350</f>
        <v>16960</v>
      </c>
      <c r="Z262" s="106" t="s">
        <v>2837</v>
      </c>
      <c r="AA262" s="106">
        <f t="shared" si="13"/>
        <v>0</v>
      </c>
      <c r="AB262" s="106">
        <f t="shared" si="14"/>
        <v>0</v>
      </c>
      <c r="AC262" s="94" t="s">
        <v>2828</v>
      </c>
      <c r="AD262" s="94"/>
      <c r="AE262" s="94"/>
      <c r="AF262" s="94"/>
      <c r="AG262" s="94"/>
      <c r="AH262" s="263"/>
    </row>
    <row r="263" spans="1:34" ht="26.25" customHeight="1">
      <c r="A263" s="83"/>
      <c r="B263" s="88"/>
      <c r="C263" s="2"/>
      <c r="D263" s="2"/>
      <c r="E263" s="94">
        <v>10</v>
      </c>
      <c r="F263" s="74">
        <v>4380</v>
      </c>
      <c r="G263" s="45">
        <f t="shared" si="15"/>
        <v>43800</v>
      </c>
      <c r="H263" s="119" t="s">
        <v>37</v>
      </c>
      <c r="I263" s="128">
        <v>45311</v>
      </c>
      <c r="J263" s="74">
        <v>4380</v>
      </c>
      <c r="K263" s="74">
        <f>25+1</f>
        <v>26</v>
      </c>
      <c r="L263" s="156" t="s">
        <v>2639</v>
      </c>
      <c r="M263" s="90">
        <f>30600+13200</f>
        <v>43800</v>
      </c>
      <c r="N263" s="90">
        <v>438</v>
      </c>
      <c r="O263" s="90" t="s">
        <v>2644</v>
      </c>
      <c r="P263" s="94" t="s">
        <v>28</v>
      </c>
      <c r="Q263" s="94">
        <v>8500066811</v>
      </c>
      <c r="R263" s="94">
        <v>5000082918</v>
      </c>
      <c r="S263" s="74">
        <v>4380</v>
      </c>
      <c r="T263" s="90" t="s">
        <v>1558</v>
      </c>
      <c r="U263" s="90">
        <v>8500066810</v>
      </c>
      <c r="V263" s="90">
        <v>5000090450</v>
      </c>
      <c r="W263" s="376" t="s">
        <v>2923</v>
      </c>
      <c r="X263" s="106">
        <f>1000+1254+600+1056-258+470+258</f>
        <v>4380</v>
      </c>
      <c r="Y263" s="106">
        <f>10000+12540+6000+10560-2580+4700+2580</f>
        <v>43800</v>
      </c>
      <c r="Z263" s="106" t="s">
        <v>2838</v>
      </c>
      <c r="AA263" s="106">
        <f t="shared" si="13"/>
        <v>0</v>
      </c>
      <c r="AB263" s="106">
        <f t="shared" si="14"/>
        <v>0</v>
      </c>
      <c r="AC263" s="94" t="s">
        <v>2829</v>
      </c>
      <c r="AD263" s="94"/>
      <c r="AE263" s="94"/>
      <c r="AF263" s="94"/>
      <c r="AG263" s="94"/>
      <c r="AH263" s="263"/>
    </row>
    <row r="264" spans="1:34" ht="26.25" customHeight="1">
      <c r="A264" s="83"/>
      <c r="B264" s="88"/>
      <c r="C264" s="2"/>
      <c r="D264" s="2"/>
      <c r="E264" s="94">
        <v>10</v>
      </c>
      <c r="F264" s="74">
        <v>2200</v>
      </c>
      <c r="G264" s="45">
        <f t="shared" si="15"/>
        <v>22000</v>
      </c>
      <c r="H264" s="119" t="s">
        <v>146</v>
      </c>
      <c r="I264" s="128">
        <v>45311</v>
      </c>
      <c r="J264" s="74">
        <v>2200</v>
      </c>
      <c r="K264" s="74">
        <v>23</v>
      </c>
      <c r="L264" s="156">
        <v>45313</v>
      </c>
      <c r="M264" s="90">
        <v>22000</v>
      </c>
      <c r="N264" s="90">
        <v>220</v>
      </c>
      <c r="O264" s="90" t="s">
        <v>1754</v>
      </c>
      <c r="P264" s="94" t="s">
        <v>28</v>
      </c>
      <c r="Q264" s="94">
        <v>8500066811</v>
      </c>
      <c r="R264" s="94">
        <v>5000090741</v>
      </c>
      <c r="S264" s="74">
        <v>2200</v>
      </c>
      <c r="T264" s="90" t="s">
        <v>1558</v>
      </c>
      <c r="U264" s="90">
        <v>8500066810</v>
      </c>
      <c r="V264" s="90">
        <v>5000091967</v>
      </c>
      <c r="W264" s="376" t="s">
        <v>2839</v>
      </c>
      <c r="X264" s="106">
        <f>2200-480+480</f>
        <v>2200</v>
      </c>
      <c r="Y264" s="106">
        <f>22000-4800+4800</f>
        <v>22000</v>
      </c>
      <c r="Z264" s="106" t="s">
        <v>2840</v>
      </c>
      <c r="AA264" s="106">
        <f t="shared" si="13"/>
        <v>0</v>
      </c>
      <c r="AB264" s="106">
        <f t="shared" si="14"/>
        <v>0</v>
      </c>
      <c r="AC264" s="94" t="s">
        <v>2830</v>
      </c>
      <c r="AD264" s="94"/>
      <c r="AE264" s="94"/>
      <c r="AF264" s="94"/>
      <c r="AG264" s="94"/>
      <c r="AH264" s="263"/>
    </row>
    <row r="265" spans="1:34" ht="26.25" customHeight="1">
      <c r="A265" s="83" t="s">
        <v>591</v>
      </c>
      <c r="B265" s="88">
        <v>6000027718</v>
      </c>
      <c r="C265" s="2" t="s">
        <v>600</v>
      </c>
      <c r="D265" s="2">
        <v>6000027718</v>
      </c>
      <c r="E265" s="94">
        <v>10</v>
      </c>
      <c r="F265" s="74">
        <v>318</v>
      </c>
      <c r="G265" s="45">
        <f t="shared" si="15"/>
        <v>3180</v>
      </c>
      <c r="H265" s="119" t="s">
        <v>46</v>
      </c>
      <c r="I265" s="128">
        <v>45311</v>
      </c>
      <c r="J265" s="74">
        <v>318</v>
      </c>
      <c r="K265" s="74">
        <v>9</v>
      </c>
      <c r="L265" s="156">
        <v>45313</v>
      </c>
      <c r="M265" s="90">
        <v>3180</v>
      </c>
      <c r="N265" s="90">
        <v>32</v>
      </c>
      <c r="O265" s="90" t="s">
        <v>795</v>
      </c>
      <c r="P265" s="94" t="s">
        <v>28</v>
      </c>
      <c r="Q265" s="94">
        <v>8500066813</v>
      </c>
      <c r="R265" s="94">
        <v>5000090742</v>
      </c>
      <c r="S265" s="74">
        <v>318</v>
      </c>
      <c r="T265" s="90" t="s">
        <v>1558</v>
      </c>
      <c r="U265" s="90">
        <v>8500066812</v>
      </c>
      <c r="V265" s="90">
        <v>5000091965</v>
      </c>
      <c r="W265" s="376">
        <v>45314</v>
      </c>
      <c r="X265" s="106">
        <v>318</v>
      </c>
      <c r="Y265" s="106">
        <v>3180</v>
      </c>
      <c r="Z265" s="106" t="s">
        <v>800</v>
      </c>
      <c r="AA265" s="106">
        <f t="shared" si="13"/>
        <v>0</v>
      </c>
      <c r="AB265" s="106">
        <f t="shared" si="14"/>
        <v>0</v>
      </c>
      <c r="AC265" s="94"/>
      <c r="AD265" s="94"/>
      <c r="AE265" s="94"/>
      <c r="AF265" s="94"/>
      <c r="AG265" s="94"/>
      <c r="AH265" s="263"/>
    </row>
    <row r="266" spans="1:34" ht="26.25" customHeight="1">
      <c r="A266" s="83"/>
      <c r="B266" s="88"/>
      <c r="C266" s="2"/>
      <c r="D266" s="2"/>
      <c r="E266" s="94">
        <v>10</v>
      </c>
      <c r="F266" s="74">
        <v>220</v>
      </c>
      <c r="G266" s="45">
        <f t="shared" si="15"/>
        <v>2200</v>
      </c>
      <c r="H266" s="119" t="s">
        <v>37</v>
      </c>
      <c r="I266" s="128">
        <v>45311</v>
      </c>
      <c r="J266" s="74">
        <v>220</v>
      </c>
      <c r="K266" s="74">
        <v>10</v>
      </c>
      <c r="L266" s="156">
        <v>45313</v>
      </c>
      <c r="M266" s="90">
        <v>2200</v>
      </c>
      <c r="N266" s="90">
        <v>22</v>
      </c>
      <c r="O266" s="90" t="s">
        <v>1637</v>
      </c>
      <c r="P266" s="94" t="s">
        <v>28</v>
      </c>
      <c r="Q266" s="94">
        <v>8500066813</v>
      </c>
      <c r="R266" s="94">
        <v>5000090742</v>
      </c>
      <c r="S266" s="74">
        <v>220</v>
      </c>
      <c r="T266" s="90" t="s">
        <v>1558</v>
      </c>
      <c r="U266" s="90">
        <v>8500066812</v>
      </c>
      <c r="V266" s="90">
        <v>5000091965</v>
      </c>
      <c r="W266" s="376">
        <v>45314</v>
      </c>
      <c r="X266" s="106">
        <v>220</v>
      </c>
      <c r="Y266" s="106">
        <v>2200</v>
      </c>
      <c r="Z266" s="106" t="s">
        <v>800</v>
      </c>
      <c r="AA266" s="106">
        <f t="shared" si="13"/>
        <v>0</v>
      </c>
      <c r="AB266" s="106">
        <f t="shared" si="14"/>
        <v>0</v>
      </c>
      <c r="AC266" s="94"/>
      <c r="AD266" s="94"/>
      <c r="AE266" s="94"/>
      <c r="AF266" s="94"/>
      <c r="AG266" s="94"/>
      <c r="AH266" s="263"/>
    </row>
    <row r="267" spans="1:34" ht="26.25" customHeight="1">
      <c r="A267" s="83"/>
      <c r="B267" s="88"/>
      <c r="C267" s="2"/>
      <c r="D267" s="2"/>
      <c r="E267" s="94">
        <v>10</v>
      </c>
      <c r="F267" s="74">
        <v>929</v>
      </c>
      <c r="G267" s="45">
        <f t="shared" si="15"/>
        <v>9290</v>
      </c>
      <c r="H267" s="119" t="s">
        <v>146</v>
      </c>
      <c r="I267" s="128">
        <v>45311</v>
      </c>
      <c r="J267" s="74">
        <v>929</v>
      </c>
      <c r="K267" s="74">
        <v>16</v>
      </c>
      <c r="L267" s="156">
        <v>45313</v>
      </c>
      <c r="M267" s="90">
        <v>9290</v>
      </c>
      <c r="N267" s="90">
        <v>93</v>
      </c>
      <c r="O267" s="90" t="s">
        <v>1754</v>
      </c>
      <c r="P267" s="94" t="s">
        <v>28</v>
      </c>
      <c r="Q267" s="94">
        <v>8500066815</v>
      </c>
      <c r="R267" s="94">
        <v>5000090743</v>
      </c>
      <c r="S267" s="74">
        <v>929</v>
      </c>
      <c r="T267" s="90" t="s">
        <v>1558</v>
      </c>
      <c r="U267" s="90">
        <v>8500066814</v>
      </c>
      <c r="V267" s="90">
        <v>5000091966</v>
      </c>
      <c r="W267" s="376" t="s">
        <v>2733</v>
      </c>
      <c r="X267" s="106">
        <f>405+524</f>
        <v>929</v>
      </c>
      <c r="Y267" s="106">
        <f>4050+5240</f>
        <v>9290</v>
      </c>
      <c r="Z267" s="106" t="s">
        <v>1785</v>
      </c>
      <c r="AA267" s="106">
        <f t="shared" si="13"/>
        <v>0</v>
      </c>
      <c r="AB267" s="106">
        <f t="shared" si="14"/>
        <v>0</v>
      </c>
      <c r="AC267" s="94"/>
      <c r="AD267" s="94"/>
      <c r="AE267" s="94"/>
      <c r="AF267" s="94"/>
      <c r="AG267" s="94"/>
      <c r="AH267" s="263"/>
    </row>
    <row r="268" spans="1:34" ht="26.25" customHeight="1">
      <c r="A268" s="83" t="s">
        <v>591</v>
      </c>
      <c r="B268" s="88">
        <v>6000027718</v>
      </c>
      <c r="C268" s="2" t="s">
        <v>612</v>
      </c>
      <c r="D268" s="2">
        <v>6000027718</v>
      </c>
      <c r="E268" s="94">
        <v>10</v>
      </c>
      <c r="F268" s="74">
        <v>712</v>
      </c>
      <c r="G268" s="45">
        <f t="shared" si="15"/>
        <v>7120</v>
      </c>
      <c r="H268" s="119" t="s">
        <v>27</v>
      </c>
      <c r="I268" s="128">
        <v>45311</v>
      </c>
      <c r="J268" s="74">
        <v>712</v>
      </c>
      <c r="K268" s="74">
        <v>8</v>
      </c>
      <c r="L268" s="156">
        <v>45311</v>
      </c>
      <c r="M268" s="90">
        <v>7120</v>
      </c>
      <c r="N268" s="90">
        <v>71</v>
      </c>
      <c r="O268" s="90"/>
      <c r="P268" s="94" t="s">
        <v>28</v>
      </c>
      <c r="Q268" s="94">
        <v>8500066817</v>
      </c>
      <c r="R268" s="94">
        <v>5000090566</v>
      </c>
      <c r="S268" s="74">
        <v>712</v>
      </c>
      <c r="T268" s="90" t="s">
        <v>1558</v>
      </c>
      <c r="U268" s="90">
        <v>8500066816</v>
      </c>
      <c r="V268" s="90">
        <v>5000090409</v>
      </c>
      <c r="W268" s="376" t="s">
        <v>2777</v>
      </c>
      <c r="X268" s="106">
        <f>250+462</f>
        <v>712</v>
      </c>
      <c r="Y268" s="106">
        <f>2500+4620</f>
        <v>7120</v>
      </c>
      <c r="Z268" s="106" t="s">
        <v>2778</v>
      </c>
      <c r="AA268" s="106">
        <f t="shared" si="13"/>
        <v>0</v>
      </c>
      <c r="AB268" s="106">
        <f t="shared" si="14"/>
        <v>0</v>
      </c>
      <c r="AC268" s="94"/>
      <c r="AD268" s="94"/>
      <c r="AE268" s="94"/>
      <c r="AF268" s="94"/>
      <c r="AG268" s="94"/>
      <c r="AH268" s="263"/>
    </row>
    <row r="269" spans="1:34" ht="26.25" customHeight="1">
      <c r="A269" s="83"/>
      <c r="B269" s="88"/>
      <c r="C269" s="2"/>
      <c r="D269" s="2"/>
      <c r="E269" s="94">
        <v>10</v>
      </c>
      <c r="F269" s="74">
        <v>5070</v>
      </c>
      <c r="G269" s="45">
        <f t="shared" si="15"/>
        <v>50700</v>
      </c>
      <c r="H269" s="119" t="s">
        <v>46</v>
      </c>
      <c r="I269" s="128" t="s">
        <v>2604</v>
      </c>
      <c r="J269" s="158">
        <f>3000+2070</f>
        <v>5070</v>
      </c>
      <c r="K269" s="74">
        <v>53</v>
      </c>
      <c r="L269" s="156">
        <v>45311</v>
      </c>
      <c r="M269" s="90">
        <v>50700</v>
      </c>
      <c r="N269" s="90">
        <v>507</v>
      </c>
      <c r="O269" s="90"/>
      <c r="P269" s="94" t="s">
        <v>28</v>
      </c>
      <c r="Q269" s="94">
        <v>8500066817</v>
      </c>
      <c r="R269" s="94">
        <v>5000090744</v>
      </c>
      <c r="S269" s="158">
        <f>3000+2070</f>
        <v>5070</v>
      </c>
      <c r="T269" s="90" t="s">
        <v>1558</v>
      </c>
      <c r="U269" s="90">
        <v>8500066816</v>
      </c>
      <c r="V269" s="90">
        <v>5000090409</v>
      </c>
      <c r="W269" s="376" t="s">
        <v>2797</v>
      </c>
      <c r="X269" s="106">
        <f>313+2200+2557</f>
        <v>5070</v>
      </c>
      <c r="Y269" s="106">
        <f>3130+22000+25570</f>
        <v>50700</v>
      </c>
      <c r="Z269" s="106" t="s">
        <v>2798</v>
      </c>
      <c r="AA269" s="106">
        <f t="shared" ref="AA269:AA335" si="16">J269-X269</f>
        <v>0</v>
      </c>
      <c r="AB269" s="106">
        <f t="shared" ref="AB269:AB335" si="17">M269-Y269</f>
        <v>0</v>
      </c>
      <c r="AC269" s="94"/>
      <c r="AD269" s="94"/>
      <c r="AE269" s="94"/>
      <c r="AF269" s="94"/>
      <c r="AG269" s="94"/>
      <c r="AH269" s="263"/>
    </row>
    <row r="270" spans="1:34" ht="26.25" customHeight="1">
      <c r="A270" s="83"/>
      <c r="B270" s="88"/>
      <c r="C270" s="2"/>
      <c r="D270" s="2"/>
      <c r="E270" s="94">
        <v>10</v>
      </c>
      <c r="F270" s="74">
        <v>5937</v>
      </c>
      <c r="G270" s="45">
        <f t="shared" si="15"/>
        <v>59370</v>
      </c>
      <c r="H270" s="119" t="s">
        <v>37</v>
      </c>
      <c r="I270" s="128">
        <v>45313</v>
      </c>
      <c r="J270" s="158">
        <f>4488+1449</f>
        <v>5937</v>
      </c>
      <c r="K270" s="74">
        <v>51</v>
      </c>
      <c r="L270" s="156">
        <v>45311</v>
      </c>
      <c r="M270" s="90">
        <f>30600+28770</f>
        <v>59370</v>
      </c>
      <c r="N270" s="90">
        <v>594</v>
      </c>
      <c r="O270" s="90"/>
      <c r="P270" s="94" t="s">
        <v>28</v>
      </c>
      <c r="Q270" s="94">
        <v>8500066817</v>
      </c>
      <c r="R270" s="94">
        <v>5000091838</v>
      </c>
      <c r="S270" s="158">
        <f>4488+1449</f>
        <v>5937</v>
      </c>
      <c r="T270" s="90" t="s">
        <v>1558</v>
      </c>
      <c r="U270" s="90">
        <v>8500066816</v>
      </c>
      <c r="V270" s="90">
        <v>5000090409</v>
      </c>
      <c r="W270" s="376" t="s">
        <v>2819</v>
      </c>
      <c r="X270" s="106">
        <f>2200+1787+1950</f>
        <v>5937</v>
      </c>
      <c r="Y270" s="106">
        <f>22000+17870+19500</f>
        <v>59370</v>
      </c>
      <c r="Z270" s="106" t="s">
        <v>2800</v>
      </c>
      <c r="AA270" s="106">
        <f t="shared" si="16"/>
        <v>0</v>
      </c>
      <c r="AB270" s="106">
        <f t="shared" si="17"/>
        <v>0</v>
      </c>
      <c r="AC270" s="94"/>
      <c r="AD270" s="94"/>
      <c r="AE270" s="94"/>
      <c r="AF270" s="94"/>
      <c r="AG270" s="94"/>
      <c r="AH270" s="263"/>
    </row>
    <row r="271" spans="1:34" ht="26.25" customHeight="1">
      <c r="A271" s="83"/>
      <c r="B271" s="88"/>
      <c r="C271" s="2"/>
      <c r="D271" s="2"/>
      <c r="E271" s="94">
        <v>10</v>
      </c>
      <c r="F271" s="74">
        <v>1118</v>
      </c>
      <c r="G271" s="45">
        <f t="shared" si="15"/>
        <v>11180</v>
      </c>
      <c r="H271" s="119" t="s">
        <v>146</v>
      </c>
      <c r="I271" s="128">
        <v>45311</v>
      </c>
      <c r="J271" s="74">
        <v>1118</v>
      </c>
      <c r="K271" s="74">
        <v>11</v>
      </c>
      <c r="L271" s="156">
        <v>45311</v>
      </c>
      <c r="M271" s="90">
        <v>11180</v>
      </c>
      <c r="N271" s="90">
        <v>112</v>
      </c>
      <c r="O271" s="90"/>
      <c r="P271" s="94" t="s">
        <v>28</v>
      </c>
      <c r="Q271" s="94">
        <v>8500066817</v>
      </c>
      <c r="R271" s="94">
        <v>5000090566</v>
      </c>
      <c r="S271" s="74">
        <v>1118</v>
      </c>
      <c r="T271" s="90" t="s">
        <v>1558</v>
      </c>
      <c r="U271" s="90">
        <v>8500066816</v>
      </c>
      <c r="V271" s="90">
        <v>5000090409</v>
      </c>
      <c r="W271" s="376">
        <v>45325</v>
      </c>
      <c r="X271" s="106">
        <v>1118</v>
      </c>
      <c r="Y271" s="106">
        <v>11180</v>
      </c>
      <c r="Z271" s="106" t="s">
        <v>759</v>
      </c>
      <c r="AA271" s="106">
        <f t="shared" si="16"/>
        <v>0</v>
      </c>
      <c r="AB271" s="106">
        <f t="shared" si="17"/>
        <v>0</v>
      </c>
      <c r="AC271" s="94"/>
      <c r="AD271" s="94"/>
      <c r="AE271" s="94"/>
      <c r="AF271" s="94"/>
      <c r="AG271" s="94"/>
      <c r="AH271" s="263"/>
    </row>
    <row r="272" spans="1:34" ht="26.25" customHeight="1">
      <c r="A272" s="83"/>
      <c r="B272" s="88"/>
      <c r="C272" s="2"/>
      <c r="D272" s="535" t="s">
        <v>2973</v>
      </c>
      <c r="E272" s="94"/>
      <c r="F272" s="74"/>
      <c r="G272" s="45"/>
      <c r="H272" s="119" t="s">
        <v>46</v>
      </c>
      <c r="I272" s="128">
        <v>45351</v>
      </c>
      <c r="J272" s="74">
        <v>935</v>
      </c>
      <c r="K272" s="74">
        <v>12</v>
      </c>
      <c r="L272" s="156">
        <v>45351</v>
      </c>
      <c r="M272" s="90">
        <v>9350</v>
      </c>
      <c r="N272" s="90">
        <v>94</v>
      </c>
      <c r="O272" s="90"/>
      <c r="P272" s="94" t="s">
        <v>28</v>
      </c>
      <c r="Q272" s="94">
        <v>8500068865</v>
      </c>
      <c r="R272" s="94">
        <v>5000239968</v>
      </c>
      <c r="S272" s="74"/>
      <c r="T272" s="90" t="s">
        <v>1558</v>
      </c>
      <c r="U272" s="90">
        <v>8500068864</v>
      </c>
      <c r="V272" s="90">
        <v>5000240004</v>
      </c>
      <c r="W272" s="376">
        <v>45352</v>
      </c>
      <c r="X272" s="106">
        <f>311+624</f>
        <v>935</v>
      </c>
      <c r="Y272" s="106">
        <f>3110+6240</f>
        <v>9350</v>
      </c>
      <c r="Z272" s="106" t="s">
        <v>800</v>
      </c>
      <c r="AA272" s="106">
        <f>J272-X272</f>
        <v>0</v>
      </c>
      <c r="AB272" s="106">
        <f>M272-Y272</f>
        <v>0</v>
      </c>
      <c r="AC272" s="486"/>
      <c r="AD272" s="94"/>
      <c r="AE272" s="94"/>
      <c r="AF272" s="94"/>
      <c r="AG272" s="94"/>
      <c r="AH272" s="263"/>
    </row>
    <row r="273" spans="1:34" ht="26.25" customHeight="1">
      <c r="A273" s="83"/>
      <c r="B273" s="88"/>
      <c r="C273" s="2"/>
      <c r="D273" s="536"/>
      <c r="E273" s="94"/>
      <c r="F273" s="74"/>
      <c r="G273" s="45"/>
      <c r="H273" s="119" t="s">
        <v>37</v>
      </c>
      <c r="I273" s="128">
        <v>45351</v>
      </c>
      <c r="J273" s="74">
        <v>1433</v>
      </c>
      <c r="K273" s="74">
        <f>14+3</f>
        <v>17</v>
      </c>
      <c r="L273" s="156">
        <v>45351</v>
      </c>
      <c r="M273" s="90">
        <v>14330</v>
      </c>
      <c r="N273" s="90">
        <v>143</v>
      </c>
      <c r="O273" s="90"/>
      <c r="P273" s="94" t="s">
        <v>28</v>
      </c>
      <c r="Q273" s="94">
        <v>8500068865</v>
      </c>
      <c r="R273" s="94">
        <v>5000239968</v>
      </c>
      <c r="S273" s="74"/>
      <c r="T273" s="90" t="s">
        <v>1558</v>
      </c>
      <c r="U273" s="90">
        <v>8500068864</v>
      </c>
      <c r="V273" s="90">
        <v>5000240004</v>
      </c>
      <c r="W273" s="376">
        <v>45352</v>
      </c>
      <c r="X273" s="106">
        <f>767+666</f>
        <v>1433</v>
      </c>
      <c r="Y273" s="106">
        <f>7670+6660</f>
        <v>14330</v>
      </c>
      <c r="Z273" s="106" t="s">
        <v>800</v>
      </c>
      <c r="AA273" s="106">
        <f>J273-X273</f>
        <v>0</v>
      </c>
      <c r="AB273" s="106">
        <f>M273-Y273</f>
        <v>0</v>
      </c>
      <c r="AC273" s="487"/>
      <c r="AD273" s="94"/>
      <c r="AE273" s="94"/>
      <c r="AF273" s="94"/>
      <c r="AG273" s="94"/>
      <c r="AH273" s="263"/>
    </row>
    <row r="274" spans="1:34" ht="26.25" customHeight="1">
      <c r="A274" s="83"/>
      <c r="B274" s="88"/>
      <c r="C274" s="2"/>
      <c r="D274" s="336"/>
      <c r="E274" s="94"/>
      <c r="F274" s="74"/>
      <c r="G274" s="45"/>
      <c r="H274" s="119" t="s">
        <v>146</v>
      </c>
      <c r="I274" s="128">
        <v>45351</v>
      </c>
      <c r="J274" s="74">
        <v>783</v>
      </c>
      <c r="K274" s="74">
        <f>8+1</f>
        <v>9</v>
      </c>
      <c r="L274" s="156">
        <v>45351</v>
      </c>
      <c r="M274" s="90">
        <v>7830</v>
      </c>
      <c r="N274" s="90">
        <v>78</v>
      </c>
      <c r="O274" s="90"/>
      <c r="P274" s="94" t="s">
        <v>28</v>
      </c>
      <c r="Q274" s="94">
        <v>8500068865</v>
      </c>
      <c r="R274" s="94">
        <v>5000241494</v>
      </c>
      <c r="S274" s="74"/>
      <c r="T274" s="90" t="s">
        <v>1558</v>
      </c>
      <c r="U274" s="90">
        <v>8500068864</v>
      </c>
      <c r="V274" s="90">
        <v>5000240004</v>
      </c>
      <c r="W274" s="376">
        <v>45352</v>
      </c>
      <c r="X274" s="106">
        <f>660+123</f>
        <v>783</v>
      </c>
      <c r="Y274" s="106">
        <f>6600+1230</f>
        <v>7830</v>
      </c>
      <c r="Z274" s="106" t="s">
        <v>800</v>
      </c>
      <c r="AA274" s="106">
        <f>J274-X274</f>
        <v>0</v>
      </c>
      <c r="AB274" s="106">
        <f>M274-Y274</f>
        <v>0</v>
      </c>
      <c r="AC274" s="334"/>
      <c r="AD274" s="94"/>
      <c r="AE274" s="94"/>
      <c r="AF274" s="94"/>
      <c r="AG274" s="94"/>
      <c r="AH274" s="263"/>
    </row>
    <row r="275" spans="1:34" ht="26.25" customHeight="1">
      <c r="A275" s="83" t="s">
        <v>652</v>
      </c>
      <c r="B275" s="88">
        <v>6000027784</v>
      </c>
      <c r="C275" s="2" t="s">
        <v>2060</v>
      </c>
      <c r="D275" s="2">
        <v>2342543</v>
      </c>
      <c r="E275" s="94">
        <v>10</v>
      </c>
      <c r="F275" s="74">
        <v>850</v>
      </c>
      <c r="G275" s="45">
        <f t="shared" si="15"/>
        <v>8500</v>
      </c>
      <c r="H275" s="119" t="s">
        <v>243</v>
      </c>
      <c r="I275" s="128">
        <v>45328</v>
      </c>
      <c r="J275" s="158">
        <v>850</v>
      </c>
      <c r="K275" s="74">
        <v>10</v>
      </c>
      <c r="L275" s="156">
        <v>45325</v>
      </c>
      <c r="M275" s="90">
        <v>8500</v>
      </c>
      <c r="N275" s="90">
        <v>100</v>
      </c>
      <c r="O275" s="90"/>
      <c r="P275" s="94" t="s">
        <v>160</v>
      </c>
      <c r="Q275" s="94">
        <v>85000066333</v>
      </c>
      <c r="R275" s="94">
        <v>5000156764</v>
      </c>
      <c r="S275" s="94"/>
      <c r="T275" s="90" t="s">
        <v>655</v>
      </c>
      <c r="U275" s="90">
        <v>8500066332</v>
      </c>
      <c r="V275" s="90">
        <v>5000145536</v>
      </c>
      <c r="W275" s="376" t="s">
        <v>3099</v>
      </c>
      <c r="X275" s="106">
        <f>670-107+180+107</f>
        <v>850</v>
      </c>
      <c r="Y275" s="106">
        <f>6700-1070+1800+1070</f>
        <v>8500</v>
      </c>
      <c r="Z275" s="106" t="s">
        <v>3098</v>
      </c>
      <c r="AA275" s="106">
        <f t="shared" si="16"/>
        <v>0</v>
      </c>
      <c r="AB275" s="106">
        <f t="shared" si="17"/>
        <v>0</v>
      </c>
      <c r="AC275" s="286" t="s">
        <v>3002</v>
      </c>
      <c r="AD275" s="94"/>
      <c r="AE275" s="94"/>
      <c r="AF275" s="94"/>
      <c r="AG275" s="94"/>
      <c r="AH275" s="263"/>
    </row>
    <row r="276" spans="1:34" ht="26.25" customHeight="1">
      <c r="A276" s="90"/>
      <c r="B276" s="88"/>
      <c r="C276" s="531" t="s">
        <v>2594</v>
      </c>
      <c r="D276" s="532"/>
      <c r="E276" s="94">
        <v>10</v>
      </c>
      <c r="F276" s="74">
        <v>1100</v>
      </c>
      <c r="G276" s="45">
        <f t="shared" si="15"/>
        <v>11000</v>
      </c>
      <c r="H276" s="119" t="s">
        <v>27</v>
      </c>
      <c r="I276" s="128">
        <v>45328</v>
      </c>
      <c r="J276" s="158">
        <v>1100</v>
      </c>
      <c r="K276" s="74">
        <f>14+2</f>
        <v>16</v>
      </c>
      <c r="L276" s="156">
        <v>45325</v>
      </c>
      <c r="M276" s="90">
        <v>11000</v>
      </c>
      <c r="N276" s="90">
        <v>100</v>
      </c>
      <c r="O276" s="90"/>
      <c r="P276" s="94" t="s">
        <v>160</v>
      </c>
      <c r="Q276" s="94">
        <v>8500066333</v>
      </c>
      <c r="R276" s="94">
        <v>5000161475</v>
      </c>
      <c r="S276" s="94"/>
      <c r="T276" s="90" t="s">
        <v>655</v>
      </c>
      <c r="U276" s="90">
        <v>8500066332</v>
      </c>
      <c r="V276" s="90">
        <v>5000145536</v>
      </c>
      <c r="W276" s="376">
        <v>45353</v>
      </c>
      <c r="X276" s="106">
        <v>1100</v>
      </c>
      <c r="Y276" s="106">
        <v>11000</v>
      </c>
      <c r="Z276" s="106" t="s">
        <v>1502</v>
      </c>
      <c r="AA276" s="106">
        <f t="shared" si="16"/>
        <v>0</v>
      </c>
      <c r="AB276" s="106">
        <f t="shared" si="17"/>
        <v>0</v>
      </c>
      <c r="AC276" s="94"/>
      <c r="AD276" s="94"/>
      <c r="AE276" s="94"/>
      <c r="AF276" s="94"/>
      <c r="AG276" s="94"/>
      <c r="AH276" s="263"/>
    </row>
    <row r="277" spans="1:34" ht="29.25" customHeight="1">
      <c r="A277" s="90"/>
      <c r="B277" s="88"/>
      <c r="C277" s="94"/>
      <c r="D277" s="95"/>
      <c r="E277" s="94">
        <v>10</v>
      </c>
      <c r="F277" s="74">
        <v>800</v>
      </c>
      <c r="G277" s="45">
        <f t="shared" si="15"/>
        <v>8000</v>
      </c>
      <c r="H277" s="119" t="s">
        <v>46</v>
      </c>
      <c r="I277" s="128">
        <v>45344</v>
      </c>
      <c r="J277" s="74">
        <v>800</v>
      </c>
      <c r="K277" s="74">
        <f>10+3</f>
        <v>13</v>
      </c>
      <c r="L277" s="156">
        <v>45325</v>
      </c>
      <c r="M277" s="90">
        <v>8000</v>
      </c>
      <c r="N277" s="90">
        <v>100</v>
      </c>
      <c r="O277" s="90"/>
      <c r="P277" s="94" t="s">
        <v>160</v>
      </c>
      <c r="Q277" s="94">
        <v>8500066333</v>
      </c>
      <c r="R277" s="94">
        <v>5000207046</v>
      </c>
      <c r="S277" s="94"/>
      <c r="T277" s="90" t="s">
        <v>655</v>
      </c>
      <c r="U277" s="90">
        <v>8500066332</v>
      </c>
      <c r="V277" s="90">
        <v>5000145536</v>
      </c>
      <c r="W277" s="376" t="s">
        <v>2958</v>
      </c>
      <c r="X277" s="106">
        <f>300+500</f>
        <v>800</v>
      </c>
      <c r="Y277" s="106">
        <f>3000+5000</f>
        <v>8000</v>
      </c>
      <c r="Z277" s="106" t="s">
        <v>2653</v>
      </c>
      <c r="AA277" s="106">
        <f t="shared" si="16"/>
        <v>0</v>
      </c>
      <c r="AB277" s="106">
        <f t="shared" si="17"/>
        <v>0</v>
      </c>
      <c r="AC277" s="94"/>
      <c r="AD277" s="94"/>
      <c r="AE277" s="94"/>
      <c r="AF277" s="94"/>
      <c r="AG277" s="94"/>
      <c r="AH277" s="263"/>
    </row>
    <row r="278" spans="1:34" ht="26.25" customHeight="1">
      <c r="A278" s="90"/>
      <c r="B278" s="88"/>
      <c r="C278" s="94"/>
      <c r="D278" s="95"/>
      <c r="E278" s="94">
        <v>10</v>
      </c>
      <c r="F278" s="74">
        <v>1300</v>
      </c>
      <c r="G278" s="45">
        <f t="shared" si="15"/>
        <v>13000</v>
      </c>
      <c r="H278" s="119" t="s">
        <v>146</v>
      </c>
      <c r="I278" s="128">
        <v>45344</v>
      </c>
      <c r="J278" s="74">
        <v>1300</v>
      </c>
      <c r="K278" s="74">
        <v>15</v>
      </c>
      <c r="L278" s="156">
        <v>45325</v>
      </c>
      <c r="M278" s="90">
        <v>13000</v>
      </c>
      <c r="N278" s="90">
        <v>100</v>
      </c>
      <c r="O278" s="90"/>
      <c r="P278" s="94" t="s">
        <v>160</v>
      </c>
      <c r="Q278" s="94">
        <v>8500066333</v>
      </c>
      <c r="R278" s="94">
        <v>5000207046</v>
      </c>
      <c r="S278" s="94"/>
      <c r="T278" s="90" t="s">
        <v>655</v>
      </c>
      <c r="U278" s="90">
        <v>8500066332</v>
      </c>
      <c r="V278" s="90">
        <v>5000145536</v>
      </c>
      <c r="W278" s="376">
        <v>45353</v>
      </c>
      <c r="X278" s="106">
        <v>1300</v>
      </c>
      <c r="Y278" s="106">
        <v>13000</v>
      </c>
      <c r="Z278" s="106" t="s">
        <v>798</v>
      </c>
      <c r="AA278" s="106">
        <f t="shared" si="16"/>
        <v>0</v>
      </c>
      <c r="AB278" s="106">
        <f t="shared" si="17"/>
        <v>0</v>
      </c>
      <c r="AC278" s="94"/>
      <c r="AD278" s="94"/>
      <c r="AE278" s="94"/>
      <c r="AF278" s="94"/>
      <c r="AG278" s="94"/>
      <c r="AH278" s="263"/>
    </row>
    <row r="279" spans="1:34" ht="26.25" customHeight="1">
      <c r="A279" s="83" t="s">
        <v>645</v>
      </c>
      <c r="B279" s="88">
        <v>6000028180</v>
      </c>
      <c r="C279" s="2" t="s">
        <v>1874</v>
      </c>
      <c r="D279" s="2" t="s">
        <v>2595</v>
      </c>
      <c r="E279" s="94">
        <v>10</v>
      </c>
      <c r="F279" s="277">
        <v>105</v>
      </c>
      <c r="G279" s="278">
        <f t="shared" si="15"/>
        <v>1050</v>
      </c>
      <c r="H279" s="279" t="s">
        <v>27</v>
      </c>
      <c r="I279" s="280" t="s">
        <v>2596</v>
      </c>
      <c r="J279" s="158"/>
      <c r="K279" s="74"/>
      <c r="L279" s="162"/>
      <c r="M279" s="90"/>
      <c r="N279" s="90"/>
      <c r="O279" s="90"/>
      <c r="P279" s="94" t="s">
        <v>895</v>
      </c>
      <c r="Q279" s="94">
        <v>8500066986</v>
      </c>
      <c r="R279" s="94">
        <v>5000177344</v>
      </c>
      <c r="S279" s="94"/>
      <c r="T279" s="90"/>
      <c r="U279" s="90"/>
      <c r="V279" s="90"/>
      <c r="W279" s="375"/>
      <c r="X279" s="106"/>
      <c r="Y279" s="106"/>
      <c r="Z279" s="106"/>
      <c r="AA279" s="106">
        <f t="shared" si="16"/>
        <v>0</v>
      </c>
      <c r="AB279" s="106">
        <f t="shared" si="17"/>
        <v>0</v>
      </c>
      <c r="AC279" s="94"/>
      <c r="AD279" s="94"/>
      <c r="AE279" s="94"/>
      <c r="AF279" s="94"/>
      <c r="AG279" s="94"/>
      <c r="AH279" s="263"/>
    </row>
    <row r="280" spans="1:34" ht="27" customHeight="1">
      <c r="A280" s="90"/>
      <c r="B280" s="88"/>
      <c r="C280" s="83"/>
      <c r="D280" s="88"/>
      <c r="E280" s="2">
        <v>10</v>
      </c>
      <c r="F280" s="285">
        <v>319</v>
      </c>
      <c r="G280" s="278">
        <f t="shared" si="15"/>
        <v>3190</v>
      </c>
      <c r="H280" s="279" t="s">
        <v>46</v>
      </c>
      <c r="I280" s="280" t="s">
        <v>895</v>
      </c>
      <c r="J280" s="158"/>
      <c r="K280" s="74"/>
      <c r="L280" s="162"/>
      <c r="M280" s="90"/>
      <c r="N280" s="90"/>
      <c r="O280" s="90"/>
      <c r="P280" s="94" t="s">
        <v>895</v>
      </c>
      <c r="Q280" s="94">
        <v>8500066986</v>
      </c>
      <c r="R280" s="94">
        <v>5000177344</v>
      </c>
      <c r="S280" s="94"/>
      <c r="T280" s="90"/>
      <c r="U280" s="90"/>
      <c r="V280" s="90"/>
      <c r="W280" s="375"/>
      <c r="X280" s="106"/>
      <c r="Y280" s="106"/>
      <c r="Z280" s="106"/>
      <c r="AA280" s="106">
        <f t="shared" si="16"/>
        <v>0</v>
      </c>
      <c r="AB280" s="106">
        <f t="shared" si="17"/>
        <v>0</v>
      </c>
      <c r="AC280" s="94"/>
      <c r="AD280" s="94"/>
      <c r="AE280" s="94"/>
      <c r="AF280" s="94"/>
      <c r="AG280" s="94"/>
      <c r="AH280" s="263"/>
    </row>
    <row r="281" spans="1:34" ht="26.25" customHeight="1">
      <c r="A281" s="90"/>
      <c r="B281" s="88"/>
      <c r="C281" s="83"/>
      <c r="D281" s="88"/>
      <c r="E281" s="2">
        <v>10</v>
      </c>
      <c r="F281" s="2">
        <v>100</v>
      </c>
      <c r="G281" s="45">
        <f t="shared" si="15"/>
        <v>1000</v>
      </c>
      <c r="H281" s="119" t="s">
        <v>146</v>
      </c>
      <c r="I281" s="128">
        <v>45344</v>
      </c>
      <c r="J281" s="158">
        <v>100</v>
      </c>
      <c r="K281" s="74">
        <v>3</v>
      </c>
      <c r="L281" s="156">
        <v>45325</v>
      </c>
      <c r="M281" s="90">
        <v>1000</v>
      </c>
      <c r="N281" s="90">
        <v>20</v>
      </c>
      <c r="O281" s="90"/>
      <c r="P281" s="94" t="s">
        <v>160</v>
      </c>
      <c r="Q281" s="94">
        <v>8500066986</v>
      </c>
      <c r="R281" s="94">
        <v>5000208284</v>
      </c>
      <c r="S281" s="94"/>
      <c r="T281" s="90" t="s">
        <v>655</v>
      </c>
      <c r="U281" s="90">
        <v>8500066985</v>
      </c>
      <c r="V281" s="90">
        <v>5000145562</v>
      </c>
      <c r="W281" s="376">
        <v>45345</v>
      </c>
      <c r="X281" s="106">
        <v>100</v>
      </c>
      <c r="Y281" s="106">
        <v>1000</v>
      </c>
      <c r="Z281" s="106" t="s">
        <v>800</v>
      </c>
      <c r="AA281" s="106">
        <f t="shared" si="16"/>
        <v>0</v>
      </c>
      <c r="AB281" s="106">
        <f t="shared" si="17"/>
        <v>0</v>
      </c>
      <c r="AC281" s="94"/>
      <c r="AD281" s="94"/>
      <c r="AE281" s="94"/>
      <c r="AF281" s="94"/>
      <c r="AG281" s="94"/>
      <c r="AH281" s="263"/>
    </row>
    <row r="282" spans="1:34" ht="26.25" customHeight="1">
      <c r="A282" s="83" t="s">
        <v>652</v>
      </c>
      <c r="B282" s="88">
        <v>6000027791</v>
      </c>
      <c r="C282" s="2" t="s">
        <v>2119</v>
      </c>
      <c r="D282" s="2">
        <v>2342556</v>
      </c>
      <c r="E282" s="2">
        <v>10</v>
      </c>
      <c r="F282" s="2">
        <v>200</v>
      </c>
      <c r="G282" s="45">
        <f t="shared" si="15"/>
        <v>2000</v>
      </c>
      <c r="H282" s="119" t="s">
        <v>243</v>
      </c>
      <c r="I282" s="128">
        <v>45314</v>
      </c>
      <c r="J282" s="2">
        <v>200</v>
      </c>
      <c r="K282" s="74">
        <v>3</v>
      </c>
      <c r="L282" s="156">
        <v>44228</v>
      </c>
      <c r="M282" s="90">
        <v>2000</v>
      </c>
      <c r="N282" s="90">
        <v>50</v>
      </c>
      <c r="O282" s="90" t="s">
        <v>1871</v>
      </c>
      <c r="P282" s="94" t="s">
        <v>28</v>
      </c>
      <c r="Q282" s="94">
        <v>8500066313</v>
      </c>
      <c r="R282" s="94">
        <v>5000096554</v>
      </c>
      <c r="S282" s="2"/>
      <c r="T282" s="90" t="s">
        <v>655</v>
      </c>
      <c r="U282" s="90">
        <v>8500066312</v>
      </c>
      <c r="V282" s="90">
        <v>5000139448</v>
      </c>
      <c r="W282" s="376" t="s">
        <v>3143</v>
      </c>
      <c r="X282" s="106">
        <f>50+150</f>
        <v>200</v>
      </c>
      <c r="Y282" s="106">
        <f>500+1500</f>
        <v>2000</v>
      </c>
      <c r="Z282" s="106" t="s">
        <v>2735</v>
      </c>
      <c r="AA282" s="106">
        <f t="shared" si="16"/>
        <v>0</v>
      </c>
      <c r="AB282" s="106">
        <f t="shared" si="17"/>
        <v>0</v>
      </c>
      <c r="AC282" s="94"/>
      <c r="AD282" s="94"/>
      <c r="AE282" s="94"/>
      <c r="AF282" s="94"/>
      <c r="AG282" s="94"/>
      <c r="AH282" s="263"/>
    </row>
    <row r="283" spans="1:34" ht="26.25" customHeight="1">
      <c r="A283" s="83"/>
      <c r="B283" s="88"/>
      <c r="C283" s="529" t="s">
        <v>2597</v>
      </c>
      <c r="D283" s="530"/>
      <c r="E283" s="2">
        <v>10</v>
      </c>
      <c r="F283" s="2">
        <v>800</v>
      </c>
      <c r="G283" s="45">
        <f t="shared" si="15"/>
        <v>8000</v>
      </c>
      <c r="H283" s="119" t="s">
        <v>27</v>
      </c>
      <c r="I283" s="128">
        <v>45314</v>
      </c>
      <c r="J283" s="2">
        <v>800</v>
      </c>
      <c r="K283" s="74">
        <v>10</v>
      </c>
      <c r="L283" s="156">
        <v>44228</v>
      </c>
      <c r="M283" s="90">
        <v>8000</v>
      </c>
      <c r="N283" s="90">
        <v>100</v>
      </c>
      <c r="O283" s="90"/>
      <c r="P283" s="94" t="s">
        <v>28</v>
      </c>
      <c r="Q283" s="94">
        <v>8500066313</v>
      </c>
      <c r="R283" s="94">
        <v>5000096554</v>
      </c>
      <c r="S283" s="2"/>
      <c r="T283" s="90" t="s">
        <v>655</v>
      </c>
      <c r="U283" s="90">
        <v>8500066312</v>
      </c>
      <c r="V283" s="90">
        <v>5000139448</v>
      </c>
      <c r="W283" s="376">
        <v>45348</v>
      </c>
      <c r="X283" s="106">
        <v>800</v>
      </c>
      <c r="Y283" s="106">
        <v>8000</v>
      </c>
      <c r="Z283" s="106" t="s">
        <v>1980</v>
      </c>
      <c r="AA283" s="106">
        <f t="shared" si="16"/>
        <v>0</v>
      </c>
      <c r="AB283" s="106">
        <f t="shared" si="17"/>
        <v>0</v>
      </c>
      <c r="AC283" s="94"/>
      <c r="AD283" s="94"/>
      <c r="AE283" s="94"/>
      <c r="AF283" s="94"/>
      <c r="AG283" s="94"/>
      <c r="AH283" s="263"/>
    </row>
    <row r="284" spans="1:34" ht="26.25" customHeight="1">
      <c r="A284" s="83"/>
      <c r="B284" s="88"/>
      <c r="C284" s="2"/>
      <c r="D284" s="2"/>
      <c r="E284" s="2">
        <v>10</v>
      </c>
      <c r="F284" s="2">
        <v>1300</v>
      </c>
      <c r="G284" s="45">
        <f t="shared" si="15"/>
        <v>13000</v>
      </c>
      <c r="H284" s="119" t="s">
        <v>46</v>
      </c>
      <c r="I284" s="128">
        <v>45314</v>
      </c>
      <c r="J284" s="2">
        <v>1300</v>
      </c>
      <c r="K284" s="74">
        <v>16</v>
      </c>
      <c r="L284" s="156">
        <v>44228</v>
      </c>
      <c r="M284" s="90">
        <v>13000</v>
      </c>
      <c r="N284" s="90">
        <v>89</v>
      </c>
      <c r="O284" s="90"/>
      <c r="P284" s="94" t="s">
        <v>28</v>
      </c>
      <c r="Q284" s="94">
        <v>8500066313</v>
      </c>
      <c r="R284" s="94">
        <v>5000096554</v>
      </c>
      <c r="S284" s="2">
        <v>1300</v>
      </c>
      <c r="T284" s="90" t="s">
        <v>655</v>
      </c>
      <c r="U284" s="90">
        <v>8500066312</v>
      </c>
      <c r="V284" s="90">
        <v>5000139448</v>
      </c>
      <c r="W284" s="376">
        <v>45345</v>
      </c>
      <c r="X284" s="106">
        <v>1300</v>
      </c>
      <c r="Y284" s="106">
        <v>13000</v>
      </c>
      <c r="Z284" s="106" t="s">
        <v>1980</v>
      </c>
      <c r="AA284" s="106">
        <f t="shared" si="16"/>
        <v>0</v>
      </c>
      <c r="AB284" s="106">
        <f t="shared" si="17"/>
        <v>0</v>
      </c>
      <c r="AC284" s="94"/>
      <c r="AD284" s="94"/>
      <c r="AE284" s="94"/>
      <c r="AF284" s="94"/>
      <c r="AG284" s="94"/>
      <c r="AH284" s="263"/>
    </row>
    <row r="285" spans="1:34" ht="27" customHeight="1">
      <c r="A285" s="83"/>
      <c r="B285" s="88"/>
      <c r="C285" s="2"/>
      <c r="D285" s="2"/>
      <c r="E285" s="2">
        <v>10</v>
      </c>
      <c r="F285" s="2">
        <v>1000</v>
      </c>
      <c r="G285" s="45">
        <f t="shared" si="15"/>
        <v>10000</v>
      </c>
      <c r="H285" s="119" t="s">
        <v>37</v>
      </c>
      <c r="I285" s="128">
        <v>45314</v>
      </c>
      <c r="J285" s="2">
        <v>1000</v>
      </c>
      <c r="K285" s="74">
        <v>10</v>
      </c>
      <c r="L285" s="156" t="s">
        <v>2763</v>
      </c>
      <c r="M285" s="90">
        <f>5400+4600</f>
        <v>10000</v>
      </c>
      <c r="N285" s="90">
        <v>100</v>
      </c>
      <c r="O285" s="90" t="s">
        <v>2609</v>
      </c>
      <c r="P285" s="94" t="s">
        <v>28</v>
      </c>
      <c r="Q285" s="94">
        <v>8500066313</v>
      </c>
      <c r="R285" s="94">
        <v>5000096554</v>
      </c>
      <c r="S285" s="2"/>
      <c r="T285" s="90" t="s">
        <v>655</v>
      </c>
      <c r="U285" s="90">
        <v>8500066312</v>
      </c>
      <c r="V285" s="90">
        <v>5000139448</v>
      </c>
      <c r="W285" s="376">
        <v>45362</v>
      </c>
      <c r="X285" s="106">
        <v>1000</v>
      </c>
      <c r="Y285" s="106">
        <v>10000</v>
      </c>
      <c r="Z285" s="106" t="s">
        <v>2668</v>
      </c>
      <c r="AA285" s="106">
        <f t="shared" si="16"/>
        <v>0</v>
      </c>
      <c r="AB285" s="106">
        <f t="shared" si="17"/>
        <v>0</v>
      </c>
      <c r="AC285" s="94"/>
      <c r="AD285" s="94"/>
      <c r="AE285" s="94"/>
      <c r="AF285" s="94"/>
      <c r="AG285" s="94"/>
      <c r="AH285" s="263"/>
    </row>
    <row r="286" spans="1:34" ht="26.25" customHeight="1">
      <c r="A286" s="83"/>
      <c r="B286" s="88"/>
      <c r="C286" s="2"/>
      <c r="D286" s="2"/>
      <c r="E286" s="2">
        <v>10</v>
      </c>
      <c r="F286" s="2">
        <v>150</v>
      </c>
      <c r="G286" s="45">
        <f t="shared" si="15"/>
        <v>1500</v>
      </c>
      <c r="H286" s="119" t="s">
        <v>146</v>
      </c>
      <c r="I286" s="128">
        <v>45314</v>
      </c>
      <c r="J286" s="2">
        <v>150</v>
      </c>
      <c r="K286" s="74">
        <v>2</v>
      </c>
      <c r="L286" s="156">
        <v>45323</v>
      </c>
      <c r="M286" s="90">
        <v>1500</v>
      </c>
      <c r="N286" s="90">
        <v>30</v>
      </c>
      <c r="O286" s="90" t="s">
        <v>1871</v>
      </c>
      <c r="P286" s="94" t="s">
        <v>28</v>
      </c>
      <c r="Q286" s="94">
        <v>8500066313</v>
      </c>
      <c r="R286" s="94">
        <v>5000096554</v>
      </c>
      <c r="S286" s="94"/>
      <c r="T286" s="90" t="s">
        <v>655</v>
      </c>
      <c r="U286" s="90">
        <v>8500066312</v>
      </c>
      <c r="V286" s="90">
        <v>5000139448</v>
      </c>
      <c r="W286" s="376">
        <v>45365</v>
      </c>
      <c r="X286" s="106">
        <v>150</v>
      </c>
      <c r="Y286" s="106">
        <v>1500</v>
      </c>
      <c r="Z286" s="106" t="s">
        <v>1980</v>
      </c>
      <c r="AA286" s="106">
        <f t="shared" si="16"/>
        <v>0</v>
      </c>
      <c r="AB286" s="106">
        <f t="shared" si="17"/>
        <v>0</v>
      </c>
      <c r="AC286" s="94"/>
      <c r="AD286" s="94"/>
      <c r="AE286" s="94"/>
      <c r="AF286" s="94"/>
      <c r="AG286" s="94"/>
      <c r="AH286" s="263"/>
    </row>
    <row r="287" spans="1:34" ht="26.25" customHeight="1">
      <c r="A287" s="83" t="s">
        <v>652</v>
      </c>
      <c r="B287" s="88">
        <v>6000027792</v>
      </c>
      <c r="C287" s="2" t="s">
        <v>2119</v>
      </c>
      <c r="D287" s="2">
        <v>2342557</v>
      </c>
      <c r="E287" s="2">
        <v>10</v>
      </c>
      <c r="F287" s="194">
        <v>200</v>
      </c>
      <c r="G287" s="197">
        <f t="shared" si="15"/>
        <v>2000</v>
      </c>
      <c r="H287" s="198" t="s">
        <v>243</v>
      </c>
      <c r="I287" s="133"/>
      <c r="J287" s="158"/>
      <c r="K287" s="74"/>
      <c r="L287" s="162"/>
      <c r="M287" s="90"/>
      <c r="N287" s="90"/>
      <c r="O287" s="90"/>
      <c r="P287" s="94" t="s">
        <v>895</v>
      </c>
      <c r="Q287" s="94">
        <v>8500066315</v>
      </c>
      <c r="R287" s="94">
        <v>5000108708</v>
      </c>
      <c r="S287" s="94"/>
      <c r="T287" s="90"/>
      <c r="U287" s="90"/>
      <c r="V287" s="90"/>
      <c r="W287" s="375"/>
      <c r="X287" s="106"/>
      <c r="Y287" s="106"/>
      <c r="Z287" s="106"/>
      <c r="AA287" s="106">
        <f t="shared" si="16"/>
        <v>0</v>
      </c>
      <c r="AB287" s="106">
        <f t="shared" si="17"/>
        <v>0</v>
      </c>
      <c r="AC287" s="94"/>
      <c r="AD287" s="94"/>
      <c r="AE287" s="94"/>
      <c r="AF287" s="94"/>
      <c r="AG287" s="94"/>
      <c r="AH287" s="263"/>
    </row>
    <row r="288" spans="1:34" ht="26.25" customHeight="1">
      <c r="A288" s="83"/>
      <c r="B288" s="88"/>
      <c r="C288" s="2"/>
      <c r="D288" s="2"/>
      <c r="E288" s="2">
        <v>10</v>
      </c>
      <c r="F288" s="2">
        <v>800</v>
      </c>
      <c r="G288" s="45">
        <f t="shared" si="15"/>
        <v>8000</v>
      </c>
      <c r="H288" s="119" t="s">
        <v>27</v>
      </c>
      <c r="I288" s="128">
        <v>45314</v>
      </c>
      <c r="J288" s="158">
        <v>800</v>
      </c>
      <c r="K288" s="74">
        <v>10</v>
      </c>
      <c r="L288" s="156">
        <v>45324</v>
      </c>
      <c r="M288" s="90">
        <v>8000</v>
      </c>
      <c r="N288" s="90">
        <v>100</v>
      </c>
      <c r="O288" s="90" t="s">
        <v>1555</v>
      </c>
      <c r="P288" s="94" t="s">
        <v>28</v>
      </c>
      <c r="Q288" s="94">
        <v>8500066315</v>
      </c>
      <c r="R288" s="94">
        <v>5000095177</v>
      </c>
      <c r="S288" s="2">
        <v>800</v>
      </c>
      <c r="T288" s="90" t="s">
        <v>655</v>
      </c>
      <c r="U288" s="90">
        <v>8500066314</v>
      </c>
      <c r="V288" s="90">
        <v>5000140948</v>
      </c>
      <c r="W288" s="376">
        <v>45345</v>
      </c>
      <c r="X288" s="106">
        <v>800</v>
      </c>
      <c r="Y288" s="106">
        <v>8000</v>
      </c>
      <c r="Z288" s="106" t="s">
        <v>1980</v>
      </c>
      <c r="AA288" s="106">
        <f t="shared" si="16"/>
        <v>0</v>
      </c>
      <c r="AB288" s="106">
        <f t="shared" si="17"/>
        <v>0</v>
      </c>
      <c r="AC288" s="94"/>
      <c r="AD288" s="94"/>
      <c r="AE288" s="94"/>
      <c r="AF288" s="94"/>
      <c r="AG288" s="94"/>
      <c r="AH288" s="263"/>
    </row>
    <row r="289" spans="1:34" ht="26.25" customHeight="1">
      <c r="A289" s="83"/>
      <c r="B289" s="88"/>
      <c r="C289" s="2"/>
      <c r="D289" s="2"/>
      <c r="E289" s="2">
        <v>10</v>
      </c>
      <c r="F289" s="2">
        <v>1300</v>
      </c>
      <c r="G289" s="45">
        <f t="shared" si="15"/>
        <v>13000</v>
      </c>
      <c r="H289" s="119" t="s">
        <v>46</v>
      </c>
      <c r="I289" s="128">
        <v>45314</v>
      </c>
      <c r="J289" s="117">
        <v>1300</v>
      </c>
      <c r="K289" s="74">
        <v>13</v>
      </c>
      <c r="L289" s="156">
        <v>45323</v>
      </c>
      <c r="M289" s="90">
        <v>13000</v>
      </c>
      <c r="N289" s="90">
        <v>100</v>
      </c>
      <c r="O289" s="90"/>
      <c r="P289" s="94" t="s">
        <v>28</v>
      </c>
      <c r="Q289" s="94">
        <v>8500066315</v>
      </c>
      <c r="R289" s="94">
        <v>5000096521</v>
      </c>
      <c r="S289" s="94"/>
      <c r="T289" s="90" t="s">
        <v>655</v>
      </c>
      <c r="U289" s="90">
        <v>8500066314</v>
      </c>
      <c r="V289" s="90">
        <v>5000139365</v>
      </c>
      <c r="W289" s="376">
        <v>45345</v>
      </c>
      <c r="X289" s="106">
        <v>1300</v>
      </c>
      <c r="Y289" s="106">
        <v>13000</v>
      </c>
      <c r="Z289" s="106" t="s">
        <v>1980</v>
      </c>
      <c r="AA289" s="106">
        <f t="shared" si="16"/>
        <v>0</v>
      </c>
      <c r="AB289" s="106">
        <f t="shared" si="17"/>
        <v>0</v>
      </c>
      <c r="AC289" s="94"/>
      <c r="AD289" s="94"/>
      <c r="AE289" s="94"/>
      <c r="AF289" s="94"/>
      <c r="AG289" s="94"/>
      <c r="AH289" s="263"/>
    </row>
    <row r="290" spans="1:34" ht="26.25" customHeight="1">
      <c r="A290" s="83"/>
      <c r="B290" s="88"/>
      <c r="C290" s="2"/>
      <c r="D290" s="2"/>
      <c r="E290" s="2">
        <v>10</v>
      </c>
      <c r="F290" s="2">
        <v>1000</v>
      </c>
      <c r="G290" s="45">
        <f t="shared" si="15"/>
        <v>10000</v>
      </c>
      <c r="H290" s="119" t="s">
        <v>37</v>
      </c>
      <c r="I290" s="128">
        <v>45314</v>
      </c>
      <c r="J290" s="117">
        <v>1000</v>
      </c>
      <c r="K290" s="74">
        <v>13</v>
      </c>
      <c r="L290" s="156">
        <v>45325</v>
      </c>
      <c r="M290" s="90">
        <v>10000</v>
      </c>
      <c r="N290" s="90">
        <v>100</v>
      </c>
      <c r="O290" s="90"/>
      <c r="P290" s="94" t="s">
        <v>28</v>
      </c>
      <c r="Q290" s="94">
        <v>8500066315</v>
      </c>
      <c r="R290" s="94">
        <v>5000096521</v>
      </c>
      <c r="S290" s="94"/>
      <c r="T290" s="90" t="s">
        <v>655</v>
      </c>
      <c r="U290" s="90">
        <v>8500066314</v>
      </c>
      <c r="V290" s="90">
        <v>5000145537</v>
      </c>
      <c r="W290" s="376">
        <v>45365</v>
      </c>
      <c r="X290" s="106">
        <v>1000</v>
      </c>
      <c r="Y290" s="106">
        <v>10000</v>
      </c>
      <c r="Z290" s="106" t="s">
        <v>1980</v>
      </c>
      <c r="AA290" s="106">
        <f t="shared" si="16"/>
        <v>0</v>
      </c>
      <c r="AB290" s="106">
        <f t="shared" si="17"/>
        <v>0</v>
      </c>
      <c r="AC290" s="94"/>
      <c r="AD290" s="94"/>
      <c r="AE290" s="94"/>
      <c r="AF290" s="94"/>
      <c r="AG290" s="94"/>
      <c r="AH290" s="263"/>
    </row>
    <row r="291" spans="1:34" ht="26.25" customHeight="1">
      <c r="A291" s="83"/>
      <c r="B291" s="88"/>
      <c r="C291" s="2"/>
      <c r="D291" s="2"/>
      <c r="E291" s="2">
        <v>10</v>
      </c>
      <c r="F291" s="2">
        <v>150</v>
      </c>
      <c r="G291" s="45">
        <f t="shared" si="15"/>
        <v>1500</v>
      </c>
      <c r="H291" s="119" t="s">
        <v>146</v>
      </c>
      <c r="I291" s="128">
        <v>45314</v>
      </c>
      <c r="J291" s="117">
        <v>150</v>
      </c>
      <c r="K291" s="74">
        <v>3</v>
      </c>
      <c r="L291" s="156">
        <v>45324</v>
      </c>
      <c r="M291" s="90">
        <v>1500</v>
      </c>
      <c r="N291" s="90">
        <v>30</v>
      </c>
      <c r="O291" s="90" t="s">
        <v>1389</v>
      </c>
      <c r="P291" s="94" t="s">
        <v>28</v>
      </c>
      <c r="Q291" s="94">
        <v>8500066315</v>
      </c>
      <c r="R291" s="94">
        <v>5000096521</v>
      </c>
      <c r="S291" s="2">
        <v>150</v>
      </c>
      <c r="T291" s="90" t="s">
        <v>655</v>
      </c>
      <c r="U291" s="90">
        <v>8500066314</v>
      </c>
      <c r="V291" s="90">
        <v>5000140948</v>
      </c>
      <c r="W291" s="376">
        <v>45365</v>
      </c>
      <c r="X291" s="106">
        <v>150</v>
      </c>
      <c r="Y291" s="106">
        <v>1500</v>
      </c>
      <c r="Z291" s="106" t="s">
        <v>1980</v>
      </c>
      <c r="AA291" s="106">
        <f t="shared" si="16"/>
        <v>0</v>
      </c>
      <c r="AB291" s="106">
        <f t="shared" si="17"/>
        <v>0</v>
      </c>
      <c r="AC291" s="94"/>
      <c r="AD291" s="94"/>
      <c r="AE291" s="94"/>
      <c r="AF291" s="94"/>
      <c r="AG291" s="94"/>
      <c r="AH291" s="263"/>
    </row>
    <row r="292" spans="1:34" ht="26.25" customHeight="1">
      <c r="A292" s="83" t="s">
        <v>707</v>
      </c>
      <c r="B292" s="88">
        <v>2000001271</v>
      </c>
      <c r="C292" s="2" t="s">
        <v>708</v>
      </c>
      <c r="D292" s="2">
        <v>2000001271</v>
      </c>
      <c r="E292" s="94">
        <v>10</v>
      </c>
      <c r="F292" s="74">
        <v>150</v>
      </c>
      <c r="G292" s="45">
        <f t="shared" si="15"/>
        <v>1500</v>
      </c>
      <c r="H292" s="119" t="s">
        <v>243</v>
      </c>
      <c r="I292" s="128">
        <v>45311</v>
      </c>
      <c r="J292" s="158">
        <v>150</v>
      </c>
      <c r="K292" s="74">
        <v>2</v>
      </c>
      <c r="L292" s="156">
        <v>45313</v>
      </c>
      <c r="M292" s="90">
        <v>1500</v>
      </c>
      <c r="N292" s="90">
        <v>15</v>
      </c>
      <c r="O292" s="90" t="s">
        <v>921</v>
      </c>
      <c r="P292" s="94" t="s">
        <v>28</v>
      </c>
      <c r="Q292" s="94">
        <v>8500066855</v>
      </c>
      <c r="R292" s="94">
        <v>5000090562</v>
      </c>
      <c r="S292" s="158">
        <v>150</v>
      </c>
      <c r="T292" s="90" t="s">
        <v>1558</v>
      </c>
      <c r="U292" s="90">
        <v>8500066854</v>
      </c>
      <c r="V292" s="90">
        <v>5000091660</v>
      </c>
      <c r="W292" s="376">
        <v>45344</v>
      </c>
      <c r="X292" s="106">
        <v>150</v>
      </c>
      <c r="Y292" s="106">
        <v>1500</v>
      </c>
      <c r="Z292" s="106" t="s">
        <v>800</v>
      </c>
      <c r="AA292" s="106">
        <f t="shared" si="16"/>
        <v>0</v>
      </c>
      <c r="AB292" s="106">
        <f t="shared" si="17"/>
        <v>0</v>
      </c>
      <c r="AC292" s="94"/>
      <c r="AD292" s="94"/>
      <c r="AE292" s="94"/>
      <c r="AF292" s="94"/>
      <c r="AG292" s="94"/>
      <c r="AH292" s="263"/>
    </row>
    <row r="293" spans="1:34" ht="26.25" customHeight="1">
      <c r="A293" s="83"/>
      <c r="B293" s="88"/>
      <c r="C293" s="2"/>
      <c r="D293" s="2"/>
      <c r="E293" s="94">
        <v>10</v>
      </c>
      <c r="F293" s="74">
        <v>600</v>
      </c>
      <c r="G293" s="45">
        <f t="shared" si="15"/>
        <v>6000</v>
      </c>
      <c r="H293" s="119" t="s">
        <v>27</v>
      </c>
      <c r="I293" s="128">
        <v>45311</v>
      </c>
      <c r="J293" s="158">
        <v>600</v>
      </c>
      <c r="K293" s="74">
        <v>10</v>
      </c>
      <c r="L293" s="156">
        <v>45313</v>
      </c>
      <c r="M293" s="90">
        <v>6000</v>
      </c>
      <c r="N293" s="90">
        <v>60</v>
      </c>
      <c r="O293" s="90"/>
      <c r="P293" s="94" t="s">
        <v>28</v>
      </c>
      <c r="Q293" s="94">
        <v>8500066855</v>
      </c>
      <c r="R293" s="94">
        <v>5000090562</v>
      </c>
      <c r="S293" s="158">
        <v>600</v>
      </c>
      <c r="T293" s="90" t="s">
        <v>1558</v>
      </c>
      <c r="U293" s="90">
        <v>8500066854</v>
      </c>
      <c r="V293" s="90">
        <v>5000091660</v>
      </c>
      <c r="W293" s="376">
        <v>45313</v>
      </c>
      <c r="X293" s="106">
        <f>600</f>
        <v>600</v>
      </c>
      <c r="Y293" s="106">
        <v>6000</v>
      </c>
      <c r="Z293" s="106" t="s">
        <v>2615</v>
      </c>
      <c r="AA293" s="106">
        <f t="shared" si="16"/>
        <v>0</v>
      </c>
      <c r="AB293" s="106">
        <f t="shared" si="17"/>
        <v>0</v>
      </c>
      <c r="AC293" s="94"/>
      <c r="AD293" s="94"/>
      <c r="AE293" s="94"/>
      <c r="AF293" s="94"/>
      <c r="AG293" s="94"/>
      <c r="AH293" s="263"/>
    </row>
    <row r="294" spans="1:34" ht="26.25" customHeight="1">
      <c r="A294" s="83" t="s">
        <v>707</v>
      </c>
      <c r="B294" s="88">
        <v>2000001275</v>
      </c>
      <c r="C294" s="2" t="s">
        <v>2614</v>
      </c>
      <c r="D294" s="2">
        <v>2000001275</v>
      </c>
      <c r="E294" s="94"/>
      <c r="F294" s="74"/>
      <c r="G294" s="45"/>
      <c r="H294" s="119" t="s">
        <v>46</v>
      </c>
      <c r="I294" s="128" t="s">
        <v>2961</v>
      </c>
      <c r="J294" s="158">
        <f>483+17</f>
        <v>500</v>
      </c>
      <c r="K294" s="74">
        <f>7+1</f>
        <v>8</v>
      </c>
      <c r="L294" s="156">
        <v>45313</v>
      </c>
      <c r="M294" s="90">
        <v>5000</v>
      </c>
      <c r="N294" s="90"/>
      <c r="O294" s="90" t="s">
        <v>2534</v>
      </c>
      <c r="P294" s="94" t="s">
        <v>160</v>
      </c>
      <c r="Q294" s="94">
        <v>8500066988</v>
      </c>
      <c r="R294" s="94">
        <v>5000156761</v>
      </c>
      <c r="S294" s="94"/>
      <c r="T294" s="90" t="s">
        <v>924</v>
      </c>
      <c r="U294" s="90">
        <v>8500066989</v>
      </c>
      <c r="V294" s="90">
        <v>5000095261</v>
      </c>
      <c r="W294" s="376" t="s">
        <v>3123</v>
      </c>
      <c r="X294" s="106">
        <f>489+11</f>
        <v>500</v>
      </c>
      <c r="Y294" s="106">
        <v>5000</v>
      </c>
      <c r="Z294" s="106" t="s">
        <v>800</v>
      </c>
      <c r="AA294" s="106">
        <f t="shared" si="16"/>
        <v>0</v>
      </c>
      <c r="AB294" s="106">
        <f t="shared" si="17"/>
        <v>0</v>
      </c>
      <c r="AC294" s="94"/>
      <c r="AD294" s="94"/>
      <c r="AE294" s="94"/>
      <c r="AF294" s="94"/>
      <c r="AG294" s="94"/>
      <c r="AH294" s="263"/>
    </row>
    <row r="295" spans="1:34" ht="26.25" customHeight="1">
      <c r="A295" s="83" t="s">
        <v>868</v>
      </c>
      <c r="B295" s="88">
        <v>6000028161</v>
      </c>
      <c r="C295" s="2" t="s">
        <v>1544</v>
      </c>
      <c r="D295" s="2">
        <v>6000028161</v>
      </c>
      <c r="E295" s="94">
        <v>20</v>
      </c>
      <c r="F295" s="74">
        <v>100</v>
      </c>
      <c r="G295" s="45">
        <f t="shared" si="15"/>
        <v>2000</v>
      </c>
      <c r="H295" s="119" t="s">
        <v>243</v>
      </c>
      <c r="I295" s="128">
        <v>45311</v>
      </c>
      <c r="J295" s="74">
        <v>100</v>
      </c>
      <c r="K295" s="74">
        <v>2</v>
      </c>
      <c r="L295" s="156">
        <v>45322</v>
      </c>
      <c r="M295" s="90">
        <v>2000</v>
      </c>
      <c r="N295" s="90">
        <v>50</v>
      </c>
      <c r="O295" s="90" t="s">
        <v>1746</v>
      </c>
      <c r="P295" s="94" t="s">
        <v>28</v>
      </c>
      <c r="Q295" s="94">
        <v>8500066743</v>
      </c>
      <c r="R295" s="94">
        <v>5000090667</v>
      </c>
      <c r="S295" s="94"/>
      <c r="T295" s="90" t="s">
        <v>655</v>
      </c>
      <c r="U295" s="90">
        <v>8500066306</v>
      </c>
      <c r="V295" s="90">
        <v>5000131513</v>
      </c>
      <c r="W295" s="376">
        <v>45323</v>
      </c>
      <c r="X295" s="106">
        <v>100</v>
      </c>
      <c r="Y295" s="106">
        <v>2000</v>
      </c>
      <c r="Z295" s="106" t="s">
        <v>800</v>
      </c>
      <c r="AA295" s="106">
        <f t="shared" si="16"/>
        <v>0</v>
      </c>
      <c r="AB295" s="106">
        <f>M295-Y295</f>
        <v>0</v>
      </c>
      <c r="AC295" s="94"/>
      <c r="AD295" s="94"/>
      <c r="AE295" s="94"/>
      <c r="AF295" s="94"/>
      <c r="AG295" s="94"/>
      <c r="AH295" s="263"/>
    </row>
    <row r="296" spans="1:34" ht="26.25" customHeight="1">
      <c r="A296" s="83"/>
      <c r="B296" s="88"/>
      <c r="C296" s="2"/>
      <c r="D296" s="2"/>
      <c r="E296" s="94">
        <v>20</v>
      </c>
      <c r="F296" s="74">
        <v>400</v>
      </c>
      <c r="G296" s="45">
        <f t="shared" si="15"/>
        <v>8000</v>
      </c>
      <c r="H296" s="119" t="s">
        <v>27</v>
      </c>
      <c r="I296" s="128">
        <v>45311</v>
      </c>
      <c r="J296" s="74">
        <v>400</v>
      </c>
      <c r="K296" s="74">
        <v>6</v>
      </c>
      <c r="L296" s="156">
        <v>45322</v>
      </c>
      <c r="M296" s="90">
        <v>8000</v>
      </c>
      <c r="N296" s="90">
        <v>100</v>
      </c>
      <c r="O296" s="90"/>
      <c r="P296" s="94" t="s">
        <v>28</v>
      </c>
      <c r="Q296" s="94">
        <v>8500066743</v>
      </c>
      <c r="R296" s="94">
        <v>5000090667</v>
      </c>
      <c r="S296" s="94"/>
      <c r="T296" s="90" t="s">
        <v>655</v>
      </c>
      <c r="U296" s="90">
        <v>8500066306</v>
      </c>
      <c r="V296" s="90">
        <v>5000131513</v>
      </c>
      <c r="W296" s="376" t="s">
        <v>2974</v>
      </c>
      <c r="X296" s="106">
        <f>165+235</f>
        <v>400</v>
      </c>
      <c r="Y296" s="106">
        <f>1650+6350</f>
        <v>8000</v>
      </c>
      <c r="Z296" s="106" t="s">
        <v>2431</v>
      </c>
      <c r="AA296" s="106">
        <f t="shared" si="16"/>
        <v>0</v>
      </c>
      <c r="AB296" s="106">
        <f t="shared" si="17"/>
        <v>0</v>
      </c>
      <c r="AC296" s="94"/>
      <c r="AD296" s="94"/>
      <c r="AE296" s="94"/>
      <c r="AF296" s="94"/>
      <c r="AG296" s="94"/>
      <c r="AH296" s="263"/>
    </row>
    <row r="297" spans="1:34" ht="26.25" customHeight="1">
      <c r="A297" s="83"/>
      <c r="B297" s="88"/>
      <c r="C297" s="2"/>
      <c r="D297" s="2"/>
      <c r="E297" s="94">
        <v>20</v>
      </c>
      <c r="F297" s="74">
        <v>500</v>
      </c>
      <c r="G297" s="45">
        <f t="shared" si="15"/>
        <v>10000</v>
      </c>
      <c r="H297" s="119" t="s">
        <v>46</v>
      </c>
      <c r="I297" s="128">
        <v>45311</v>
      </c>
      <c r="J297" s="74">
        <v>500</v>
      </c>
      <c r="K297" s="74">
        <v>6</v>
      </c>
      <c r="L297" s="156">
        <v>45322</v>
      </c>
      <c r="M297" s="90">
        <v>10000</v>
      </c>
      <c r="N297" s="90">
        <v>100</v>
      </c>
      <c r="O297" s="90"/>
      <c r="P297" s="94" t="s">
        <v>28</v>
      </c>
      <c r="Q297" s="94">
        <v>8500066743</v>
      </c>
      <c r="R297" s="94">
        <v>5000090667</v>
      </c>
      <c r="S297" s="94"/>
      <c r="T297" s="90" t="s">
        <v>655</v>
      </c>
      <c r="U297" s="90">
        <v>8500066306</v>
      </c>
      <c r="V297" s="90">
        <v>5000131513</v>
      </c>
      <c r="W297" s="376">
        <v>45344</v>
      </c>
      <c r="X297" s="106">
        <v>500</v>
      </c>
      <c r="Y297" s="106">
        <v>10000</v>
      </c>
      <c r="Z297" s="106" t="s">
        <v>1980</v>
      </c>
      <c r="AA297" s="106">
        <f t="shared" si="16"/>
        <v>0</v>
      </c>
      <c r="AB297" s="106">
        <f t="shared" si="17"/>
        <v>0</v>
      </c>
      <c r="AC297" s="94"/>
      <c r="AD297" s="94"/>
      <c r="AE297" s="94"/>
      <c r="AF297" s="94"/>
      <c r="AG297" s="94"/>
      <c r="AH297" s="263"/>
    </row>
    <row r="298" spans="1:34" ht="26.25" customHeight="1">
      <c r="A298" s="83"/>
      <c r="B298" s="88"/>
      <c r="C298" s="2"/>
      <c r="D298" s="2"/>
      <c r="E298" s="94">
        <v>20</v>
      </c>
      <c r="F298" s="74">
        <v>100</v>
      </c>
      <c r="G298" s="45">
        <f t="shared" si="15"/>
        <v>2000</v>
      </c>
      <c r="H298" s="119" t="s">
        <v>37</v>
      </c>
      <c r="I298" s="128">
        <v>45311</v>
      </c>
      <c r="J298" s="74">
        <v>100</v>
      </c>
      <c r="K298" s="74">
        <v>2</v>
      </c>
      <c r="L298" s="156">
        <v>45322</v>
      </c>
      <c r="M298" s="90">
        <v>2000</v>
      </c>
      <c r="N298" s="90">
        <v>50</v>
      </c>
      <c r="O298" s="90" t="s">
        <v>899</v>
      </c>
      <c r="P298" s="94" t="s">
        <v>28</v>
      </c>
      <c r="Q298" s="94">
        <v>8500066743</v>
      </c>
      <c r="R298" s="94">
        <v>5000090667</v>
      </c>
      <c r="S298" s="94"/>
      <c r="T298" s="90" t="s">
        <v>655</v>
      </c>
      <c r="U298" s="90">
        <v>8500066306</v>
      </c>
      <c r="V298" s="90">
        <v>5000131513</v>
      </c>
      <c r="W298" s="376">
        <v>45344</v>
      </c>
      <c r="X298" s="106">
        <v>100</v>
      </c>
      <c r="Y298" s="106">
        <v>2000</v>
      </c>
      <c r="Z298" s="106" t="s">
        <v>1980</v>
      </c>
      <c r="AA298" s="106">
        <f t="shared" si="16"/>
        <v>0</v>
      </c>
      <c r="AB298" s="106">
        <f t="shared" si="17"/>
        <v>0</v>
      </c>
      <c r="AC298" s="94"/>
      <c r="AD298" s="94"/>
      <c r="AE298" s="94"/>
      <c r="AF298" s="94"/>
      <c r="AG298" s="94"/>
      <c r="AH298" s="263"/>
    </row>
    <row r="299" spans="1:34" ht="26.25" customHeight="1">
      <c r="A299" s="83" t="s">
        <v>868</v>
      </c>
      <c r="B299" s="88">
        <v>6000028161</v>
      </c>
      <c r="C299" s="2" t="s">
        <v>1544</v>
      </c>
      <c r="D299" s="2" t="s">
        <v>244</v>
      </c>
      <c r="E299" s="94">
        <v>20</v>
      </c>
      <c r="F299" s="74">
        <v>5</v>
      </c>
      <c r="G299" s="45">
        <f t="shared" si="15"/>
        <v>100</v>
      </c>
      <c r="H299" s="119" t="s">
        <v>243</v>
      </c>
      <c r="I299" s="128">
        <v>45311</v>
      </c>
      <c r="J299" s="74">
        <v>5</v>
      </c>
      <c r="K299" s="74"/>
      <c r="L299" s="156">
        <v>45323</v>
      </c>
      <c r="M299" s="90">
        <v>100</v>
      </c>
      <c r="N299" s="90"/>
      <c r="O299" s="90"/>
      <c r="P299" s="94" t="s">
        <v>28</v>
      </c>
      <c r="Q299" s="94">
        <v>8500066745</v>
      </c>
      <c r="R299" s="94">
        <v>5000090668</v>
      </c>
      <c r="S299" s="94"/>
      <c r="T299" s="90" t="s">
        <v>655</v>
      </c>
      <c r="U299" s="90">
        <v>8500066744</v>
      </c>
      <c r="V299" s="90">
        <v>5000136862</v>
      </c>
      <c r="W299" s="375"/>
      <c r="X299" s="106">
        <v>5</v>
      </c>
      <c r="Y299" s="106">
        <v>100</v>
      </c>
      <c r="Z299" s="106"/>
      <c r="AA299" s="106">
        <f t="shared" si="16"/>
        <v>0</v>
      </c>
      <c r="AB299" s="106">
        <f t="shared" si="17"/>
        <v>0</v>
      </c>
      <c r="AC299" s="94"/>
      <c r="AD299" s="94"/>
      <c r="AE299" s="94"/>
      <c r="AF299" s="94"/>
      <c r="AG299" s="94"/>
      <c r="AH299" s="263"/>
    </row>
    <row r="300" spans="1:34" ht="26.25" customHeight="1">
      <c r="A300" s="83"/>
      <c r="B300" s="88"/>
      <c r="C300" s="2"/>
      <c r="D300" s="2"/>
      <c r="E300" s="94">
        <v>20</v>
      </c>
      <c r="F300" s="74">
        <v>5</v>
      </c>
      <c r="G300" s="45">
        <f t="shared" si="15"/>
        <v>100</v>
      </c>
      <c r="H300" s="119" t="s">
        <v>27</v>
      </c>
      <c r="I300" s="128">
        <v>45311</v>
      </c>
      <c r="J300" s="74">
        <v>5</v>
      </c>
      <c r="K300" s="74"/>
      <c r="L300" s="156">
        <v>45323</v>
      </c>
      <c r="M300" s="90">
        <v>100</v>
      </c>
      <c r="N300" s="90"/>
      <c r="O300" s="90"/>
      <c r="P300" s="94" t="s">
        <v>28</v>
      </c>
      <c r="Q300" s="94">
        <v>8500066745</v>
      </c>
      <c r="R300" s="94">
        <v>5000090668</v>
      </c>
      <c r="S300" s="94"/>
      <c r="T300" s="90" t="s">
        <v>655</v>
      </c>
      <c r="U300" s="90">
        <v>8500066744</v>
      </c>
      <c r="V300" s="90">
        <v>5000136862</v>
      </c>
      <c r="W300" s="375"/>
      <c r="X300" s="106">
        <v>5</v>
      </c>
      <c r="Y300" s="106">
        <v>100</v>
      </c>
      <c r="Z300" s="106"/>
      <c r="AA300" s="106">
        <f t="shared" si="16"/>
        <v>0</v>
      </c>
      <c r="AB300" s="106">
        <f t="shared" si="17"/>
        <v>0</v>
      </c>
      <c r="AC300" s="94"/>
      <c r="AD300" s="94"/>
      <c r="AE300" s="94"/>
      <c r="AF300" s="94"/>
      <c r="AG300" s="94"/>
      <c r="AH300" s="263"/>
    </row>
    <row r="301" spans="1:34" ht="26.25" customHeight="1">
      <c r="A301" s="83"/>
      <c r="B301" s="88"/>
      <c r="C301" s="2"/>
      <c r="D301" s="2"/>
      <c r="E301" s="94">
        <v>20</v>
      </c>
      <c r="F301" s="74">
        <v>5</v>
      </c>
      <c r="G301" s="45">
        <f t="shared" si="15"/>
        <v>100</v>
      </c>
      <c r="H301" s="119" t="s">
        <v>46</v>
      </c>
      <c r="I301" s="128">
        <v>45311</v>
      </c>
      <c r="J301" s="74">
        <v>5</v>
      </c>
      <c r="K301" s="74">
        <v>1</v>
      </c>
      <c r="L301" s="156">
        <v>45323</v>
      </c>
      <c r="M301" s="90">
        <v>100</v>
      </c>
      <c r="N301" s="90"/>
      <c r="O301" s="90"/>
      <c r="P301" s="94" t="s">
        <v>28</v>
      </c>
      <c r="Q301" s="94">
        <v>8500066745</v>
      </c>
      <c r="R301" s="94">
        <v>5000090668</v>
      </c>
      <c r="S301" s="94"/>
      <c r="T301" s="90" t="s">
        <v>655</v>
      </c>
      <c r="U301" s="90">
        <v>8500066744</v>
      </c>
      <c r="V301" s="90">
        <v>5000136862</v>
      </c>
      <c r="W301" s="375"/>
      <c r="X301" s="106">
        <v>5</v>
      </c>
      <c r="Y301" s="106">
        <v>100</v>
      </c>
      <c r="Z301" s="106"/>
      <c r="AA301" s="106">
        <f t="shared" si="16"/>
        <v>0</v>
      </c>
      <c r="AB301" s="106">
        <f t="shared" si="17"/>
        <v>0</v>
      </c>
      <c r="AC301" s="94"/>
      <c r="AD301" s="94"/>
      <c r="AE301" s="94"/>
      <c r="AF301" s="94"/>
      <c r="AG301" s="94"/>
      <c r="AH301" s="263"/>
    </row>
    <row r="302" spans="1:34" ht="26.25" customHeight="1">
      <c r="A302" s="83"/>
      <c r="B302" s="88"/>
      <c r="C302" s="2"/>
      <c r="D302" s="2"/>
      <c r="E302" s="94">
        <v>20</v>
      </c>
      <c r="F302" s="74">
        <v>5</v>
      </c>
      <c r="G302" s="45">
        <f t="shared" si="15"/>
        <v>100</v>
      </c>
      <c r="H302" s="119" t="s">
        <v>37</v>
      </c>
      <c r="I302" s="128">
        <v>45311</v>
      </c>
      <c r="J302" s="74">
        <v>5</v>
      </c>
      <c r="K302" s="74">
        <v>2</v>
      </c>
      <c r="L302" s="156">
        <v>45323</v>
      </c>
      <c r="M302" s="90">
        <v>100</v>
      </c>
      <c r="N302" s="90"/>
      <c r="O302" s="90"/>
      <c r="P302" s="94" t="s">
        <v>28</v>
      </c>
      <c r="Q302" s="94">
        <v>8500066745</v>
      </c>
      <c r="R302" s="94">
        <v>5000090668</v>
      </c>
      <c r="S302" s="94"/>
      <c r="T302" s="90" t="s">
        <v>655</v>
      </c>
      <c r="U302" s="90">
        <v>8500066744</v>
      </c>
      <c r="V302" s="90">
        <v>5000136862</v>
      </c>
      <c r="W302" s="376"/>
      <c r="X302" s="106">
        <v>5</v>
      </c>
      <c r="Y302" s="106">
        <v>100</v>
      </c>
      <c r="Z302" s="106"/>
      <c r="AA302" s="106">
        <f t="shared" si="16"/>
        <v>0</v>
      </c>
      <c r="AB302" s="106">
        <f t="shared" si="17"/>
        <v>0</v>
      </c>
      <c r="AC302" s="94"/>
      <c r="AD302" s="94"/>
      <c r="AE302" s="94"/>
      <c r="AF302" s="94"/>
      <c r="AG302" s="94"/>
      <c r="AH302" s="263"/>
    </row>
    <row r="303" spans="1:34" ht="26.25" customHeight="1">
      <c r="A303" s="83" t="s">
        <v>868</v>
      </c>
      <c r="B303" s="88">
        <v>6000028161</v>
      </c>
      <c r="C303" s="2" t="s">
        <v>1545</v>
      </c>
      <c r="D303" s="2">
        <v>6000028161</v>
      </c>
      <c r="E303" s="94">
        <v>20</v>
      </c>
      <c r="F303" s="74">
        <v>200</v>
      </c>
      <c r="G303" s="45">
        <f t="shared" si="15"/>
        <v>4000</v>
      </c>
      <c r="H303" s="119" t="s">
        <v>46</v>
      </c>
      <c r="I303" s="128">
        <v>45311</v>
      </c>
      <c r="J303" s="74">
        <v>200</v>
      </c>
      <c r="K303" s="74">
        <v>3</v>
      </c>
      <c r="L303" s="156">
        <v>45323</v>
      </c>
      <c r="M303" s="90">
        <v>4000</v>
      </c>
      <c r="N303" s="90">
        <v>50</v>
      </c>
      <c r="O303" s="90" t="s">
        <v>1875</v>
      </c>
      <c r="P303" s="94" t="s">
        <v>28</v>
      </c>
      <c r="Q303" s="94">
        <v>8500066747</v>
      </c>
      <c r="R303" s="94">
        <v>5000090716</v>
      </c>
      <c r="S303" s="94"/>
      <c r="T303" s="90" t="s">
        <v>655</v>
      </c>
      <c r="U303" s="90">
        <v>8500066746</v>
      </c>
      <c r="V303" s="90">
        <v>5000139444</v>
      </c>
      <c r="W303" s="376">
        <v>45324</v>
      </c>
      <c r="X303" s="106">
        <v>200</v>
      </c>
      <c r="Y303" s="106">
        <v>4000</v>
      </c>
      <c r="Z303" s="106" t="s">
        <v>800</v>
      </c>
      <c r="AA303" s="106">
        <f t="shared" si="16"/>
        <v>0</v>
      </c>
      <c r="AB303" s="106">
        <f t="shared" si="17"/>
        <v>0</v>
      </c>
      <c r="AC303" s="94"/>
      <c r="AD303" s="94"/>
      <c r="AE303" s="94"/>
      <c r="AF303" s="94"/>
      <c r="AG303" s="94"/>
      <c r="AH303" s="263"/>
    </row>
    <row r="304" spans="1:34" ht="26.25" customHeight="1">
      <c r="A304" s="83"/>
      <c r="B304" s="88"/>
      <c r="C304" s="2"/>
      <c r="D304" s="2"/>
      <c r="E304" s="94">
        <v>20</v>
      </c>
      <c r="F304" s="74">
        <v>100</v>
      </c>
      <c r="G304" s="45">
        <f t="shared" si="15"/>
        <v>2000</v>
      </c>
      <c r="H304" s="119" t="s">
        <v>37</v>
      </c>
      <c r="I304" s="128">
        <v>45311</v>
      </c>
      <c r="J304" s="74">
        <v>100</v>
      </c>
      <c r="K304" s="74">
        <v>2</v>
      </c>
      <c r="L304" s="156">
        <v>45323</v>
      </c>
      <c r="M304" s="90">
        <v>2000</v>
      </c>
      <c r="N304" s="90">
        <v>50</v>
      </c>
      <c r="O304" s="90" t="s">
        <v>1875</v>
      </c>
      <c r="P304" s="94" t="s">
        <v>28</v>
      </c>
      <c r="Q304" s="94">
        <v>8500066747</v>
      </c>
      <c r="R304" s="94">
        <v>5000090716</v>
      </c>
      <c r="S304" s="94"/>
      <c r="T304" s="90" t="s">
        <v>655</v>
      </c>
      <c r="U304" s="90">
        <v>8500066746</v>
      </c>
      <c r="V304" s="90">
        <v>5000139444</v>
      </c>
      <c r="W304" s="376">
        <v>45324</v>
      </c>
      <c r="X304" s="106">
        <v>100</v>
      </c>
      <c r="Y304" s="106">
        <v>2000</v>
      </c>
      <c r="Z304" s="106" t="s">
        <v>800</v>
      </c>
      <c r="AA304" s="106">
        <f t="shared" si="16"/>
        <v>0</v>
      </c>
      <c r="AB304" s="106">
        <f t="shared" si="17"/>
        <v>0</v>
      </c>
      <c r="AC304" s="94"/>
      <c r="AD304" s="94"/>
      <c r="AE304" s="94"/>
      <c r="AF304" s="94"/>
      <c r="AG304" s="94"/>
      <c r="AH304" s="263"/>
    </row>
    <row r="305" spans="1:34" ht="26.25" customHeight="1">
      <c r="A305" s="83" t="s">
        <v>868</v>
      </c>
      <c r="B305" s="88">
        <v>6000028161</v>
      </c>
      <c r="C305" s="2" t="s">
        <v>1545</v>
      </c>
      <c r="D305" s="2" t="s">
        <v>244</v>
      </c>
      <c r="E305" s="94">
        <v>20</v>
      </c>
      <c r="F305" s="74">
        <v>5</v>
      </c>
      <c r="G305" s="45">
        <f t="shared" si="15"/>
        <v>100</v>
      </c>
      <c r="H305" s="119" t="s">
        <v>46</v>
      </c>
      <c r="I305" s="128">
        <v>45311</v>
      </c>
      <c r="J305" s="74">
        <v>5</v>
      </c>
      <c r="K305" s="74"/>
      <c r="L305" s="156">
        <v>45323</v>
      </c>
      <c r="M305" s="90">
        <v>100</v>
      </c>
      <c r="N305" s="90"/>
      <c r="O305" s="90"/>
      <c r="P305" s="94" t="s">
        <v>28</v>
      </c>
      <c r="Q305" s="94">
        <v>8500066749</v>
      </c>
      <c r="R305" s="94">
        <v>5000090719</v>
      </c>
      <c r="S305" s="94"/>
      <c r="T305" s="90" t="s">
        <v>655</v>
      </c>
      <c r="U305" s="90">
        <v>8500066748</v>
      </c>
      <c r="V305" s="90">
        <v>5000136748</v>
      </c>
      <c r="W305" s="376"/>
      <c r="X305" s="106">
        <v>5</v>
      </c>
      <c r="Y305" s="106">
        <v>100</v>
      </c>
      <c r="Z305" s="106"/>
      <c r="AA305" s="106">
        <f t="shared" si="16"/>
        <v>0</v>
      </c>
      <c r="AB305" s="106">
        <f t="shared" si="17"/>
        <v>0</v>
      </c>
      <c r="AC305" s="94"/>
      <c r="AD305" s="94"/>
      <c r="AE305" s="94"/>
      <c r="AF305" s="94"/>
      <c r="AG305" s="94"/>
      <c r="AH305" s="263"/>
    </row>
    <row r="306" spans="1:34" ht="26.25" customHeight="1">
      <c r="A306" s="83"/>
      <c r="B306" s="88"/>
      <c r="C306" s="2"/>
      <c r="D306" s="2"/>
      <c r="E306" s="94">
        <v>20</v>
      </c>
      <c r="F306" s="74">
        <v>5</v>
      </c>
      <c r="G306" s="45">
        <f t="shared" si="15"/>
        <v>100</v>
      </c>
      <c r="H306" s="119" t="s">
        <v>37</v>
      </c>
      <c r="I306" s="128">
        <v>45311</v>
      </c>
      <c r="J306" s="74">
        <v>5</v>
      </c>
      <c r="K306" s="74"/>
      <c r="L306" s="156">
        <v>45323</v>
      </c>
      <c r="M306" s="90">
        <v>100</v>
      </c>
      <c r="N306" s="90"/>
      <c r="O306" s="90"/>
      <c r="P306" s="94" t="s">
        <v>28</v>
      </c>
      <c r="Q306" s="94">
        <v>8500066751</v>
      </c>
      <c r="R306" s="94">
        <v>5000090714</v>
      </c>
      <c r="S306" s="94"/>
      <c r="T306" s="90" t="s">
        <v>655</v>
      </c>
      <c r="U306" s="90">
        <v>8500066750</v>
      </c>
      <c r="V306" s="90">
        <v>5000136749</v>
      </c>
      <c r="W306" s="376"/>
      <c r="X306" s="106">
        <v>5</v>
      </c>
      <c r="Y306" s="106">
        <v>100</v>
      </c>
      <c r="Z306" s="106"/>
      <c r="AA306" s="106">
        <f t="shared" si="16"/>
        <v>0</v>
      </c>
      <c r="AB306" s="106">
        <f t="shared" si="17"/>
        <v>0</v>
      </c>
      <c r="AC306" s="94"/>
      <c r="AD306" s="94"/>
      <c r="AE306" s="94"/>
      <c r="AF306" s="94"/>
      <c r="AG306" s="94"/>
      <c r="AH306" s="263"/>
    </row>
    <row r="307" spans="1:34" ht="26.25" customHeight="1">
      <c r="A307" s="83" t="s">
        <v>868</v>
      </c>
      <c r="B307" s="88">
        <v>6000028161</v>
      </c>
      <c r="C307" s="2" t="s">
        <v>1546</v>
      </c>
      <c r="D307" s="2">
        <v>6000028161</v>
      </c>
      <c r="E307" s="94">
        <v>20</v>
      </c>
      <c r="F307" s="74">
        <v>100</v>
      </c>
      <c r="G307" s="45">
        <f t="shared" si="15"/>
        <v>2000</v>
      </c>
      <c r="H307" s="119" t="s">
        <v>27</v>
      </c>
      <c r="I307" s="128">
        <v>45311</v>
      </c>
      <c r="J307" s="74">
        <v>100</v>
      </c>
      <c r="K307" s="74">
        <v>2</v>
      </c>
      <c r="L307" s="156">
        <v>45323</v>
      </c>
      <c r="M307" s="90">
        <v>2000</v>
      </c>
      <c r="N307" s="90">
        <v>50</v>
      </c>
      <c r="O307" s="90"/>
      <c r="P307" s="94" t="s">
        <v>28</v>
      </c>
      <c r="Q307" s="94">
        <v>8500066753</v>
      </c>
      <c r="R307" s="94">
        <v>5000090665</v>
      </c>
      <c r="S307" s="94"/>
      <c r="T307" s="90" t="s">
        <v>655</v>
      </c>
      <c r="U307" s="90">
        <v>8500066752</v>
      </c>
      <c r="V307" s="90">
        <v>5000139447</v>
      </c>
      <c r="W307" s="376">
        <v>45324</v>
      </c>
      <c r="X307" s="106">
        <v>100</v>
      </c>
      <c r="Y307" s="106">
        <v>2000</v>
      </c>
      <c r="Z307" s="106" t="s">
        <v>800</v>
      </c>
      <c r="AA307" s="106">
        <f t="shared" si="16"/>
        <v>0</v>
      </c>
      <c r="AB307" s="106">
        <f t="shared" si="17"/>
        <v>0</v>
      </c>
      <c r="AC307" s="94"/>
      <c r="AD307" s="94"/>
      <c r="AE307" s="94"/>
      <c r="AF307" s="94"/>
      <c r="AG307" s="94"/>
      <c r="AH307" s="263"/>
    </row>
    <row r="308" spans="1:34" ht="26.25" customHeight="1">
      <c r="A308" s="83"/>
      <c r="B308" s="88"/>
      <c r="C308" s="2"/>
      <c r="D308" s="2"/>
      <c r="E308" s="94">
        <v>20</v>
      </c>
      <c r="F308" s="74">
        <v>100</v>
      </c>
      <c r="G308" s="45">
        <f t="shared" si="15"/>
        <v>2000</v>
      </c>
      <c r="H308" s="119" t="s">
        <v>46</v>
      </c>
      <c r="I308" s="128">
        <v>45311</v>
      </c>
      <c r="J308" s="74">
        <v>100</v>
      </c>
      <c r="K308" s="74">
        <v>2</v>
      </c>
      <c r="L308" s="156">
        <v>45323</v>
      </c>
      <c r="M308" s="90">
        <v>2000</v>
      </c>
      <c r="N308" s="90">
        <v>50</v>
      </c>
      <c r="O308" s="90"/>
      <c r="P308" s="94" t="s">
        <v>28</v>
      </c>
      <c r="Q308" s="94">
        <v>8500066753</v>
      </c>
      <c r="R308" s="94">
        <v>5000090665</v>
      </c>
      <c r="S308" s="94"/>
      <c r="T308" s="90" t="s">
        <v>655</v>
      </c>
      <c r="U308" s="90">
        <v>8500066752</v>
      </c>
      <c r="V308" s="90">
        <v>5000139447</v>
      </c>
      <c r="W308" s="376">
        <v>45324</v>
      </c>
      <c r="X308" s="106">
        <v>100</v>
      </c>
      <c r="Y308" s="106">
        <v>2000</v>
      </c>
      <c r="Z308" s="106" t="s">
        <v>800</v>
      </c>
      <c r="AA308" s="106">
        <f t="shared" si="16"/>
        <v>0</v>
      </c>
      <c r="AB308" s="106">
        <f t="shared" si="17"/>
        <v>0</v>
      </c>
      <c r="AC308" s="94"/>
      <c r="AD308" s="94"/>
      <c r="AE308" s="94"/>
      <c r="AF308" s="94"/>
      <c r="AG308" s="94"/>
      <c r="AH308" s="263"/>
    </row>
    <row r="309" spans="1:34" ht="26.25" customHeight="1">
      <c r="A309" s="83" t="s">
        <v>868</v>
      </c>
      <c r="B309" s="88">
        <v>6000028161</v>
      </c>
      <c r="C309" s="2" t="s">
        <v>1546</v>
      </c>
      <c r="D309" s="2" t="s">
        <v>244</v>
      </c>
      <c r="E309" s="94">
        <v>20</v>
      </c>
      <c r="F309" s="74">
        <v>5</v>
      </c>
      <c r="G309" s="45">
        <f t="shared" si="15"/>
        <v>100</v>
      </c>
      <c r="H309" s="119" t="s">
        <v>27</v>
      </c>
      <c r="I309" s="128">
        <v>45311</v>
      </c>
      <c r="J309" s="74">
        <v>5</v>
      </c>
      <c r="K309" s="74"/>
      <c r="L309" s="156">
        <v>45323</v>
      </c>
      <c r="M309" s="90">
        <v>100</v>
      </c>
      <c r="N309" s="90"/>
      <c r="O309" s="90" t="s">
        <v>1699</v>
      </c>
      <c r="P309" s="94" t="s">
        <v>28</v>
      </c>
      <c r="Q309" s="94">
        <v>8500066755</v>
      </c>
      <c r="R309" s="94">
        <v>5000090666</v>
      </c>
      <c r="S309" s="94"/>
      <c r="T309" s="90" t="s">
        <v>655</v>
      </c>
      <c r="U309" s="90">
        <v>8500066754</v>
      </c>
      <c r="V309" s="90">
        <v>5000136747</v>
      </c>
      <c r="W309" s="376"/>
      <c r="X309" s="106">
        <v>5</v>
      </c>
      <c r="Y309" s="106">
        <v>100</v>
      </c>
      <c r="Z309" s="106"/>
      <c r="AA309" s="106">
        <f t="shared" si="16"/>
        <v>0</v>
      </c>
      <c r="AB309" s="106">
        <f t="shared" si="17"/>
        <v>0</v>
      </c>
      <c r="AC309" s="94"/>
      <c r="AD309" s="94"/>
      <c r="AE309" s="94"/>
      <c r="AF309" s="94"/>
      <c r="AG309" s="94"/>
      <c r="AH309" s="263"/>
    </row>
    <row r="310" spans="1:34" ht="26.25" customHeight="1">
      <c r="A310" s="83"/>
      <c r="B310" s="88"/>
      <c r="C310" s="2"/>
      <c r="D310" s="2"/>
      <c r="E310" s="94">
        <v>20</v>
      </c>
      <c r="F310" s="74">
        <v>5</v>
      </c>
      <c r="G310" s="45">
        <f t="shared" si="15"/>
        <v>100</v>
      </c>
      <c r="H310" s="119" t="s">
        <v>46</v>
      </c>
      <c r="I310" s="128">
        <v>45311</v>
      </c>
      <c r="J310" s="74">
        <v>5</v>
      </c>
      <c r="K310" s="74"/>
      <c r="L310" s="156">
        <v>45323</v>
      </c>
      <c r="M310" s="90">
        <v>100</v>
      </c>
      <c r="N310" s="90"/>
      <c r="O310" s="90" t="s">
        <v>1699</v>
      </c>
      <c r="P310" s="94" t="s">
        <v>28</v>
      </c>
      <c r="Q310" s="94">
        <v>8500066753</v>
      </c>
      <c r="R310" s="94">
        <v>5000090666</v>
      </c>
      <c r="S310" s="94"/>
      <c r="T310" s="90" t="s">
        <v>655</v>
      </c>
      <c r="U310" s="90">
        <v>8500066754</v>
      </c>
      <c r="V310" s="90">
        <v>5000136747</v>
      </c>
      <c r="W310" s="376"/>
      <c r="X310" s="106">
        <v>5</v>
      </c>
      <c r="Y310" s="106">
        <v>100</v>
      </c>
      <c r="Z310" s="106"/>
      <c r="AA310" s="106">
        <f t="shared" si="16"/>
        <v>0</v>
      </c>
      <c r="AB310" s="106">
        <f t="shared" si="17"/>
        <v>0</v>
      </c>
      <c r="AC310" s="94"/>
      <c r="AD310" s="94"/>
      <c r="AE310" s="94"/>
      <c r="AF310" s="94"/>
      <c r="AG310" s="94"/>
      <c r="AH310" s="263"/>
    </row>
    <row r="311" spans="1:34" ht="26.25" customHeight="1">
      <c r="A311" s="83" t="s">
        <v>1481</v>
      </c>
      <c r="B311" s="88">
        <v>6000028315</v>
      </c>
      <c r="C311" s="2" t="s">
        <v>1480</v>
      </c>
      <c r="D311" s="2" t="s">
        <v>2598</v>
      </c>
      <c r="E311" s="94">
        <v>10</v>
      </c>
      <c r="F311" s="74">
        <v>100</v>
      </c>
      <c r="G311" s="45">
        <f t="shared" si="15"/>
        <v>1000</v>
      </c>
      <c r="H311" s="119" t="s">
        <v>243</v>
      </c>
      <c r="I311" s="128">
        <v>45313</v>
      </c>
      <c r="J311" s="158">
        <v>100</v>
      </c>
      <c r="K311" s="74">
        <v>10</v>
      </c>
      <c r="L311" s="156">
        <v>45313</v>
      </c>
      <c r="M311" s="90">
        <v>1000</v>
      </c>
      <c r="N311" s="90">
        <v>18</v>
      </c>
      <c r="O311" s="90" t="s">
        <v>921</v>
      </c>
      <c r="P311" s="94" t="s">
        <v>28</v>
      </c>
      <c r="Q311" s="94">
        <v>8500066903</v>
      </c>
      <c r="R311" s="94">
        <v>5000095175</v>
      </c>
      <c r="S311" s="94"/>
      <c r="T311" s="90" t="s">
        <v>1558</v>
      </c>
      <c r="U311" s="90">
        <v>8500066898</v>
      </c>
      <c r="V311" s="90">
        <v>5000091618</v>
      </c>
      <c r="W311" s="376">
        <v>45318</v>
      </c>
      <c r="X311" s="106">
        <v>100</v>
      </c>
      <c r="Y311" s="106">
        <v>1000</v>
      </c>
      <c r="Z311" s="106" t="s">
        <v>800</v>
      </c>
      <c r="AA311" s="106">
        <f t="shared" si="16"/>
        <v>0</v>
      </c>
      <c r="AB311" s="106">
        <f t="shared" si="17"/>
        <v>0</v>
      </c>
      <c r="AC311" s="94"/>
      <c r="AD311" s="94"/>
      <c r="AE311" s="94"/>
      <c r="AF311" s="94"/>
      <c r="AG311" s="94"/>
      <c r="AH311" s="263"/>
    </row>
    <row r="312" spans="1:34" ht="26.25" customHeight="1">
      <c r="A312" s="83"/>
      <c r="B312" s="88"/>
      <c r="C312" s="2"/>
      <c r="D312" s="2"/>
      <c r="E312" s="94">
        <v>10</v>
      </c>
      <c r="F312" s="74">
        <v>2260</v>
      </c>
      <c r="G312" s="45">
        <f t="shared" si="15"/>
        <v>22600</v>
      </c>
      <c r="H312" s="119" t="s">
        <v>27</v>
      </c>
      <c r="I312" s="128">
        <v>45313</v>
      </c>
      <c r="J312" s="158">
        <v>2260</v>
      </c>
      <c r="K312" s="74">
        <v>27</v>
      </c>
      <c r="L312" s="156">
        <v>45314</v>
      </c>
      <c r="M312" s="90">
        <v>22600</v>
      </c>
      <c r="N312" s="90">
        <v>226</v>
      </c>
      <c r="O312" s="90"/>
      <c r="P312" s="94" t="s">
        <v>28</v>
      </c>
      <c r="Q312" s="94">
        <v>8500066903</v>
      </c>
      <c r="R312" s="94">
        <v>5000095175</v>
      </c>
      <c r="S312" s="94"/>
      <c r="T312" s="90" t="s">
        <v>1558</v>
      </c>
      <c r="U312" s="90">
        <v>8500066898</v>
      </c>
      <c r="V312" s="90">
        <v>5000099680</v>
      </c>
      <c r="W312" s="376">
        <v>45345</v>
      </c>
      <c r="X312" s="106">
        <f>1500+760</f>
        <v>2260</v>
      </c>
      <c r="Y312" s="106">
        <f>15000+7600</f>
        <v>22600</v>
      </c>
      <c r="Z312" s="106" t="s">
        <v>2951</v>
      </c>
      <c r="AA312" s="106">
        <f t="shared" si="16"/>
        <v>0</v>
      </c>
      <c r="AB312" s="106">
        <f t="shared" si="17"/>
        <v>0</v>
      </c>
      <c r="AC312" s="94"/>
      <c r="AD312" s="94"/>
      <c r="AE312" s="94"/>
      <c r="AF312" s="94"/>
      <c r="AG312" s="94"/>
      <c r="AH312" s="263"/>
    </row>
    <row r="313" spans="1:34" ht="26.25" customHeight="1">
      <c r="A313" s="83"/>
      <c r="B313" s="88"/>
      <c r="C313" s="2"/>
      <c r="D313" s="2"/>
      <c r="E313" s="94">
        <v>10</v>
      </c>
      <c r="F313" s="74">
        <v>300</v>
      </c>
      <c r="G313" s="45">
        <f t="shared" si="15"/>
        <v>3000</v>
      </c>
      <c r="H313" s="119" t="s">
        <v>37</v>
      </c>
      <c r="I313" s="128">
        <v>45313</v>
      </c>
      <c r="J313" s="158">
        <v>300</v>
      </c>
      <c r="K313" s="74">
        <f>1+1</f>
        <v>2</v>
      </c>
      <c r="L313" s="156">
        <v>45313</v>
      </c>
      <c r="M313" s="90">
        <v>3000</v>
      </c>
      <c r="N313" s="90">
        <v>30</v>
      </c>
      <c r="O313" s="90" t="s">
        <v>921</v>
      </c>
      <c r="P313" s="94" t="s">
        <v>28</v>
      </c>
      <c r="Q313" s="94">
        <v>8500066903</v>
      </c>
      <c r="R313" s="94">
        <v>5000095175</v>
      </c>
      <c r="S313" s="94"/>
      <c r="T313" s="90" t="s">
        <v>1558</v>
      </c>
      <c r="U313" s="90">
        <v>8500066898</v>
      </c>
      <c r="V313" s="90">
        <v>5000091618</v>
      </c>
      <c r="W313" s="376">
        <v>45339</v>
      </c>
      <c r="X313" s="106">
        <v>300</v>
      </c>
      <c r="Y313" s="106">
        <v>3000</v>
      </c>
      <c r="Z313" s="106" t="s">
        <v>927</v>
      </c>
      <c r="AA313" s="106">
        <f t="shared" si="16"/>
        <v>0</v>
      </c>
      <c r="AB313" s="106">
        <f t="shared" si="17"/>
        <v>0</v>
      </c>
      <c r="AC313" s="94"/>
      <c r="AD313" s="94"/>
      <c r="AE313" s="94"/>
      <c r="AF313" s="94"/>
      <c r="AG313" s="94"/>
      <c r="AH313" s="263"/>
    </row>
    <row r="314" spans="1:34" ht="26.25" customHeight="1">
      <c r="A314" s="83" t="s">
        <v>868</v>
      </c>
      <c r="B314" s="88">
        <v>6000027703</v>
      </c>
      <c r="C314" s="2" t="s">
        <v>714</v>
      </c>
      <c r="D314" s="2">
        <v>6000027703</v>
      </c>
      <c r="E314" s="94">
        <v>20</v>
      </c>
      <c r="F314" s="74">
        <v>625</v>
      </c>
      <c r="G314" s="45">
        <f t="shared" si="15"/>
        <v>12500</v>
      </c>
      <c r="H314" s="119" t="s">
        <v>243</v>
      </c>
      <c r="I314" s="128">
        <v>45313</v>
      </c>
      <c r="J314" s="74">
        <v>625</v>
      </c>
      <c r="K314" s="74">
        <v>7</v>
      </c>
      <c r="L314" s="156">
        <v>45313</v>
      </c>
      <c r="M314" s="90">
        <v>12500</v>
      </c>
      <c r="N314" s="90">
        <v>150</v>
      </c>
      <c r="O314" s="90" t="s">
        <v>1791</v>
      </c>
      <c r="P314" s="94" t="s">
        <v>28</v>
      </c>
      <c r="Q314" s="94">
        <v>8500067396</v>
      </c>
      <c r="R314" s="94">
        <v>5000091946</v>
      </c>
      <c r="S314" s="94"/>
      <c r="T314" s="90" t="s">
        <v>655</v>
      </c>
      <c r="U314" s="90">
        <v>8500067395</v>
      </c>
      <c r="V314" s="90">
        <v>5000095071</v>
      </c>
      <c r="W314" s="376" t="s">
        <v>2997</v>
      </c>
      <c r="X314" s="106">
        <f>625-55+55</f>
        <v>625</v>
      </c>
      <c r="Y314" s="106">
        <f>12500-1100+1100</f>
        <v>12500</v>
      </c>
      <c r="Z314" s="106" t="s">
        <v>1785</v>
      </c>
      <c r="AA314" s="106">
        <f t="shared" si="16"/>
        <v>0</v>
      </c>
      <c r="AB314" s="106">
        <f t="shared" si="17"/>
        <v>0</v>
      </c>
      <c r="AC314" s="94"/>
      <c r="AD314" s="94"/>
      <c r="AE314" s="94"/>
      <c r="AF314" s="94"/>
      <c r="AG314" s="94"/>
      <c r="AH314" s="263"/>
    </row>
    <row r="315" spans="1:34" ht="26.25" customHeight="1">
      <c r="A315" s="83"/>
      <c r="B315" s="88"/>
      <c r="C315" s="2"/>
      <c r="D315" s="2"/>
      <c r="E315" s="94">
        <v>20</v>
      </c>
      <c r="F315" s="74">
        <v>100</v>
      </c>
      <c r="G315" s="45">
        <f t="shared" si="15"/>
        <v>2000</v>
      </c>
      <c r="H315" s="119" t="s">
        <v>27</v>
      </c>
      <c r="I315" s="128">
        <v>45313</v>
      </c>
      <c r="J315" s="74">
        <v>100</v>
      </c>
      <c r="K315" s="74">
        <v>1</v>
      </c>
      <c r="L315" s="156">
        <v>45313</v>
      </c>
      <c r="M315" s="90">
        <v>2000</v>
      </c>
      <c r="N315" s="90">
        <v>30</v>
      </c>
      <c r="O315" s="90" t="s">
        <v>1440</v>
      </c>
      <c r="P315" s="94" t="s">
        <v>28</v>
      </c>
      <c r="Q315" s="94">
        <v>8500067396</v>
      </c>
      <c r="R315" s="94">
        <v>5000091946</v>
      </c>
      <c r="S315" s="94"/>
      <c r="T315" s="90" t="s">
        <v>655</v>
      </c>
      <c r="U315" s="90">
        <v>8500067395</v>
      </c>
      <c r="V315" s="90">
        <v>5000095071</v>
      </c>
      <c r="W315" s="376">
        <v>45346</v>
      </c>
      <c r="X315" s="106">
        <v>100</v>
      </c>
      <c r="Y315" s="106">
        <v>2000</v>
      </c>
      <c r="Z315" s="106" t="s">
        <v>1502</v>
      </c>
      <c r="AA315" s="106">
        <f t="shared" si="16"/>
        <v>0</v>
      </c>
      <c r="AB315" s="106">
        <f t="shared" si="17"/>
        <v>0</v>
      </c>
      <c r="AC315" s="94"/>
      <c r="AD315" s="94"/>
      <c r="AE315" s="94"/>
      <c r="AF315" s="94"/>
      <c r="AG315" s="94"/>
      <c r="AH315" s="263"/>
    </row>
    <row r="316" spans="1:34" ht="26.25" customHeight="1">
      <c r="A316" s="83"/>
      <c r="B316" s="88"/>
      <c r="C316" s="2"/>
      <c r="D316" s="2"/>
      <c r="E316" s="94">
        <v>20</v>
      </c>
      <c r="F316" s="74">
        <v>445</v>
      </c>
      <c r="G316" s="45">
        <f t="shared" si="15"/>
        <v>8900</v>
      </c>
      <c r="H316" s="119" t="s">
        <v>46</v>
      </c>
      <c r="I316" s="128">
        <v>45313</v>
      </c>
      <c r="J316" s="74">
        <v>445</v>
      </c>
      <c r="K316" s="74">
        <v>5</v>
      </c>
      <c r="L316" s="156">
        <v>45313</v>
      </c>
      <c r="M316" s="90">
        <v>8900</v>
      </c>
      <c r="N316" s="90">
        <v>96</v>
      </c>
      <c r="O316" s="90" t="s">
        <v>2607</v>
      </c>
      <c r="P316" s="94" t="s">
        <v>28</v>
      </c>
      <c r="Q316" s="94">
        <v>8500067396</v>
      </c>
      <c r="R316" s="94">
        <v>5000091946</v>
      </c>
      <c r="S316" s="94"/>
      <c r="T316" s="90" t="s">
        <v>655</v>
      </c>
      <c r="U316" s="90">
        <v>8500067395</v>
      </c>
      <c r="V316" s="90">
        <v>5000095071</v>
      </c>
      <c r="W316" s="376">
        <v>45324</v>
      </c>
      <c r="X316" s="106">
        <v>445</v>
      </c>
      <c r="Y316" s="106">
        <v>8900</v>
      </c>
      <c r="Z316" s="106" t="s">
        <v>1460</v>
      </c>
      <c r="AA316" s="106">
        <f t="shared" si="16"/>
        <v>0</v>
      </c>
      <c r="AB316" s="106">
        <f t="shared" si="17"/>
        <v>0</v>
      </c>
      <c r="AC316" s="94"/>
      <c r="AD316" s="94"/>
      <c r="AE316" s="94"/>
      <c r="AF316" s="94"/>
      <c r="AG316" s="94"/>
      <c r="AH316" s="263"/>
    </row>
    <row r="317" spans="1:34" ht="26.25" customHeight="1">
      <c r="A317" s="83"/>
      <c r="B317" s="88"/>
      <c r="C317" s="2"/>
      <c r="D317" s="2"/>
      <c r="E317" s="94">
        <v>20</v>
      </c>
      <c r="F317" s="74">
        <v>415</v>
      </c>
      <c r="G317" s="45">
        <f t="shared" si="15"/>
        <v>8300</v>
      </c>
      <c r="H317" s="119" t="s">
        <v>37</v>
      </c>
      <c r="I317" s="128">
        <v>45313</v>
      </c>
      <c r="J317" s="74">
        <v>415</v>
      </c>
      <c r="K317" s="74">
        <v>5</v>
      </c>
      <c r="L317" s="156">
        <v>45313</v>
      </c>
      <c r="M317" s="90">
        <v>8300</v>
      </c>
      <c r="N317" s="90">
        <v>100</v>
      </c>
      <c r="O317" s="90" t="s">
        <v>2608</v>
      </c>
      <c r="P317" s="94" t="s">
        <v>28</v>
      </c>
      <c r="Q317" s="94">
        <v>8500067396</v>
      </c>
      <c r="R317" s="94">
        <v>5000091946</v>
      </c>
      <c r="S317" s="94"/>
      <c r="T317" s="90" t="s">
        <v>655</v>
      </c>
      <c r="U317" s="90">
        <v>8500067395</v>
      </c>
      <c r="V317" s="90">
        <v>5000095071</v>
      </c>
      <c r="W317" s="376">
        <v>45344</v>
      </c>
      <c r="X317" s="106">
        <v>415</v>
      </c>
      <c r="Y317" s="106">
        <v>8300</v>
      </c>
      <c r="Z317" s="106" t="s">
        <v>2878</v>
      </c>
      <c r="AA317" s="106">
        <f t="shared" si="16"/>
        <v>0</v>
      </c>
      <c r="AB317" s="106">
        <f t="shared" si="17"/>
        <v>0</v>
      </c>
      <c r="AC317" s="94"/>
      <c r="AD317" s="94"/>
      <c r="AE317" s="94"/>
      <c r="AF317" s="94"/>
      <c r="AG317" s="94"/>
      <c r="AH317" s="263"/>
    </row>
    <row r="318" spans="1:34" ht="26.25" customHeight="1">
      <c r="A318" s="2" t="s">
        <v>1727</v>
      </c>
      <c r="B318" s="88">
        <v>6000027707</v>
      </c>
      <c r="C318" s="2" t="s">
        <v>1725</v>
      </c>
      <c r="D318" s="2" t="s">
        <v>2606</v>
      </c>
      <c r="E318" s="94">
        <v>10</v>
      </c>
      <c r="F318" s="74">
        <v>144</v>
      </c>
      <c r="G318" s="45">
        <f t="shared" si="15"/>
        <v>1440</v>
      </c>
      <c r="H318" s="119" t="s">
        <v>27</v>
      </c>
      <c r="I318" s="128">
        <v>45324</v>
      </c>
      <c r="J318" s="74">
        <v>144</v>
      </c>
      <c r="K318" s="74">
        <v>0</v>
      </c>
      <c r="L318" s="237">
        <v>45324</v>
      </c>
      <c r="M318" s="90">
        <v>1440</v>
      </c>
      <c r="N318" s="90">
        <v>8</v>
      </c>
      <c r="O318" s="90"/>
      <c r="P318" s="94" t="s">
        <v>1666</v>
      </c>
      <c r="Q318" s="94">
        <v>8500067416</v>
      </c>
      <c r="R318" s="94">
        <v>5000095008</v>
      </c>
      <c r="S318" s="94"/>
      <c r="T318" s="90" t="s">
        <v>1666</v>
      </c>
      <c r="U318" s="90">
        <v>8500067414</v>
      </c>
      <c r="V318" s="90">
        <v>5000095009</v>
      </c>
      <c r="W318" s="376">
        <v>45346</v>
      </c>
      <c r="X318" s="106">
        <v>144</v>
      </c>
      <c r="Y318" s="106">
        <v>1440</v>
      </c>
      <c r="Z318" s="106" t="s">
        <v>1980</v>
      </c>
      <c r="AA318" s="106">
        <f t="shared" si="16"/>
        <v>0</v>
      </c>
      <c r="AB318" s="106">
        <f t="shared" si="17"/>
        <v>0</v>
      </c>
      <c r="AC318" s="94" t="s">
        <v>2755</v>
      </c>
      <c r="AD318" s="94"/>
      <c r="AE318" s="94"/>
      <c r="AF318" s="94"/>
      <c r="AG318" s="94"/>
      <c r="AH318" s="263"/>
    </row>
    <row r="319" spans="1:34" ht="26.25" customHeight="1">
      <c r="A319" s="2"/>
      <c r="B319" s="88"/>
      <c r="C319" s="526" t="s">
        <v>2772</v>
      </c>
      <c r="D319" s="2"/>
      <c r="E319" s="94">
        <v>10</v>
      </c>
      <c r="F319" s="74">
        <v>1080</v>
      </c>
      <c r="G319" s="45">
        <f t="shared" si="15"/>
        <v>10800</v>
      </c>
      <c r="H319" s="119" t="s">
        <v>46</v>
      </c>
      <c r="I319" s="128">
        <v>45324</v>
      </c>
      <c r="J319" s="74">
        <v>1080</v>
      </c>
      <c r="K319" s="74">
        <v>10</v>
      </c>
      <c r="L319" s="237">
        <v>45324</v>
      </c>
      <c r="M319" s="90">
        <v>10800</v>
      </c>
      <c r="N319" s="90">
        <v>54</v>
      </c>
      <c r="O319" s="90"/>
      <c r="P319" s="94" t="s">
        <v>1666</v>
      </c>
      <c r="Q319" s="94"/>
      <c r="R319" s="94"/>
      <c r="S319" s="94"/>
      <c r="T319" s="90" t="s">
        <v>1666</v>
      </c>
      <c r="U319" s="90"/>
      <c r="V319" s="90"/>
      <c r="W319" s="376">
        <v>45346</v>
      </c>
      <c r="X319" s="106">
        <v>1080</v>
      </c>
      <c r="Y319" s="106">
        <v>10800</v>
      </c>
      <c r="Z319" s="106" t="s">
        <v>1980</v>
      </c>
      <c r="AA319" s="106">
        <f t="shared" si="16"/>
        <v>0</v>
      </c>
      <c r="AB319" s="106">
        <f t="shared" si="17"/>
        <v>0</v>
      </c>
      <c r="AC319" s="94"/>
      <c r="AD319" s="94"/>
      <c r="AE319" s="94"/>
      <c r="AF319" s="94"/>
      <c r="AG319" s="94"/>
      <c r="AH319" s="263"/>
    </row>
    <row r="320" spans="1:34" ht="26.25" customHeight="1">
      <c r="A320" s="2"/>
      <c r="B320" s="88"/>
      <c r="C320" s="527"/>
      <c r="D320" s="2"/>
      <c r="E320" s="94">
        <v>10</v>
      </c>
      <c r="F320" s="74">
        <v>1674</v>
      </c>
      <c r="G320" s="45">
        <f t="shared" si="15"/>
        <v>16740</v>
      </c>
      <c r="H320" s="119" t="s">
        <v>37</v>
      </c>
      <c r="I320" s="128">
        <v>45324</v>
      </c>
      <c r="J320" s="74">
        <v>1674</v>
      </c>
      <c r="K320" s="74">
        <v>6</v>
      </c>
      <c r="L320" s="237">
        <v>45324</v>
      </c>
      <c r="M320" s="90">
        <v>16740</v>
      </c>
      <c r="N320" s="90">
        <v>84</v>
      </c>
      <c r="O320" s="90"/>
      <c r="P320" s="94" t="s">
        <v>1666</v>
      </c>
      <c r="Q320" s="94"/>
      <c r="R320" s="94"/>
      <c r="S320" s="94"/>
      <c r="T320" s="90" t="s">
        <v>1666</v>
      </c>
      <c r="U320" s="90"/>
      <c r="V320" s="90"/>
      <c r="W320" s="376">
        <v>45359</v>
      </c>
      <c r="X320" s="106">
        <v>1674</v>
      </c>
      <c r="Y320" s="106">
        <v>16740</v>
      </c>
      <c r="Z320" s="106" t="s">
        <v>870</v>
      </c>
      <c r="AA320" s="106">
        <f t="shared" si="16"/>
        <v>0</v>
      </c>
      <c r="AB320" s="106">
        <f t="shared" si="17"/>
        <v>0</v>
      </c>
      <c r="AC320" s="94"/>
      <c r="AD320" s="94"/>
      <c r="AE320" s="94"/>
      <c r="AF320" s="94"/>
      <c r="AG320" s="94"/>
      <c r="AH320" s="263"/>
    </row>
    <row r="321" spans="1:34" ht="26.25" customHeight="1">
      <c r="A321" s="2"/>
      <c r="B321" s="88"/>
      <c r="C321" s="528"/>
      <c r="D321" s="2"/>
      <c r="E321" s="94">
        <v>10</v>
      </c>
      <c r="F321" s="74">
        <v>792</v>
      </c>
      <c r="G321" s="45">
        <f t="shared" si="15"/>
        <v>7920</v>
      </c>
      <c r="H321" s="119" t="s">
        <v>146</v>
      </c>
      <c r="I321" s="128">
        <v>45324</v>
      </c>
      <c r="J321" s="74">
        <v>792</v>
      </c>
      <c r="K321" s="74">
        <v>7</v>
      </c>
      <c r="L321" s="237">
        <v>45324</v>
      </c>
      <c r="M321" s="90">
        <v>7920</v>
      </c>
      <c r="N321" s="90">
        <v>40</v>
      </c>
      <c r="O321" s="90"/>
      <c r="P321" s="94" t="s">
        <v>1666</v>
      </c>
      <c r="Q321" s="94"/>
      <c r="R321" s="94"/>
      <c r="S321" s="94"/>
      <c r="T321" s="90" t="s">
        <v>1666</v>
      </c>
      <c r="U321" s="90"/>
      <c r="V321" s="90"/>
      <c r="W321" s="376">
        <v>45362</v>
      </c>
      <c r="X321" s="106">
        <v>792</v>
      </c>
      <c r="Y321" s="106">
        <v>7920</v>
      </c>
      <c r="Z321" s="106" t="s">
        <v>2667</v>
      </c>
      <c r="AA321" s="106">
        <f t="shared" si="16"/>
        <v>0</v>
      </c>
      <c r="AB321" s="106">
        <f t="shared" si="17"/>
        <v>0</v>
      </c>
      <c r="AC321" s="94"/>
      <c r="AD321" s="94"/>
      <c r="AE321" s="94"/>
      <c r="AF321" s="94"/>
      <c r="AG321" s="94"/>
      <c r="AH321" s="263"/>
    </row>
    <row r="322" spans="1:34" ht="26.25" customHeight="1">
      <c r="A322" s="83" t="s">
        <v>652</v>
      </c>
      <c r="B322" s="88">
        <v>6000027785</v>
      </c>
      <c r="C322" s="2" t="s">
        <v>2060</v>
      </c>
      <c r="D322" s="2">
        <v>2342544</v>
      </c>
      <c r="E322" s="94">
        <v>10</v>
      </c>
      <c r="F322" s="74">
        <v>2025</v>
      </c>
      <c r="G322" s="45">
        <f t="shared" si="15"/>
        <v>20250</v>
      </c>
      <c r="H322" s="119" t="s">
        <v>46</v>
      </c>
      <c r="I322" s="128">
        <v>45315</v>
      </c>
      <c r="J322" s="158">
        <v>2025</v>
      </c>
      <c r="K322" s="74">
        <f>22+3</f>
        <v>25</v>
      </c>
      <c r="L322" s="156" t="s">
        <v>2776</v>
      </c>
      <c r="M322" s="90">
        <f>6000+14250</f>
        <v>20250</v>
      </c>
      <c r="N322" s="90">
        <v>150</v>
      </c>
      <c r="O322" s="90" t="s">
        <v>1875</v>
      </c>
      <c r="P322" s="94" t="s">
        <v>160</v>
      </c>
      <c r="Q322" s="94">
        <v>8500066331</v>
      </c>
      <c r="R322" s="94">
        <v>5000100999</v>
      </c>
      <c r="S322" s="94"/>
      <c r="T322" s="90" t="s">
        <v>655</v>
      </c>
      <c r="U322" s="90">
        <v>8500066330</v>
      </c>
      <c r="V322" s="90">
        <v>5000140949</v>
      </c>
      <c r="W322" s="376" t="s">
        <v>2920</v>
      </c>
      <c r="X322" s="106">
        <f>300+1725</f>
        <v>2025</v>
      </c>
      <c r="Y322" s="106">
        <f>3000+17250</f>
        <v>20250</v>
      </c>
      <c r="Z322" s="106" t="s">
        <v>2921</v>
      </c>
      <c r="AA322" s="106">
        <f t="shared" si="16"/>
        <v>0</v>
      </c>
      <c r="AB322" s="106">
        <f t="shared" si="17"/>
        <v>0</v>
      </c>
      <c r="AC322" s="94"/>
      <c r="AD322" s="94"/>
      <c r="AE322" s="94"/>
      <c r="AF322" s="94"/>
      <c r="AG322" s="94"/>
      <c r="AH322" s="263"/>
    </row>
    <row r="323" spans="1:34" ht="26.25" customHeight="1">
      <c r="A323" s="83"/>
      <c r="B323" s="88"/>
      <c r="C323" s="2"/>
      <c r="D323" s="2"/>
      <c r="E323" s="94">
        <v>10</v>
      </c>
      <c r="F323" s="74">
        <v>2025</v>
      </c>
      <c r="G323" s="45">
        <f t="shared" si="15"/>
        <v>20250</v>
      </c>
      <c r="H323" s="119" t="s">
        <v>37</v>
      </c>
      <c r="I323" s="128">
        <v>45321</v>
      </c>
      <c r="J323" s="158">
        <v>2025</v>
      </c>
      <c r="K323" s="74">
        <v>22</v>
      </c>
      <c r="L323" s="156">
        <v>45325</v>
      </c>
      <c r="M323" s="90">
        <v>20250</v>
      </c>
      <c r="N323" s="90">
        <v>150</v>
      </c>
      <c r="O323" s="90"/>
      <c r="P323" s="94" t="s">
        <v>160</v>
      </c>
      <c r="Q323" s="94">
        <v>8500066331</v>
      </c>
      <c r="R323" s="94">
        <v>5000127854</v>
      </c>
      <c r="S323" s="94"/>
      <c r="T323" s="90" t="s">
        <v>655</v>
      </c>
      <c r="U323" s="90">
        <v>8500066330</v>
      </c>
      <c r="V323" s="90">
        <v>5000145561</v>
      </c>
      <c r="W323" s="376">
        <v>45350</v>
      </c>
      <c r="X323" s="106">
        <v>2025</v>
      </c>
      <c r="Y323" s="106">
        <v>20250</v>
      </c>
      <c r="Z323" s="106" t="s">
        <v>2971</v>
      </c>
      <c r="AA323" s="106">
        <f t="shared" si="16"/>
        <v>0</v>
      </c>
      <c r="AB323" s="106">
        <f t="shared" si="17"/>
        <v>0</v>
      </c>
      <c r="AC323" s="94"/>
      <c r="AD323" s="94"/>
      <c r="AE323" s="94"/>
      <c r="AF323" s="94"/>
      <c r="AG323" s="94"/>
      <c r="AH323" s="263"/>
    </row>
    <row r="324" spans="1:34" ht="26.25" customHeight="1">
      <c r="A324" s="83" t="s">
        <v>652</v>
      </c>
      <c r="B324" s="88">
        <v>6000027786</v>
      </c>
      <c r="C324" s="2" t="s">
        <v>2060</v>
      </c>
      <c r="D324" s="2">
        <v>2342545</v>
      </c>
      <c r="E324" s="94">
        <v>10</v>
      </c>
      <c r="F324" s="74">
        <v>2025</v>
      </c>
      <c r="G324" s="45">
        <f t="shared" ref="G324:G367" si="18">F324*E324</f>
        <v>20250</v>
      </c>
      <c r="H324" s="119" t="s">
        <v>46</v>
      </c>
      <c r="I324" s="128">
        <v>45321</v>
      </c>
      <c r="J324" s="158">
        <v>2025</v>
      </c>
      <c r="K324" s="74">
        <f>22+3</f>
        <v>25</v>
      </c>
      <c r="L324" s="156">
        <v>45321</v>
      </c>
      <c r="M324" s="90">
        <v>20250</v>
      </c>
      <c r="N324" s="90">
        <v>150</v>
      </c>
      <c r="O324" s="90"/>
      <c r="P324" s="94" t="s">
        <v>160</v>
      </c>
      <c r="Q324" s="94">
        <v>8500066305</v>
      </c>
      <c r="R324" s="94">
        <v>5000128004</v>
      </c>
      <c r="S324" s="94"/>
      <c r="T324" s="90" t="s">
        <v>655</v>
      </c>
      <c r="U324" s="90">
        <v>8500066304</v>
      </c>
      <c r="V324" s="90">
        <v>5000128112</v>
      </c>
      <c r="W324" s="376">
        <v>45339</v>
      </c>
      <c r="X324" s="106">
        <v>2025</v>
      </c>
      <c r="Y324" s="106">
        <v>20250</v>
      </c>
      <c r="Z324" s="106" t="s">
        <v>1460</v>
      </c>
      <c r="AA324" s="106">
        <f t="shared" si="16"/>
        <v>0</v>
      </c>
      <c r="AB324" s="106">
        <f t="shared" si="17"/>
        <v>0</v>
      </c>
      <c r="AC324" s="94"/>
      <c r="AD324" s="94"/>
      <c r="AE324" s="94"/>
      <c r="AF324" s="94"/>
      <c r="AG324" s="94"/>
      <c r="AH324" s="263"/>
    </row>
    <row r="325" spans="1:34" ht="26.25" customHeight="1">
      <c r="A325" s="90"/>
      <c r="B325" s="88"/>
      <c r="C325" s="94"/>
      <c r="D325" s="95"/>
      <c r="E325" s="94">
        <v>10</v>
      </c>
      <c r="F325" s="74">
        <v>2025</v>
      </c>
      <c r="G325" s="45">
        <f t="shared" si="18"/>
        <v>20250</v>
      </c>
      <c r="H325" s="119" t="s">
        <v>37</v>
      </c>
      <c r="I325" s="128">
        <v>45315</v>
      </c>
      <c r="J325" s="158">
        <v>2025</v>
      </c>
      <c r="K325" s="74">
        <f>22+8</f>
        <v>30</v>
      </c>
      <c r="L325" s="156">
        <v>45321</v>
      </c>
      <c r="M325" s="90">
        <v>20250</v>
      </c>
      <c r="N325" s="90">
        <v>150</v>
      </c>
      <c r="O325" s="90" t="s">
        <v>2731</v>
      </c>
      <c r="P325" s="94" t="s">
        <v>160</v>
      </c>
      <c r="Q325" s="94">
        <v>8500066305</v>
      </c>
      <c r="R325" s="94">
        <v>5000101011</v>
      </c>
      <c r="S325" s="94"/>
      <c r="T325" s="90" t="s">
        <v>655</v>
      </c>
      <c r="U325" s="90">
        <v>8500066304</v>
      </c>
      <c r="V325" s="90">
        <v>5000128112</v>
      </c>
      <c r="W325" s="376" t="s">
        <v>2965</v>
      </c>
      <c r="X325" s="106">
        <f>150+1875</f>
        <v>2025</v>
      </c>
      <c r="Y325" s="106">
        <f>1500+18750</f>
        <v>20250</v>
      </c>
      <c r="Z325" s="106" t="s">
        <v>2966</v>
      </c>
      <c r="AA325" s="106">
        <f t="shared" si="16"/>
        <v>0</v>
      </c>
      <c r="AB325" s="106">
        <f t="shared" si="17"/>
        <v>0</v>
      </c>
      <c r="AC325" s="94"/>
      <c r="AD325" s="94"/>
      <c r="AE325" s="94"/>
      <c r="AF325" s="94"/>
      <c r="AG325" s="94"/>
      <c r="AH325" s="263"/>
    </row>
    <row r="326" spans="1:34" ht="26.25" customHeight="1">
      <c r="A326" s="83" t="s">
        <v>652</v>
      </c>
      <c r="B326" s="88">
        <v>6000027787</v>
      </c>
      <c r="C326" s="2" t="s">
        <v>2060</v>
      </c>
      <c r="D326" s="2">
        <v>2342546</v>
      </c>
      <c r="E326" s="94">
        <v>10</v>
      </c>
      <c r="F326" s="74">
        <v>2025</v>
      </c>
      <c r="G326" s="45">
        <f>F326*E326</f>
        <v>20250</v>
      </c>
      <c r="H326" s="119" t="s">
        <v>46</v>
      </c>
      <c r="I326" s="128">
        <v>45321</v>
      </c>
      <c r="J326" s="158">
        <f>1607+418</f>
        <v>2025</v>
      </c>
      <c r="K326" s="74">
        <v>22</v>
      </c>
      <c r="L326" s="156">
        <v>45322</v>
      </c>
      <c r="M326" s="90">
        <v>20250</v>
      </c>
      <c r="N326" s="90">
        <v>150</v>
      </c>
      <c r="O326" s="90"/>
      <c r="P326" s="94" t="s">
        <v>160</v>
      </c>
      <c r="Q326" s="94">
        <v>8500066307</v>
      </c>
      <c r="R326" s="94">
        <v>5000127589</v>
      </c>
      <c r="S326" s="94"/>
      <c r="T326" s="90" t="s">
        <v>655</v>
      </c>
      <c r="U326" s="90">
        <v>8500066306</v>
      </c>
      <c r="V326" s="90">
        <v>5000131761</v>
      </c>
      <c r="W326" s="376">
        <v>45338</v>
      </c>
      <c r="X326" s="106">
        <v>2025</v>
      </c>
      <c r="Y326" s="106">
        <v>20250</v>
      </c>
      <c r="Z326" s="106" t="s">
        <v>1460</v>
      </c>
      <c r="AA326" s="106">
        <f t="shared" si="16"/>
        <v>0</v>
      </c>
      <c r="AB326" s="106">
        <f t="shared" si="17"/>
        <v>0</v>
      </c>
      <c r="AC326" s="94"/>
      <c r="AD326" s="94"/>
      <c r="AE326" s="94"/>
      <c r="AF326" s="94"/>
      <c r="AG326" s="94"/>
      <c r="AH326" s="263"/>
    </row>
    <row r="327" spans="1:34" ht="26.25" customHeight="1">
      <c r="A327" s="90"/>
      <c r="B327" s="88"/>
      <c r="C327" s="94"/>
      <c r="D327" s="95"/>
      <c r="E327" s="94">
        <v>10</v>
      </c>
      <c r="F327" s="74">
        <v>2025</v>
      </c>
      <c r="G327" s="45">
        <f>F327*E327</f>
        <v>20250</v>
      </c>
      <c r="H327" s="119" t="s">
        <v>37</v>
      </c>
      <c r="I327" s="128">
        <v>45315</v>
      </c>
      <c r="J327" s="158">
        <v>2025</v>
      </c>
      <c r="K327" s="74">
        <f>22+3</f>
        <v>25</v>
      </c>
      <c r="L327" s="156">
        <v>45323</v>
      </c>
      <c r="M327" s="90">
        <v>20250</v>
      </c>
      <c r="N327" s="90">
        <v>150</v>
      </c>
      <c r="O327" s="90" t="s">
        <v>2754</v>
      </c>
      <c r="P327" s="94" t="s">
        <v>160</v>
      </c>
      <c r="Q327" s="94">
        <v>8500066307</v>
      </c>
      <c r="R327" s="94">
        <v>5000104174</v>
      </c>
      <c r="S327" s="94"/>
      <c r="T327" s="90" t="s">
        <v>655</v>
      </c>
      <c r="U327" s="90">
        <v>8500066306</v>
      </c>
      <c r="V327" s="90">
        <v>5000139349</v>
      </c>
      <c r="W327" s="376">
        <v>45348</v>
      </c>
      <c r="X327" s="106">
        <v>2025</v>
      </c>
      <c r="Y327" s="106">
        <v>20250</v>
      </c>
      <c r="Z327" s="106" t="s">
        <v>2952</v>
      </c>
      <c r="AA327" s="106">
        <f t="shared" si="16"/>
        <v>0</v>
      </c>
      <c r="AB327" s="106">
        <f t="shared" si="17"/>
        <v>0</v>
      </c>
      <c r="AC327" s="94"/>
      <c r="AD327" s="94"/>
      <c r="AE327" s="94"/>
      <c r="AF327" s="94"/>
      <c r="AG327" s="94"/>
      <c r="AH327" s="263"/>
    </row>
    <row r="328" spans="1:34" ht="26.25" customHeight="1">
      <c r="A328" s="83" t="s">
        <v>652</v>
      </c>
      <c r="B328" s="88">
        <v>6000027788</v>
      </c>
      <c r="C328" s="2" t="s">
        <v>2060</v>
      </c>
      <c r="D328" s="2">
        <v>2342547</v>
      </c>
      <c r="E328" s="94">
        <v>10</v>
      </c>
      <c r="F328" s="74">
        <v>2025</v>
      </c>
      <c r="G328" s="45">
        <f>F328*E328</f>
        <v>20250</v>
      </c>
      <c r="H328" s="119" t="s">
        <v>46</v>
      </c>
      <c r="I328" s="128">
        <v>45321</v>
      </c>
      <c r="J328" s="158">
        <f>1607+418</f>
        <v>2025</v>
      </c>
      <c r="K328" s="74">
        <f>22+3</f>
        <v>25</v>
      </c>
      <c r="L328" s="156" t="s">
        <v>2740</v>
      </c>
      <c r="M328" s="90">
        <f>7000+13250</f>
        <v>20250</v>
      </c>
      <c r="N328" s="90">
        <v>80</v>
      </c>
      <c r="O328" s="90" t="s">
        <v>741</v>
      </c>
      <c r="P328" s="94" t="s">
        <v>160</v>
      </c>
      <c r="Q328" s="94">
        <v>8500066309</v>
      </c>
      <c r="R328" s="94">
        <v>5000127967</v>
      </c>
      <c r="S328" s="94"/>
      <c r="T328" s="90" t="s">
        <v>655</v>
      </c>
      <c r="U328" s="90">
        <v>8500066308</v>
      </c>
      <c r="V328" s="90">
        <v>5000128113</v>
      </c>
      <c r="W328" s="376">
        <v>45335</v>
      </c>
      <c r="X328" s="106">
        <v>2025</v>
      </c>
      <c r="Y328" s="106">
        <v>20250</v>
      </c>
      <c r="Z328" s="106" t="s">
        <v>1460</v>
      </c>
      <c r="AA328" s="106">
        <f t="shared" si="16"/>
        <v>0</v>
      </c>
      <c r="AB328" s="106">
        <f t="shared" si="17"/>
        <v>0</v>
      </c>
      <c r="AC328" s="94"/>
      <c r="AD328" s="94"/>
      <c r="AE328" s="94"/>
      <c r="AF328" s="94"/>
      <c r="AG328" s="94"/>
      <c r="AH328" s="263"/>
    </row>
    <row r="329" spans="1:34" ht="30" customHeight="1">
      <c r="A329" s="90"/>
      <c r="B329" s="88"/>
      <c r="C329" s="94"/>
      <c r="D329" s="95"/>
      <c r="E329" s="94">
        <v>10</v>
      </c>
      <c r="F329" s="74">
        <v>2025</v>
      </c>
      <c r="G329" s="45">
        <f>F329*E329</f>
        <v>20250</v>
      </c>
      <c r="H329" s="119" t="s">
        <v>37</v>
      </c>
      <c r="I329" s="128">
        <v>45321</v>
      </c>
      <c r="J329" s="158">
        <v>2025</v>
      </c>
      <c r="K329" s="74">
        <f>22+4</f>
        <v>26</v>
      </c>
      <c r="L329" s="156">
        <v>45321</v>
      </c>
      <c r="M329" s="90">
        <v>20250</v>
      </c>
      <c r="N329" s="90">
        <v>150</v>
      </c>
      <c r="O329" s="90" t="s">
        <v>2732</v>
      </c>
      <c r="P329" s="94" t="s">
        <v>160</v>
      </c>
      <c r="Q329" s="94">
        <v>8500066309</v>
      </c>
      <c r="R329" s="94">
        <v>5000127967</v>
      </c>
      <c r="S329" s="94"/>
      <c r="T329" s="90" t="s">
        <v>655</v>
      </c>
      <c r="U329" s="90">
        <v>8500066308</v>
      </c>
      <c r="V329" s="90">
        <v>5000128113</v>
      </c>
      <c r="W329" s="376" t="s">
        <v>2947</v>
      </c>
      <c r="X329" s="106">
        <f>1000+1025</f>
        <v>2025</v>
      </c>
      <c r="Y329" s="106">
        <f>10000+10250</f>
        <v>20250</v>
      </c>
      <c r="Z329" s="106" t="s">
        <v>2357</v>
      </c>
      <c r="AA329" s="106">
        <f t="shared" si="16"/>
        <v>0</v>
      </c>
      <c r="AB329" s="106">
        <f t="shared" si="17"/>
        <v>0</v>
      </c>
      <c r="AC329" s="94"/>
      <c r="AD329" s="94"/>
      <c r="AE329" s="94"/>
      <c r="AF329" s="94"/>
      <c r="AG329" s="94"/>
      <c r="AH329" s="263"/>
    </row>
    <row r="330" spans="1:34" ht="26.25" customHeight="1">
      <c r="A330" s="83" t="s">
        <v>652</v>
      </c>
      <c r="B330" s="88">
        <v>6000027789</v>
      </c>
      <c r="C330" s="2" t="s">
        <v>2060</v>
      </c>
      <c r="D330" s="2">
        <v>2342548</v>
      </c>
      <c r="E330" s="94">
        <v>10</v>
      </c>
      <c r="F330" s="74">
        <v>2025</v>
      </c>
      <c r="G330" s="45">
        <f t="shared" ref="G330:G336" si="19">F330*E330</f>
        <v>20250</v>
      </c>
      <c r="H330" s="119" t="s">
        <v>46</v>
      </c>
      <c r="I330" s="128">
        <v>45321</v>
      </c>
      <c r="J330" s="158">
        <f>1607+418</f>
        <v>2025</v>
      </c>
      <c r="K330" s="74">
        <f>22+4</f>
        <v>26</v>
      </c>
      <c r="L330" s="156" t="s">
        <v>2774</v>
      </c>
      <c r="M330" s="90">
        <f>12600+7000+650</f>
        <v>20250</v>
      </c>
      <c r="N330" s="90">
        <v>150</v>
      </c>
      <c r="O330" s="90" t="s">
        <v>2775</v>
      </c>
      <c r="P330" s="94" t="s">
        <v>160</v>
      </c>
      <c r="Q330" s="94">
        <v>8500066311</v>
      </c>
      <c r="R330" s="94">
        <v>5000127969</v>
      </c>
      <c r="S330" s="94"/>
      <c r="T330" s="90" t="s">
        <v>655</v>
      </c>
      <c r="U330" s="90">
        <v>8500066310</v>
      </c>
      <c r="V330" s="90">
        <v>5000136746</v>
      </c>
      <c r="W330" s="376">
        <v>45331</v>
      </c>
      <c r="X330" s="106">
        <f>1000+1025</f>
        <v>2025</v>
      </c>
      <c r="Y330" s="106">
        <f>10000+10250</f>
        <v>20250</v>
      </c>
      <c r="Z330" s="106" t="s">
        <v>2818</v>
      </c>
      <c r="AA330" s="106">
        <f t="shared" si="16"/>
        <v>0</v>
      </c>
      <c r="AB330" s="106">
        <f t="shared" si="17"/>
        <v>0</v>
      </c>
      <c r="AC330" s="94"/>
      <c r="AD330" s="94"/>
      <c r="AE330" s="94"/>
      <c r="AF330" s="94"/>
      <c r="AG330" s="94"/>
      <c r="AH330" s="263"/>
    </row>
    <row r="331" spans="1:34" ht="26.25" customHeight="1">
      <c r="A331" s="90"/>
      <c r="B331" s="88"/>
      <c r="C331" s="94"/>
      <c r="D331" s="95"/>
      <c r="E331" s="94">
        <v>10</v>
      </c>
      <c r="F331" s="74">
        <v>2025</v>
      </c>
      <c r="G331" s="45">
        <f t="shared" si="19"/>
        <v>20250</v>
      </c>
      <c r="H331" s="119" t="s">
        <v>37</v>
      </c>
      <c r="I331" s="128">
        <v>45321</v>
      </c>
      <c r="J331" s="158">
        <v>2025</v>
      </c>
      <c r="K331" s="74">
        <v>22</v>
      </c>
      <c r="L331" s="156">
        <v>45323</v>
      </c>
      <c r="M331" s="90">
        <v>20250</v>
      </c>
      <c r="N331" s="90">
        <v>150</v>
      </c>
      <c r="O331" s="90"/>
      <c r="P331" s="94" t="s">
        <v>160</v>
      </c>
      <c r="Q331" s="94">
        <v>8500066311</v>
      </c>
      <c r="R331" s="94">
        <v>5000127969</v>
      </c>
      <c r="S331" s="94"/>
      <c r="T331" s="90" t="s">
        <v>655</v>
      </c>
      <c r="U331" s="90">
        <v>8500066310</v>
      </c>
      <c r="V331" s="90">
        <v>5000136746</v>
      </c>
      <c r="W331" s="376">
        <v>45346</v>
      </c>
      <c r="X331" s="106">
        <v>2025</v>
      </c>
      <c r="Y331" s="106">
        <v>20250</v>
      </c>
      <c r="Z331" s="106" t="s">
        <v>755</v>
      </c>
      <c r="AA331" s="106">
        <f t="shared" si="16"/>
        <v>0</v>
      </c>
      <c r="AB331" s="106">
        <f t="shared" si="17"/>
        <v>0</v>
      </c>
      <c r="AC331" s="94"/>
      <c r="AD331" s="94"/>
      <c r="AE331" s="94"/>
      <c r="AF331" s="94"/>
      <c r="AG331" s="94"/>
      <c r="AH331" s="263"/>
    </row>
    <row r="332" spans="1:34" ht="26.25" customHeight="1">
      <c r="A332" s="83" t="s">
        <v>652</v>
      </c>
      <c r="B332" s="88">
        <v>6000027790</v>
      </c>
      <c r="C332" s="2" t="s">
        <v>2060</v>
      </c>
      <c r="D332" s="2">
        <v>2342549</v>
      </c>
      <c r="E332" s="94">
        <v>10</v>
      </c>
      <c r="F332" s="74">
        <v>750</v>
      </c>
      <c r="G332" s="45">
        <f t="shared" si="19"/>
        <v>7500</v>
      </c>
      <c r="H332" s="119" t="s">
        <v>27</v>
      </c>
      <c r="I332" s="128">
        <v>45350</v>
      </c>
      <c r="J332" s="158">
        <v>750</v>
      </c>
      <c r="K332" s="74">
        <f>9+1</f>
        <v>10</v>
      </c>
      <c r="L332" s="156">
        <v>45346</v>
      </c>
      <c r="M332" s="90">
        <v>7500</v>
      </c>
      <c r="N332" s="90">
        <v>66</v>
      </c>
      <c r="O332" s="90" t="s">
        <v>1549</v>
      </c>
      <c r="P332" s="94" t="s">
        <v>160</v>
      </c>
      <c r="Q332" s="94">
        <v>8500068476</v>
      </c>
      <c r="R332" s="94">
        <v>5000236013</v>
      </c>
      <c r="S332" s="94"/>
      <c r="T332" s="90" t="s">
        <v>655</v>
      </c>
      <c r="U332" s="90">
        <v>8500068475</v>
      </c>
      <c r="V332" s="90">
        <v>5000217570</v>
      </c>
      <c r="W332" s="376">
        <v>45353</v>
      </c>
      <c r="X332" s="106">
        <f>740+10</f>
        <v>750</v>
      </c>
      <c r="Y332" s="106">
        <f>7400+100</f>
        <v>7500</v>
      </c>
      <c r="Z332" s="106" t="s">
        <v>2995</v>
      </c>
      <c r="AA332" s="106">
        <f t="shared" si="16"/>
        <v>0</v>
      </c>
      <c r="AB332" s="106">
        <f t="shared" si="17"/>
        <v>0</v>
      </c>
      <c r="AC332" s="485" t="s">
        <v>2962</v>
      </c>
      <c r="AD332" s="94"/>
      <c r="AE332" s="94"/>
      <c r="AF332" s="94"/>
      <c r="AG332" s="94"/>
      <c r="AH332" s="263"/>
    </row>
    <row r="333" spans="1:34" ht="26.25" customHeight="1">
      <c r="A333" s="90"/>
      <c r="B333" s="88"/>
      <c r="C333" s="94"/>
      <c r="D333" s="95"/>
      <c r="E333" s="94">
        <v>10</v>
      </c>
      <c r="F333" s="74">
        <v>725</v>
      </c>
      <c r="G333" s="45">
        <f t="shared" si="19"/>
        <v>7250</v>
      </c>
      <c r="H333" s="119" t="s">
        <v>46</v>
      </c>
      <c r="I333" s="128">
        <v>45349</v>
      </c>
      <c r="J333" s="158">
        <v>725</v>
      </c>
      <c r="K333" s="74">
        <v>15</v>
      </c>
      <c r="L333" s="156">
        <v>45346</v>
      </c>
      <c r="M333" s="90">
        <v>7250</v>
      </c>
      <c r="N333" s="90">
        <v>100</v>
      </c>
      <c r="O333" s="90" t="s">
        <v>734</v>
      </c>
      <c r="P333" s="94" t="s">
        <v>160</v>
      </c>
      <c r="Q333" s="94">
        <v>8500068476</v>
      </c>
      <c r="R333" s="94">
        <v>5000234953</v>
      </c>
      <c r="S333" s="94"/>
      <c r="T333" s="90" t="s">
        <v>655</v>
      </c>
      <c r="U333" s="90">
        <v>8500068475</v>
      </c>
      <c r="V333" s="90">
        <v>5000217570</v>
      </c>
      <c r="W333" s="376">
        <v>45350</v>
      </c>
      <c r="X333" s="106">
        <v>725</v>
      </c>
      <c r="Y333" s="106">
        <v>7250</v>
      </c>
      <c r="Z333" s="106" t="s">
        <v>1460</v>
      </c>
      <c r="AA333" s="106">
        <f t="shared" si="16"/>
        <v>0</v>
      </c>
      <c r="AB333" s="106">
        <f t="shared" si="17"/>
        <v>0</v>
      </c>
      <c r="AC333" s="486"/>
      <c r="AD333" s="94"/>
      <c r="AE333" s="94"/>
      <c r="AF333" s="94"/>
      <c r="AG333" s="94"/>
      <c r="AH333" s="263"/>
    </row>
    <row r="334" spans="1:34" ht="26.25" customHeight="1">
      <c r="A334" s="90"/>
      <c r="B334" s="88"/>
      <c r="C334" s="94"/>
      <c r="D334" s="95"/>
      <c r="E334" s="94">
        <v>10</v>
      </c>
      <c r="F334" s="74">
        <v>1525</v>
      </c>
      <c r="G334" s="45">
        <f t="shared" si="19"/>
        <v>15250</v>
      </c>
      <c r="H334" s="119" t="s">
        <v>37</v>
      </c>
      <c r="I334" s="128">
        <v>45350</v>
      </c>
      <c r="J334" s="158">
        <v>1525</v>
      </c>
      <c r="K334" s="74">
        <f>19+6</f>
        <v>25</v>
      </c>
      <c r="L334" s="156">
        <v>45346</v>
      </c>
      <c r="M334" s="90">
        <v>15250</v>
      </c>
      <c r="N334" s="90">
        <v>100</v>
      </c>
      <c r="O334" s="90" t="s">
        <v>862</v>
      </c>
      <c r="P334" s="94" t="s">
        <v>160</v>
      </c>
      <c r="Q334" s="94">
        <v>8500068476</v>
      </c>
      <c r="R334" s="94">
        <v>5000236013</v>
      </c>
      <c r="S334" s="94"/>
      <c r="T334" s="90" t="s">
        <v>655</v>
      </c>
      <c r="U334" s="90">
        <v>8500068475</v>
      </c>
      <c r="V334" s="90">
        <v>5000217570</v>
      </c>
      <c r="W334" s="376" t="s">
        <v>2996</v>
      </c>
      <c r="X334" s="106">
        <f>38+1460+27</f>
        <v>1525</v>
      </c>
      <c r="Y334" s="106">
        <f>380+14600+270</f>
        <v>15250</v>
      </c>
      <c r="Z334" s="106" t="s">
        <v>2005</v>
      </c>
      <c r="AA334" s="106">
        <f t="shared" si="16"/>
        <v>0</v>
      </c>
      <c r="AB334" s="106">
        <f t="shared" si="17"/>
        <v>0</v>
      </c>
      <c r="AC334" s="486"/>
      <c r="AD334" s="94"/>
      <c r="AE334" s="94"/>
      <c r="AF334" s="94"/>
      <c r="AG334" s="94"/>
      <c r="AH334" s="263"/>
    </row>
    <row r="335" spans="1:34" ht="26.25" customHeight="1">
      <c r="A335" s="83" t="s">
        <v>652</v>
      </c>
      <c r="B335" s="88">
        <v>6000027790</v>
      </c>
      <c r="C335" s="2" t="s">
        <v>2728</v>
      </c>
      <c r="D335" s="2">
        <v>2342549</v>
      </c>
      <c r="E335" s="94">
        <v>10</v>
      </c>
      <c r="F335" s="74">
        <v>600</v>
      </c>
      <c r="G335" s="45">
        <f t="shared" si="19"/>
        <v>6000</v>
      </c>
      <c r="H335" s="119" t="s">
        <v>46</v>
      </c>
      <c r="I335" s="128">
        <v>45353</v>
      </c>
      <c r="J335" s="158">
        <v>600</v>
      </c>
      <c r="K335" s="74" t="s">
        <v>3176</v>
      </c>
      <c r="L335" s="156">
        <v>45346</v>
      </c>
      <c r="M335" s="90">
        <v>6000</v>
      </c>
      <c r="N335" s="90">
        <v>90</v>
      </c>
      <c r="O335" s="90" t="s">
        <v>823</v>
      </c>
      <c r="P335" s="94" t="s">
        <v>160</v>
      </c>
      <c r="Q335" s="94">
        <v>8500068478</v>
      </c>
      <c r="R335" s="94">
        <v>5000250523</v>
      </c>
      <c r="S335" s="94"/>
      <c r="T335" s="90" t="s">
        <v>655</v>
      </c>
      <c r="U335" s="90">
        <v>8500068477</v>
      </c>
      <c r="V335" s="90">
        <v>5000217572</v>
      </c>
      <c r="W335" s="376">
        <v>45351</v>
      </c>
      <c r="X335" s="106">
        <v>600</v>
      </c>
      <c r="Y335" s="106">
        <v>6000</v>
      </c>
      <c r="Z335" s="106" t="s">
        <v>1460</v>
      </c>
      <c r="AA335" s="106">
        <f t="shared" si="16"/>
        <v>0</v>
      </c>
      <c r="AB335" s="106">
        <f t="shared" si="17"/>
        <v>0</v>
      </c>
      <c r="AC335" s="486"/>
      <c r="AD335" s="94"/>
      <c r="AE335" s="94"/>
      <c r="AF335" s="94"/>
      <c r="AG335" s="94"/>
      <c r="AH335" s="263"/>
    </row>
    <row r="336" spans="1:34" ht="26.25" customHeight="1">
      <c r="A336" s="90"/>
      <c r="B336" s="88"/>
      <c r="C336" s="94"/>
      <c r="D336" s="95"/>
      <c r="E336" s="94">
        <v>10</v>
      </c>
      <c r="F336" s="74">
        <v>200</v>
      </c>
      <c r="G336" s="45">
        <f t="shared" si="19"/>
        <v>2000</v>
      </c>
      <c r="H336" s="119" t="s">
        <v>37</v>
      </c>
      <c r="I336" s="128">
        <v>45353</v>
      </c>
      <c r="J336" s="158">
        <v>200</v>
      </c>
      <c r="K336" s="74">
        <v>8</v>
      </c>
      <c r="L336" s="156">
        <v>45346</v>
      </c>
      <c r="M336" s="90">
        <v>2000</v>
      </c>
      <c r="N336" s="90">
        <v>40</v>
      </c>
      <c r="O336" s="90" t="s">
        <v>916</v>
      </c>
      <c r="P336" s="94" t="s">
        <v>160</v>
      </c>
      <c r="Q336" s="94">
        <v>8500068478</v>
      </c>
      <c r="R336" s="94">
        <v>5000250523</v>
      </c>
      <c r="S336" s="94"/>
      <c r="T336" s="90" t="s">
        <v>655</v>
      </c>
      <c r="U336" s="90">
        <v>8500068477</v>
      </c>
      <c r="V336" s="90">
        <v>5000217572</v>
      </c>
      <c r="W336" s="376">
        <v>45355</v>
      </c>
      <c r="X336" s="106">
        <v>200</v>
      </c>
      <c r="Y336" s="106">
        <v>2000</v>
      </c>
      <c r="Z336" s="106" t="s">
        <v>800</v>
      </c>
      <c r="AA336" s="106">
        <f t="shared" ref="AA336:AA394" si="20">J336-X336</f>
        <v>0</v>
      </c>
      <c r="AB336" s="106">
        <f t="shared" ref="AB336:AB394" si="21">M336-Y336</f>
        <v>0</v>
      </c>
      <c r="AC336" s="487"/>
      <c r="AD336" s="94"/>
      <c r="AE336" s="94"/>
      <c r="AF336" s="94"/>
      <c r="AG336" s="94"/>
      <c r="AH336" s="263"/>
    </row>
    <row r="337" spans="1:34" ht="26.25" customHeight="1">
      <c r="A337" s="90" t="s">
        <v>352</v>
      </c>
      <c r="B337" s="88">
        <v>6000028086</v>
      </c>
      <c r="C337" s="2" t="s">
        <v>2582</v>
      </c>
      <c r="D337" s="2">
        <v>6000028086</v>
      </c>
      <c r="E337" s="94">
        <v>10</v>
      </c>
      <c r="F337" s="74">
        <v>100</v>
      </c>
      <c r="G337" s="45">
        <f t="shared" si="18"/>
        <v>1000</v>
      </c>
      <c r="H337" s="119" t="s">
        <v>46</v>
      </c>
      <c r="I337" s="128">
        <v>45341</v>
      </c>
      <c r="J337" s="158">
        <v>100</v>
      </c>
      <c r="K337" s="74">
        <v>3</v>
      </c>
      <c r="L337" s="156">
        <v>45315</v>
      </c>
      <c r="M337" s="90">
        <v>1000</v>
      </c>
      <c r="N337" s="90">
        <v>10</v>
      </c>
      <c r="O337" s="90" t="s">
        <v>2638</v>
      </c>
      <c r="P337" s="94" t="s">
        <v>28</v>
      </c>
      <c r="Q337" s="94">
        <v>8500066388</v>
      </c>
      <c r="R337" s="94">
        <v>5000196805</v>
      </c>
      <c r="S337" s="94"/>
      <c r="T337" s="90" t="s">
        <v>1558</v>
      </c>
      <c r="U337" s="90">
        <v>8500066387</v>
      </c>
      <c r="V337" s="90">
        <v>5000104421</v>
      </c>
      <c r="W337" s="376">
        <v>45374</v>
      </c>
      <c r="X337" s="106">
        <v>100</v>
      </c>
      <c r="Y337" s="106">
        <v>1000</v>
      </c>
      <c r="Z337" s="106" t="s">
        <v>800</v>
      </c>
      <c r="AA337" s="106">
        <f t="shared" si="20"/>
        <v>0</v>
      </c>
      <c r="AB337" s="106">
        <f t="shared" si="21"/>
        <v>0</v>
      </c>
      <c r="AC337" s="94"/>
      <c r="AD337" s="94"/>
      <c r="AE337" s="94"/>
      <c r="AF337" s="94"/>
      <c r="AG337" s="94"/>
      <c r="AH337" s="263"/>
    </row>
    <row r="338" spans="1:34" ht="26.25" customHeight="1">
      <c r="A338" s="90"/>
      <c r="B338" s="88"/>
      <c r="C338" s="94"/>
      <c r="D338" s="193"/>
      <c r="E338" s="94">
        <v>10</v>
      </c>
      <c r="F338" s="74">
        <v>150</v>
      </c>
      <c r="G338" s="45">
        <f t="shared" si="18"/>
        <v>1500</v>
      </c>
      <c r="H338" s="119" t="s">
        <v>37</v>
      </c>
      <c r="I338" s="128">
        <v>45341</v>
      </c>
      <c r="J338" s="158">
        <v>150</v>
      </c>
      <c r="K338" s="74">
        <v>3</v>
      </c>
      <c r="L338" s="156">
        <v>45315</v>
      </c>
      <c r="M338" s="90">
        <v>1500</v>
      </c>
      <c r="N338" s="90">
        <v>15</v>
      </c>
      <c r="O338" s="90" t="s">
        <v>2638</v>
      </c>
      <c r="P338" s="94" t="s">
        <v>28</v>
      </c>
      <c r="Q338" s="94">
        <v>8500066388</v>
      </c>
      <c r="R338" s="94">
        <v>5000196805</v>
      </c>
      <c r="S338" s="94"/>
      <c r="T338" s="90" t="s">
        <v>1558</v>
      </c>
      <c r="U338" s="90">
        <v>8500066387</v>
      </c>
      <c r="V338" s="90">
        <v>5000104421</v>
      </c>
      <c r="W338" s="376">
        <v>45374</v>
      </c>
      <c r="X338" s="106">
        <v>150</v>
      </c>
      <c r="Y338" s="106">
        <v>1500</v>
      </c>
      <c r="Z338" s="106" t="s">
        <v>800</v>
      </c>
      <c r="AA338" s="106">
        <f t="shared" si="20"/>
        <v>0</v>
      </c>
      <c r="AB338" s="106">
        <f t="shared" si="21"/>
        <v>0</v>
      </c>
      <c r="AC338" s="94"/>
      <c r="AD338" s="94"/>
      <c r="AE338" s="94"/>
      <c r="AF338" s="94"/>
      <c r="AG338" s="94"/>
      <c r="AH338" s="263"/>
    </row>
    <row r="339" spans="1:34" ht="26.25" customHeight="1">
      <c r="A339" s="90"/>
      <c r="B339" s="88"/>
      <c r="C339" s="94"/>
      <c r="D339" s="95"/>
      <c r="E339" s="94">
        <v>10</v>
      </c>
      <c r="F339" s="74">
        <v>150</v>
      </c>
      <c r="G339" s="45">
        <f t="shared" si="18"/>
        <v>1500</v>
      </c>
      <c r="H339" s="119" t="s">
        <v>146</v>
      </c>
      <c r="I339" s="128">
        <v>45341</v>
      </c>
      <c r="J339" s="158">
        <v>150</v>
      </c>
      <c r="K339" s="74">
        <v>4</v>
      </c>
      <c r="L339" s="156">
        <v>45315</v>
      </c>
      <c r="M339" s="90">
        <v>1500</v>
      </c>
      <c r="N339" s="90">
        <v>15</v>
      </c>
      <c r="O339" s="90" t="s">
        <v>1349</v>
      </c>
      <c r="P339" s="94" t="s">
        <v>28</v>
      </c>
      <c r="Q339" s="94">
        <v>8500066388</v>
      </c>
      <c r="R339" s="94">
        <v>5000196805</v>
      </c>
      <c r="S339" s="94"/>
      <c r="T339" s="90" t="s">
        <v>1558</v>
      </c>
      <c r="U339" s="90">
        <v>8500066387</v>
      </c>
      <c r="V339" s="90">
        <v>5000104421</v>
      </c>
      <c r="W339" s="376" t="s">
        <v>3680</v>
      </c>
      <c r="X339" s="106">
        <f>150-17</f>
        <v>133</v>
      </c>
      <c r="Y339" s="106">
        <f>1500-170</f>
        <v>1330</v>
      </c>
      <c r="Z339" s="106" t="s">
        <v>800</v>
      </c>
      <c r="AA339" s="106">
        <f t="shared" si="20"/>
        <v>17</v>
      </c>
      <c r="AB339" s="106">
        <f t="shared" si="21"/>
        <v>170</v>
      </c>
      <c r="AC339" s="94" t="s">
        <v>3679</v>
      </c>
      <c r="AD339" s="94"/>
      <c r="AE339" s="94"/>
      <c r="AF339" s="94"/>
      <c r="AG339" s="94"/>
      <c r="AH339" s="263"/>
    </row>
    <row r="340" spans="1:34" ht="26.25" customHeight="1">
      <c r="A340" s="90" t="s">
        <v>2658</v>
      </c>
      <c r="B340" s="88">
        <v>6000027764</v>
      </c>
      <c r="C340" s="2" t="s">
        <v>2656</v>
      </c>
      <c r="D340" s="2" t="s">
        <v>2657</v>
      </c>
      <c r="E340" s="94">
        <v>10</v>
      </c>
      <c r="F340" s="74">
        <v>100</v>
      </c>
      <c r="G340" s="45">
        <f t="shared" si="18"/>
        <v>1000</v>
      </c>
      <c r="H340" s="119" t="s">
        <v>243</v>
      </c>
      <c r="I340" s="128">
        <v>45328</v>
      </c>
      <c r="J340" s="74">
        <v>100</v>
      </c>
      <c r="K340" s="74">
        <v>10</v>
      </c>
      <c r="L340" s="156">
        <v>45317</v>
      </c>
      <c r="M340" s="90">
        <v>1000</v>
      </c>
      <c r="N340" s="90">
        <v>18</v>
      </c>
      <c r="O340" s="90" t="s">
        <v>745</v>
      </c>
      <c r="P340" s="94" t="s">
        <v>924</v>
      </c>
      <c r="Q340" s="94">
        <v>8500067285</v>
      </c>
      <c r="R340" s="94">
        <v>5000161216</v>
      </c>
      <c r="S340" s="94"/>
      <c r="T340" s="90" t="s">
        <v>1558</v>
      </c>
      <c r="U340" s="90">
        <v>8500067283</v>
      </c>
      <c r="V340" s="90">
        <v>5000113390</v>
      </c>
      <c r="W340" s="376">
        <v>45342</v>
      </c>
      <c r="X340" s="106">
        <v>100</v>
      </c>
      <c r="Y340" s="106">
        <v>1000</v>
      </c>
      <c r="Z340" s="106" t="s">
        <v>800</v>
      </c>
      <c r="AA340" s="106">
        <f t="shared" si="20"/>
        <v>0</v>
      </c>
      <c r="AB340" s="106">
        <f t="shared" si="21"/>
        <v>0</v>
      </c>
      <c r="AC340" s="94"/>
      <c r="AD340" s="94"/>
      <c r="AE340" s="94"/>
      <c r="AF340" s="94"/>
      <c r="AG340" s="94"/>
      <c r="AH340" s="263"/>
    </row>
    <row r="341" spans="1:34" ht="26.25" customHeight="1">
      <c r="A341" s="90"/>
      <c r="B341" s="88"/>
      <c r="C341" s="2"/>
      <c r="D341" s="2"/>
      <c r="E341" s="94">
        <v>10</v>
      </c>
      <c r="F341" s="74">
        <v>150</v>
      </c>
      <c r="G341" s="45">
        <f t="shared" si="18"/>
        <v>1500</v>
      </c>
      <c r="H341" s="119" t="s">
        <v>27</v>
      </c>
      <c r="I341" s="128">
        <v>45328</v>
      </c>
      <c r="J341" s="74">
        <v>150</v>
      </c>
      <c r="K341" s="74">
        <v>20</v>
      </c>
      <c r="L341" s="156">
        <v>45317</v>
      </c>
      <c r="M341" s="90">
        <v>1500</v>
      </c>
      <c r="N341" s="90">
        <v>23</v>
      </c>
      <c r="O341" s="90" t="s">
        <v>1641</v>
      </c>
      <c r="P341" s="94" t="s">
        <v>924</v>
      </c>
      <c r="Q341" s="94">
        <v>8500067285</v>
      </c>
      <c r="R341" s="94">
        <v>5000161216</v>
      </c>
      <c r="S341" s="94"/>
      <c r="T341" s="90" t="s">
        <v>1558</v>
      </c>
      <c r="U341" s="90">
        <v>8500067283</v>
      </c>
      <c r="V341" s="90">
        <v>5000113390</v>
      </c>
      <c r="W341" s="376">
        <v>45342</v>
      </c>
      <c r="X341" s="106">
        <v>150</v>
      </c>
      <c r="Y341" s="106">
        <v>1500</v>
      </c>
      <c r="Z341" s="106" t="s">
        <v>800</v>
      </c>
      <c r="AA341" s="106">
        <f t="shared" si="20"/>
        <v>0</v>
      </c>
      <c r="AB341" s="106">
        <f t="shared" si="21"/>
        <v>0</v>
      </c>
      <c r="AC341" s="94"/>
      <c r="AD341" s="94"/>
      <c r="AE341" s="94"/>
      <c r="AF341" s="94"/>
      <c r="AG341" s="94"/>
      <c r="AH341" s="263"/>
    </row>
    <row r="342" spans="1:34" ht="26.25" customHeight="1">
      <c r="A342" s="90"/>
      <c r="B342" s="88"/>
      <c r="C342" s="2"/>
      <c r="D342" s="2"/>
      <c r="E342" s="94">
        <v>10</v>
      </c>
      <c r="F342" s="74">
        <v>200</v>
      </c>
      <c r="G342" s="45">
        <f t="shared" si="18"/>
        <v>2000</v>
      </c>
      <c r="H342" s="119" t="s">
        <v>46</v>
      </c>
      <c r="I342" s="128">
        <v>45328</v>
      </c>
      <c r="J342" s="74">
        <v>200</v>
      </c>
      <c r="K342" s="74">
        <v>20</v>
      </c>
      <c r="L342" s="156">
        <v>45317</v>
      </c>
      <c r="M342" s="90">
        <v>2000</v>
      </c>
      <c r="N342" s="90">
        <v>28</v>
      </c>
      <c r="O342" s="90" t="s">
        <v>1641</v>
      </c>
      <c r="P342" s="94" t="s">
        <v>924</v>
      </c>
      <c r="Q342" s="94">
        <v>8500067285</v>
      </c>
      <c r="R342" s="94">
        <v>5000161216</v>
      </c>
      <c r="S342" s="94"/>
      <c r="T342" s="90" t="s">
        <v>1558</v>
      </c>
      <c r="U342" s="90">
        <v>8500067283</v>
      </c>
      <c r="V342" s="90">
        <v>5000113390</v>
      </c>
      <c r="W342" s="376">
        <v>45341</v>
      </c>
      <c r="X342" s="106">
        <v>200</v>
      </c>
      <c r="Y342" s="106">
        <v>2000</v>
      </c>
      <c r="Z342" s="106" t="s">
        <v>1783</v>
      </c>
      <c r="AA342" s="106">
        <f t="shared" si="20"/>
        <v>0</v>
      </c>
      <c r="AB342" s="106">
        <f t="shared" si="21"/>
        <v>0</v>
      </c>
      <c r="AC342" s="94"/>
      <c r="AD342" s="94"/>
      <c r="AE342" s="94"/>
      <c r="AF342" s="94"/>
      <c r="AG342" s="94"/>
      <c r="AH342" s="263"/>
    </row>
    <row r="343" spans="1:34" ht="26.25" customHeight="1">
      <c r="A343" s="90" t="s">
        <v>2658</v>
      </c>
      <c r="B343" s="88">
        <v>6000027764</v>
      </c>
      <c r="C343" s="2" t="s">
        <v>2659</v>
      </c>
      <c r="D343" s="2" t="s">
        <v>2657</v>
      </c>
      <c r="E343" s="94">
        <v>10</v>
      </c>
      <c r="F343" s="74">
        <v>100</v>
      </c>
      <c r="G343" s="45">
        <f>F343*E343</f>
        <v>1000</v>
      </c>
      <c r="H343" s="119" t="s">
        <v>243</v>
      </c>
      <c r="I343" s="128">
        <v>45329</v>
      </c>
      <c r="J343" s="74">
        <v>100</v>
      </c>
      <c r="K343" s="74">
        <v>10</v>
      </c>
      <c r="L343" s="156">
        <v>45317</v>
      </c>
      <c r="M343" s="90">
        <v>1000</v>
      </c>
      <c r="N343" s="90">
        <v>18</v>
      </c>
      <c r="O343" s="90" t="s">
        <v>745</v>
      </c>
      <c r="P343" s="94" t="s">
        <v>924</v>
      </c>
      <c r="Q343" s="94">
        <v>8500067290</v>
      </c>
      <c r="R343" s="94">
        <v>5000161216</v>
      </c>
      <c r="S343" s="94"/>
      <c r="T343" s="90" t="s">
        <v>1558</v>
      </c>
      <c r="U343" s="90">
        <v>8500067289</v>
      </c>
      <c r="V343" s="90">
        <v>5000113391</v>
      </c>
      <c r="W343" s="376">
        <v>45349</v>
      </c>
      <c r="X343" s="106">
        <v>100</v>
      </c>
      <c r="Y343" s="106">
        <v>1000</v>
      </c>
      <c r="Z343" s="106" t="s">
        <v>800</v>
      </c>
      <c r="AA343" s="106">
        <f t="shared" si="20"/>
        <v>0</v>
      </c>
      <c r="AB343" s="106">
        <f t="shared" si="21"/>
        <v>0</v>
      </c>
      <c r="AC343" s="94"/>
      <c r="AD343" s="94"/>
      <c r="AE343" s="94"/>
      <c r="AF343" s="94"/>
      <c r="AG343" s="94"/>
      <c r="AH343" s="263"/>
    </row>
    <row r="344" spans="1:34" ht="26.25" customHeight="1">
      <c r="A344" s="90"/>
      <c r="B344" s="88"/>
      <c r="C344" s="94"/>
      <c r="D344" s="238" t="s">
        <v>2742</v>
      </c>
      <c r="E344" s="94">
        <v>10</v>
      </c>
      <c r="F344" s="74">
        <v>150</v>
      </c>
      <c r="G344" s="45">
        <f>F344*E344</f>
        <v>1500</v>
      </c>
      <c r="H344" s="119" t="s">
        <v>27</v>
      </c>
      <c r="I344" s="128">
        <v>45329</v>
      </c>
      <c r="J344" s="74">
        <v>150</v>
      </c>
      <c r="K344" s="74">
        <v>10</v>
      </c>
      <c r="L344" s="156">
        <v>45317</v>
      </c>
      <c r="M344" s="90">
        <v>1500</v>
      </c>
      <c r="N344" s="90">
        <v>23</v>
      </c>
      <c r="O344" s="90" t="s">
        <v>745</v>
      </c>
      <c r="P344" s="94" t="s">
        <v>924</v>
      </c>
      <c r="Q344" s="94">
        <v>8500067290</v>
      </c>
      <c r="R344" s="94">
        <v>5000161549</v>
      </c>
      <c r="S344" s="94"/>
      <c r="T344" s="90" t="s">
        <v>1558</v>
      </c>
      <c r="U344" s="90">
        <v>8500067289</v>
      </c>
      <c r="V344" s="90">
        <v>5000113391</v>
      </c>
      <c r="W344" s="376">
        <v>45346</v>
      </c>
      <c r="X344" s="106">
        <v>150</v>
      </c>
      <c r="Y344" s="106">
        <v>1500</v>
      </c>
      <c r="Z344" s="106" t="s">
        <v>800</v>
      </c>
      <c r="AA344" s="106">
        <f t="shared" si="20"/>
        <v>0</v>
      </c>
      <c r="AB344" s="106">
        <f t="shared" si="21"/>
        <v>0</v>
      </c>
      <c r="AC344" s="94"/>
      <c r="AD344" s="94"/>
      <c r="AE344" s="94"/>
      <c r="AF344" s="94"/>
      <c r="AG344" s="94"/>
      <c r="AH344" s="263"/>
    </row>
    <row r="345" spans="1:34" ht="26.25" customHeight="1">
      <c r="A345" s="90"/>
      <c r="B345" s="88"/>
      <c r="C345" s="94"/>
      <c r="D345" s="95"/>
      <c r="E345" s="94">
        <v>10</v>
      </c>
      <c r="F345" s="74">
        <v>250</v>
      </c>
      <c r="G345" s="45">
        <f>F345*E345</f>
        <v>2500</v>
      </c>
      <c r="H345" s="119" t="s">
        <v>46</v>
      </c>
      <c r="I345" s="128">
        <v>45329</v>
      </c>
      <c r="J345" s="74">
        <v>250</v>
      </c>
      <c r="K345" s="74">
        <v>20</v>
      </c>
      <c r="L345" s="156">
        <v>45317</v>
      </c>
      <c r="M345" s="90">
        <v>2500</v>
      </c>
      <c r="N345" s="90">
        <v>33</v>
      </c>
      <c r="O345" s="90" t="s">
        <v>914</v>
      </c>
      <c r="P345" s="94" t="s">
        <v>924</v>
      </c>
      <c r="Q345" s="94">
        <v>8500067290</v>
      </c>
      <c r="R345" s="94">
        <v>5000161549</v>
      </c>
      <c r="S345" s="94"/>
      <c r="T345" s="90" t="s">
        <v>1558</v>
      </c>
      <c r="U345" s="90">
        <v>8500067289</v>
      </c>
      <c r="V345" s="90">
        <v>5000113391</v>
      </c>
      <c r="W345" s="376">
        <v>45349</v>
      </c>
      <c r="X345" s="106">
        <v>250</v>
      </c>
      <c r="Y345" s="106">
        <v>2500</v>
      </c>
      <c r="Z345" s="106" t="s">
        <v>800</v>
      </c>
      <c r="AA345" s="106">
        <f t="shared" si="20"/>
        <v>0</v>
      </c>
      <c r="AB345" s="106">
        <f t="shared" si="21"/>
        <v>0</v>
      </c>
      <c r="AC345" s="94"/>
      <c r="AD345" s="94"/>
      <c r="AE345" s="94"/>
      <c r="AF345" s="94"/>
      <c r="AG345" s="94"/>
      <c r="AH345" s="263"/>
    </row>
    <row r="346" spans="1:34" ht="26.25" customHeight="1">
      <c r="A346" s="90"/>
      <c r="B346" s="88"/>
      <c r="C346" s="94"/>
      <c r="D346" s="95"/>
      <c r="E346" s="94">
        <v>10</v>
      </c>
      <c r="F346" s="74">
        <v>250</v>
      </c>
      <c r="G346" s="45">
        <f>F346*E346</f>
        <v>2500</v>
      </c>
      <c r="H346" s="119" t="s">
        <v>37</v>
      </c>
      <c r="I346" s="128">
        <v>45329</v>
      </c>
      <c r="J346" s="74">
        <v>250</v>
      </c>
      <c r="K346" s="74">
        <v>10</v>
      </c>
      <c r="L346" s="156">
        <v>45317</v>
      </c>
      <c r="M346" s="90">
        <v>2500</v>
      </c>
      <c r="N346" s="90">
        <v>33</v>
      </c>
      <c r="O346" s="90" t="s">
        <v>914</v>
      </c>
      <c r="P346" s="94" t="s">
        <v>924</v>
      </c>
      <c r="Q346" s="94">
        <v>8500067290</v>
      </c>
      <c r="R346" s="94">
        <v>5000161549</v>
      </c>
      <c r="S346" s="94"/>
      <c r="T346" s="90" t="s">
        <v>1558</v>
      </c>
      <c r="U346" s="90">
        <v>8500067289</v>
      </c>
      <c r="V346" s="90">
        <v>5000113391</v>
      </c>
      <c r="W346" s="376">
        <v>45341</v>
      </c>
      <c r="X346" s="106">
        <v>250</v>
      </c>
      <c r="Y346" s="106">
        <v>2500</v>
      </c>
      <c r="Z346" s="106" t="s">
        <v>800</v>
      </c>
      <c r="AA346" s="106">
        <f t="shared" si="20"/>
        <v>0</v>
      </c>
      <c r="AB346" s="106">
        <f t="shared" si="21"/>
        <v>0</v>
      </c>
      <c r="AC346" s="94"/>
      <c r="AD346" s="94"/>
      <c r="AE346" s="94"/>
      <c r="AF346" s="94"/>
      <c r="AG346" s="94"/>
      <c r="AH346" s="263"/>
    </row>
    <row r="347" spans="1:34" ht="26.25" customHeight="1">
      <c r="A347" s="90"/>
      <c r="B347" s="88"/>
      <c r="C347" s="94"/>
      <c r="D347" s="95"/>
      <c r="E347" s="94">
        <v>10</v>
      </c>
      <c r="F347" s="74">
        <v>150</v>
      </c>
      <c r="G347" s="45">
        <f>F347*E347</f>
        <v>1500</v>
      </c>
      <c r="H347" s="119" t="s">
        <v>146</v>
      </c>
      <c r="I347" s="128">
        <v>45329</v>
      </c>
      <c r="J347" s="74">
        <v>150</v>
      </c>
      <c r="K347" s="74">
        <v>20</v>
      </c>
      <c r="L347" s="156">
        <v>45317</v>
      </c>
      <c r="M347" s="90">
        <v>1500</v>
      </c>
      <c r="N347" s="90">
        <v>23</v>
      </c>
      <c r="O347" s="90" t="s">
        <v>914</v>
      </c>
      <c r="P347" s="94" t="s">
        <v>924</v>
      </c>
      <c r="Q347" s="94">
        <v>8500067290</v>
      </c>
      <c r="R347" s="94">
        <v>5000161549</v>
      </c>
      <c r="S347" s="94"/>
      <c r="T347" s="90" t="s">
        <v>1558</v>
      </c>
      <c r="U347" s="90">
        <v>8500067289</v>
      </c>
      <c r="V347" s="90">
        <v>5000113391</v>
      </c>
      <c r="W347" s="376">
        <v>45344</v>
      </c>
      <c r="X347" s="106">
        <v>150</v>
      </c>
      <c r="Y347" s="106">
        <v>1500</v>
      </c>
      <c r="Z347" s="106" t="s">
        <v>800</v>
      </c>
      <c r="AA347" s="106">
        <f t="shared" si="20"/>
        <v>0</v>
      </c>
      <c r="AB347" s="106">
        <f t="shared" si="21"/>
        <v>0</v>
      </c>
      <c r="AC347" s="94"/>
      <c r="AD347" s="94"/>
      <c r="AE347" s="94"/>
      <c r="AF347" s="94"/>
      <c r="AG347" s="94"/>
      <c r="AH347" s="263"/>
    </row>
    <row r="348" spans="1:34" ht="31.5" customHeight="1">
      <c r="A348" s="90" t="s">
        <v>1563</v>
      </c>
      <c r="B348" s="88">
        <v>6000027546</v>
      </c>
      <c r="C348" s="2" t="s">
        <v>2661</v>
      </c>
      <c r="D348" s="2" t="s">
        <v>2662</v>
      </c>
      <c r="E348" s="94">
        <v>10</v>
      </c>
      <c r="F348" s="74">
        <v>700</v>
      </c>
      <c r="G348" s="45">
        <f t="shared" si="18"/>
        <v>7000</v>
      </c>
      <c r="H348" s="119" t="s">
        <v>27</v>
      </c>
      <c r="I348" s="128">
        <v>45321</v>
      </c>
      <c r="J348" s="74">
        <v>700</v>
      </c>
      <c r="K348" s="74">
        <v>20</v>
      </c>
      <c r="L348" s="156">
        <v>45323</v>
      </c>
      <c r="M348" s="90">
        <v>7000</v>
      </c>
      <c r="N348" s="90">
        <v>100</v>
      </c>
      <c r="O348" s="90"/>
      <c r="P348" s="94" t="s">
        <v>924</v>
      </c>
      <c r="Q348" s="94">
        <v>8500067818</v>
      </c>
      <c r="R348" s="94">
        <v>5000164940</v>
      </c>
      <c r="S348" s="94"/>
      <c r="T348" s="90" t="s">
        <v>1666</v>
      </c>
      <c r="U348" s="90">
        <v>8500067817</v>
      </c>
      <c r="V348" s="90">
        <v>5000164939</v>
      </c>
      <c r="W348" s="376">
        <v>45346</v>
      </c>
      <c r="X348" s="106">
        <v>700</v>
      </c>
      <c r="Y348" s="106">
        <v>7000</v>
      </c>
      <c r="Z348" s="106" t="s">
        <v>1980</v>
      </c>
      <c r="AA348" s="106">
        <f t="shared" si="20"/>
        <v>0</v>
      </c>
      <c r="AB348" s="106">
        <f t="shared" si="21"/>
        <v>0</v>
      </c>
      <c r="AC348" s="94"/>
      <c r="AD348" s="94"/>
      <c r="AE348" s="94"/>
      <c r="AF348" s="94"/>
      <c r="AG348" s="94"/>
      <c r="AH348" s="263"/>
    </row>
    <row r="349" spans="1:34" ht="26.25" customHeight="1">
      <c r="A349" s="90"/>
      <c r="B349" s="88"/>
      <c r="C349" s="2"/>
      <c r="D349" s="2"/>
      <c r="E349" s="94">
        <v>10</v>
      </c>
      <c r="F349" s="74">
        <v>1600</v>
      </c>
      <c r="G349" s="45">
        <f t="shared" si="18"/>
        <v>16000</v>
      </c>
      <c r="H349" s="119" t="s">
        <v>46</v>
      </c>
      <c r="I349" s="128">
        <v>45321</v>
      </c>
      <c r="J349" s="74">
        <v>1600</v>
      </c>
      <c r="K349" s="74">
        <v>20</v>
      </c>
      <c r="L349" s="156">
        <v>45323</v>
      </c>
      <c r="M349" s="90">
        <v>16000</v>
      </c>
      <c r="N349" s="90">
        <v>150</v>
      </c>
      <c r="O349" s="90"/>
      <c r="P349" s="94" t="s">
        <v>924</v>
      </c>
      <c r="Q349" s="94">
        <v>8500067818</v>
      </c>
      <c r="R349" s="94">
        <v>5000164940</v>
      </c>
      <c r="S349" s="94"/>
      <c r="T349" s="90" t="s">
        <v>1666</v>
      </c>
      <c r="U349" s="90">
        <v>8500067817</v>
      </c>
      <c r="V349" s="90">
        <v>5000164939</v>
      </c>
      <c r="W349" s="376">
        <v>45346</v>
      </c>
      <c r="X349" s="106">
        <v>1600</v>
      </c>
      <c r="Y349" s="106">
        <v>16000</v>
      </c>
      <c r="Z349" s="106" t="s">
        <v>1980</v>
      </c>
      <c r="AA349" s="106">
        <f t="shared" si="20"/>
        <v>0</v>
      </c>
      <c r="AB349" s="106">
        <f t="shared" si="21"/>
        <v>0</v>
      </c>
      <c r="AC349" s="94"/>
      <c r="AD349" s="94"/>
      <c r="AE349" s="94"/>
      <c r="AF349" s="94"/>
      <c r="AG349" s="94"/>
      <c r="AH349" s="263"/>
    </row>
    <row r="350" spans="1:34" ht="26.25" customHeight="1">
      <c r="A350" s="90"/>
      <c r="B350" s="88"/>
      <c r="C350" s="2"/>
      <c r="D350" s="2"/>
      <c r="E350" s="94">
        <v>10</v>
      </c>
      <c r="F350" s="74">
        <v>1300</v>
      </c>
      <c r="G350" s="45">
        <f t="shared" si="18"/>
        <v>13000</v>
      </c>
      <c r="H350" s="119" t="s">
        <v>37</v>
      </c>
      <c r="I350" s="128">
        <v>45321</v>
      </c>
      <c r="J350" s="74">
        <v>1300</v>
      </c>
      <c r="K350" s="74">
        <v>20</v>
      </c>
      <c r="L350" s="156">
        <v>45323</v>
      </c>
      <c r="M350" s="90">
        <v>13000</v>
      </c>
      <c r="N350" s="90">
        <v>100</v>
      </c>
      <c r="O350" s="90"/>
      <c r="P350" s="94" t="s">
        <v>924</v>
      </c>
      <c r="Q350" s="94">
        <v>8500067818</v>
      </c>
      <c r="R350" s="94">
        <v>5000164940</v>
      </c>
      <c r="S350" s="94"/>
      <c r="T350" s="90" t="s">
        <v>1666</v>
      </c>
      <c r="U350" s="90">
        <v>8500067817</v>
      </c>
      <c r="V350" s="90">
        <v>5000164939</v>
      </c>
      <c r="W350" s="376">
        <v>45353</v>
      </c>
      <c r="X350" s="106">
        <v>1300</v>
      </c>
      <c r="Y350" s="106">
        <v>13000</v>
      </c>
      <c r="Z350" s="106" t="s">
        <v>870</v>
      </c>
      <c r="AA350" s="106">
        <f t="shared" si="20"/>
        <v>0</v>
      </c>
      <c r="AB350" s="106">
        <f t="shared" si="21"/>
        <v>0</v>
      </c>
      <c r="AC350" s="94"/>
      <c r="AD350" s="94"/>
      <c r="AE350" s="94"/>
      <c r="AF350" s="94"/>
      <c r="AG350" s="94"/>
      <c r="AH350" s="263"/>
    </row>
    <row r="351" spans="1:34" ht="26.25" customHeight="1">
      <c r="A351" s="90"/>
      <c r="B351" s="88"/>
      <c r="C351" s="2"/>
      <c r="D351" s="2"/>
      <c r="E351" s="94">
        <v>10</v>
      </c>
      <c r="F351" s="74">
        <v>300</v>
      </c>
      <c r="G351" s="45">
        <f t="shared" si="18"/>
        <v>3000</v>
      </c>
      <c r="H351" s="119" t="s">
        <v>146</v>
      </c>
      <c r="I351" s="128">
        <v>45321</v>
      </c>
      <c r="J351" s="74">
        <v>300</v>
      </c>
      <c r="K351" s="74">
        <v>20</v>
      </c>
      <c r="L351" s="156">
        <v>45323</v>
      </c>
      <c r="M351" s="90">
        <v>3000</v>
      </c>
      <c r="N351" s="90">
        <v>50</v>
      </c>
      <c r="O351" s="90"/>
      <c r="P351" s="94" t="s">
        <v>924</v>
      </c>
      <c r="Q351" s="94">
        <v>8500067818</v>
      </c>
      <c r="R351" s="94">
        <v>5000164940</v>
      </c>
      <c r="S351" s="94"/>
      <c r="T351" s="90" t="s">
        <v>1666</v>
      </c>
      <c r="U351" s="90">
        <v>8500067817</v>
      </c>
      <c r="V351" s="90">
        <v>5000164939</v>
      </c>
      <c r="W351" s="376">
        <v>45360</v>
      </c>
      <c r="X351" s="106">
        <v>300</v>
      </c>
      <c r="Y351" s="106">
        <v>3000</v>
      </c>
      <c r="Z351" s="106" t="s">
        <v>1609</v>
      </c>
      <c r="AA351" s="106">
        <f t="shared" si="20"/>
        <v>0</v>
      </c>
      <c r="AB351" s="106">
        <f t="shared" si="21"/>
        <v>0</v>
      </c>
      <c r="AC351" s="94"/>
      <c r="AD351" s="94"/>
      <c r="AE351" s="94"/>
      <c r="AF351" s="94"/>
      <c r="AG351" s="94"/>
      <c r="AH351" s="263"/>
    </row>
    <row r="352" spans="1:34" ht="26.25" customHeight="1">
      <c r="A352" s="90" t="s">
        <v>1563</v>
      </c>
      <c r="B352" s="88">
        <v>6000027738</v>
      </c>
      <c r="C352" s="2" t="s">
        <v>2413</v>
      </c>
      <c r="D352" s="2">
        <v>6000027738</v>
      </c>
      <c r="E352" s="94">
        <v>10</v>
      </c>
      <c r="F352" s="74">
        <v>210</v>
      </c>
      <c r="G352" s="45">
        <f t="shared" si="18"/>
        <v>2100</v>
      </c>
      <c r="H352" s="119" t="s">
        <v>243</v>
      </c>
      <c r="I352" s="128">
        <v>45328</v>
      </c>
      <c r="J352" s="158">
        <v>210</v>
      </c>
      <c r="K352" s="74">
        <v>10</v>
      </c>
      <c r="L352" s="156">
        <v>45317</v>
      </c>
      <c r="M352" s="90">
        <v>2100</v>
      </c>
      <c r="N352" s="90">
        <v>50</v>
      </c>
      <c r="O352" s="90" t="s">
        <v>793</v>
      </c>
      <c r="P352" s="94" t="s">
        <v>924</v>
      </c>
      <c r="Q352" s="94">
        <v>8500066087</v>
      </c>
      <c r="R352" s="94">
        <v>5000161213</v>
      </c>
      <c r="S352" s="94"/>
      <c r="T352" s="90" t="s">
        <v>655</v>
      </c>
      <c r="U352" s="90">
        <v>8500066086</v>
      </c>
      <c r="V352" s="90">
        <v>5000113533</v>
      </c>
      <c r="W352" s="376">
        <v>45338</v>
      </c>
      <c r="X352" s="106">
        <v>210</v>
      </c>
      <c r="Y352" s="106">
        <v>2100</v>
      </c>
      <c r="Z352" s="106" t="s">
        <v>800</v>
      </c>
      <c r="AA352" s="106">
        <f t="shared" si="20"/>
        <v>0</v>
      </c>
      <c r="AB352" s="106">
        <f t="shared" si="21"/>
        <v>0</v>
      </c>
      <c r="AC352" s="94"/>
      <c r="AD352" s="94"/>
      <c r="AE352" s="94"/>
      <c r="AF352" s="94"/>
      <c r="AG352" s="94"/>
      <c r="AH352" s="263"/>
    </row>
    <row r="353" spans="1:34" ht="26.25" customHeight="1">
      <c r="A353" s="90"/>
      <c r="B353" s="88"/>
      <c r="C353" s="2"/>
      <c r="D353" s="2"/>
      <c r="E353" s="94">
        <v>10</v>
      </c>
      <c r="F353" s="74">
        <v>700</v>
      </c>
      <c r="G353" s="45">
        <f t="shared" si="18"/>
        <v>7000</v>
      </c>
      <c r="H353" s="119" t="s">
        <v>27</v>
      </c>
      <c r="I353" s="128">
        <v>45325</v>
      </c>
      <c r="J353" s="158">
        <v>700</v>
      </c>
      <c r="K353" s="74">
        <v>20</v>
      </c>
      <c r="L353" s="156">
        <v>45317</v>
      </c>
      <c r="M353" s="90">
        <v>7000</v>
      </c>
      <c r="N353" s="90">
        <v>50</v>
      </c>
      <c r="O353" s="90" t="s">
        <v>1390</v>
      </c>
      <c r="P353" s="94" t="s">
        <v>924</v>
      </c>
      <c r="Q353" s="94">
        <v>8500066087</v>
      </c>
      <c r="R353" s="94">
        <v>5000161195</v>
      </c>
      <c r="S353" s="94"/>
      <c r="T353" s="90" t="s">
        <v>655</v>
      </c>
      <c r="U353" s="90">
        <v>8500066086</v>
      </c>
      <c r="V353" s="90">
        <v>5000113533</v>
      </c>
      <c r="W353" s="376">
        <v>45348</v>
      </c>
      <c r="X353" s="106">
        <v>700</v>
      </c>
      <c r="Y353" s="106">
        <v>7000</v>
      </c>
      <c r="Z353" s="106" t="s">
        <v>849</v>
      </c>
      <c r="AA353" s="106">
        <f t="shared" si="20"/>
        <v>0</v>
      </c>
      <c r="AB353" s="106">
        <f t="shared" si="21"/>
        <v>0</v>
      </c>
      <c r="AC353" s="94"/>
      <c r="AD353" s="94"/>
      <c r="AE353" s="94"/>
      <c r="AF353" s="94"/>
      <c r="AG353" s="94"/>
      <c r="AH353" s="263"/>
    </row>
    <row r="354" spans="1:34" ht="26.25" customHeight="1">
      <c r="A354" s="90"/>
      <c r="B354" s="88"/>
      <c r="C354" s="2"/>
      <c r="D354" s="2"/>
      <c r="E354" s="94">
        <v>10</v>
      </c>
      <c r="F354" s="74">
        <v>1500</v>
      </c>
      <c r="G354" s="45">
        <f t="shared" si="18"/>
        <v>15000</v>
      </c>
      <c r="H354" s="119" t="s">
        <v>46</v>
      </c>
      <c r="I354" s="128" t="s">
        <v>2776</v>
      </c>
      <c r="J354" s="158">
        <f>800+700</f>
        <v>1500</v>
      </c>
      <c r="K354" s="74">
        <v>7</v>
      </c>
      <c r="L354" s="156">
        <v>45317</v>
      </c>
      <c r="M354" s="90">
        <v>15000</v>
      </c>
      <c r="N354" s="90">
        <v>150</v>
      </c>
      <c r="O354" s="90"/>
      <c r="P354" s="94" t="s">
        <v>924</v>
      </c>
      <c r="Q354" s="94">
        <v>8500066087</v>
      </c>
      <c r="R354" s="94">
        <v>5000141131</v>
      </c>
      <c r="S354" s="94"/>
      <c r="T354" s="90" t="s">
        <v>655</v>
      </c>
      <c r="U354" s="90">
        <v>8500066086</v>
      </c>
      <c r="V354" s="90">
        <v>5000113533</v>
      </c>
      <c r="W354" s="376" t="s">
        <v>2924</v>
      </c>
      <c r="X354" s="106">
        <f>334+1166</f>
        <v>1500</v>
      </c>
      <c r="Y354" s="106">
        <f>3340+11660</f>
        <v>15000</v>
      </c>
      <c r="Z354" s="106" t="s">
        <v>2921</v>
      </c>
      <c r="AA354" s="106">
        <f t="shared" si="20"/>
        <v>0</v>
      </c>
      <c r="AB354" s="106">
        <f t="shared" si="21"/>
        <v>0</v>
      </c>
      <c r="AC354" s="94" t="s">
        <v>3142</v>
      </c>
      <c r="AD354" s="94"/>
      <c r="AE354" s="94"/>
      <c r="AF354" s="94"/>
      <c r="AG354" s="94"/>
      <c r="AH354" s="263"/>
    </row>
    <row r="355" spans="1:34" ht="26.25" customHeight="1">
      <c r="A355" s="90"/>
      <c r="B355" s="88"/>
      <c r="C355" s="2"/>
      <c r="D355" s="2"/>
      <c r="E355" s="94">
        <v>10</v>
      </c>
      <c r="F355" s="74">
        <v>1200</v>
      </c>
      <c r="G355" s="45">
        <f t="shared" si="18"/>
        <v>12000</v>
      </c>
      <c r="H355" s="119" t="s">
        <v>37</v>
      </c>
      <c r="I355" s="128">
        <v>45325</v>
      </c>
      <c r="J355" s="158">
        <v>1200</v>
      </c>
      <c r="K355" s="74">
        <v>15</v>
      </c>
      <c r="L355" s="156">
        <v>45317</v>
      </c>
      <c r="M355" s="90">
        <v>12000</v>
      </c>
      <c r="N355" s="90">
        <v>100</v>
      </c>
      <c r="O355" s="90"/>
      <c r="P355" s="94" t="s">
        <v>924</v>
      </c>
      <c r="Q355" s="94">
        <v>8500066087</v>
      </c>
      <c r="R355" s="94">
        <v>5000161195</v>
      </c>
      <c r="S355" s="94"/>
      <c r="T355" s="90" t="s">
        <v>655</v>
      </c>
      <c r="U355" s="90">
        <v>8500066086</v>
      </c>
      <c r="V355" s="90">
        <v>5000113533</v>
      </c>
      <c r="W355" s="376">
        <v>45350</v>
      </c>
      <c r="X355" s="106">
        <v>1200</v>
      </c>
      <c r="Y355" s="106">
        <v>12000</v>
      </c>
      <c r="Z355" s="106" t="s">
        <v>2972</v>
      </c>
      <c r="AA355" s="106">
        <f t="shared" si="20"/>
        <v>0</v>
      </c>
      <c r="AB355" s="106">
        <f t="shared" si="21"/>
        <v>0</v>
      </c>
      <c r="AC355" s="94"/>
      <c r="AD355" s="94"/>
      <c r="AE355" s="94"/>
      <c r="AF355" s="94"/>
      <c r="AG355" s="94"/>
      <c r="AH355" s="263"/>
    </row>
    <row r="356" spans="1:34" ht="26.25" customHeight="1">
      <c r="A356" s="90"/>
      <c r="B356" s="88"/>
      <c r="C356" s="2"/>
      <c r="D356" s="2"/>
      <c r="E356" s="94">
        <v>10</v>
      </c>
      <c r="F356" s="74">
        <v>280</v>
      </c>
      <c r="G356" s="45">
        <f t="shared" si="18"/>
        <v>2800</v>
      </c>
      <c r="H356" s="119" t="s">
        <v>146</v>
      </c>
      <c r="I356" s="128">
        <v>45322</v>
      </c>
      <c r="J356" s="158">
        <v>280</v>
      </c>
      <c r="K356" s="74">
        <v>20</v>
      </c>
      <c r="L356" s="156">
        <v>45317</v>
      </c>
      <c r="M356" s="90">
        <v>2800</v>
      </c>
      <c r="N356" s="90">
        <v>50</v>
      </c>
      <c r="O356" s="90" t="s">
        <v>793</v>
      </c>
      <c r="P356" s="94" t="s">
        <v>924</v>
      </c>
      <c r="Q356" s="94">
        <v>8500066087</v>
      </c>
      <c r="R356" s="94">
        <v>5000136186</v>
      </c>
      <c r="S356" s="94"/>
      <c r="T356" s="90" t="s">
        <v>655</v>
      </c>
      <c r="U356" s="90">
        <v>8500066086</v>
      </c>
      <c r="V356" s="90">
        <v>5000113533</v>
      </c>
      <c r="W356" s="376">
        <v>45350</v>
      </c>
      <c r="X356" s="106">
        <v>280</v>
      </c>
      <c r="Y356" s="106">
        <v>2800</v>
      </c>
      <c r="Z356" s="106" t="s">
        <v>798</v>
      </c>
      <c r="AA356" s="106">
        <f t="shared" si="20"/>
        <v>0</v>
      </c>
      <c r="AB356" s="106">
        <f t="shared" si="21"/>
        <v>0</v>
      </c>
      <c r="AC356" s="94"/>
      <c r="AD356" s="94"/>
      <c r="AE356" s="94"/>
      <c r="AF356" s="94"/>
      <c r="AG356" s="94"/>
      <c r="AH356" s="263"/>
    </row>
    <row r="357" spans="1:34" ht="26.25" customHeight="1">
      <c r="A357" s="90" t="s">
        <v>1563</v>
      </c>
      <c r="B357" s="88">
        <v>6000027739</v>
      </c>
      <c r="C357" s="2" t="s">
        <v>1564</v>
      </c>
      <c r="D357" s="2" t="s">
        <v>2663</v>
      </c>
      <c r="E357" s="94">
        <v>10</v>
      </c>
      <c r="F357" s="74">
        <v>700</v>
      </c>
      <c r="G357" s="45">
        <f t="shared" si="18"/>
        <v>7000</v>
      </c>
      <c r="H357" s="119" t="s">
        <v>27</v>
      </c>
      <c r="I357" s="128">
        <v>45325</v>
      </c>
      <c r="J357" s="158">
        <v>700</v>
      </c>
      <c r="K357" s="74">
        <v>10</v>
      </c>
      <c r="L357" s="156">
        <v>45321</v>
      </c>
      <c r="M357" s="90">
        <v>7000</v>
      </c>
      <c r="N357" s="90">
        <v>50</v>
      </c>
      <c r="O357" s="90" t="s">
        <v>1784</v>
      </c>
      <c r="P357" s="94" t="s">
        <v>924</v>
      </c>
      <c r="Q357" s="94">
        <v>8500066091</v>
      </c>
      <c r="R357" s="94">
        <v>5000161190</v>
      </c>
      <c r="S357" s="94"/>
      <c r="T357" s="90" t="s">
        <v>655</v>
      </c>
      <c r="U357" s="90">
        <v>8500066090</v>
      </c>
      <c r="V357" s="90">
        <v>5000128110</v>
      </c>
      <c r="W357" s="376">
        <v>45349</v>
      </c>
      <c r="X357" s="106">
        <v>700</v>
      </c>
      <c r="Y357" s="106">
        <v>7000</v>
      </c>
      <c r="Z357" s="106" t="s">
        <v>849</v>
      </c>
      <c r="AA357" s="106">
        <f t="shared" si="20"/>
        <v>0</v>
      </c>
      <c r="AB357" s="106">
        <f t="shared" si="21"/>
        <v>0</v>
      </c>
      <c r="AC357" s="94"/>
      <c r="AD357" s="94"/>
      <c r="AE357" s="94"/>
      <c r="AF357" s="94"/>
      <c r="AG357" s="94"/>
      <c r="AH357" s="263"/>
    </row>
    <row r="358" spans="1:34" ht="26.25" customHeight="1">
      <c r="A358" s="90"/>
      <c r="B358" s="88"/>
      <c r="C358" s="2"/>
      <c r="D358" s="2"/>
      <c r="E358" s="94">
        <v>10</v>
      </c>
      <c r="F358" s="74">
        <v>1800</v>
      </c>
      <c r="G358" s="45">
        <f t="shared" si="18"/>
        <v>18000</v>
      </c>
      <c r="H358" s="119" t="s">
        <v>46</v>
      </c>
      <c r="I358" s="128" t="s">
        <v>2764</v>
      </c>
      <c r="J358" s="158">
        <f>880+920</f>
        <v>1800</v>
      </c>
      <c r="K358" s="74">
        <v>18</v>
      </c>
      <c r="L358" s="156">
        <v>45320</v>
      </c>
      <c r="M358" s="90">
        <v>18000</v>
      </c>
      <c r="N358" s="90">
        <v>150</v>
      </c>
      <c r="O358" s="90" t="s">
        <v>2672</v>
      </c>
      <c r="P358" s="94" t="s">
        <v>924</v>
      </c>
      <c r="Q358" s="94">
        <v>8500066091</v>
      </c>
      <c r="R358" s="94">
        <v>5000139317</v>
      </c>
      <c r="S358" s="94"/>
      <c r="T358" s="90" t="s">
        <v>655</v>
      </c>
      <c r="U358" s="90">
        <v>8500066090</v>
      </c>
      <c r="V358" s="90">
        <v>5000123281</v>
      </c>
      <c r="W358" s="376">
        <v>45345</v>
      </c>
      <c r="X358" s="106">
        <v>1800</v>
      </c>
      <c r="Y358" s="106">
        <v>18000</v>
      </c>
      <c r="Z358" s="106" t="s">
        <v>2934</v>
      </c>
      <c r="AA358" s="106">
        <f t="shared" si="20"/>
        <v>0</v>
      </c>
      <c r="AB358" s="106">
        <f t="shared" si="21"/>
        <v>0</v>
      </c>
      <c r="AC358" s="94"/>
      <c r="AD358" s="94"/>
      <c r="AE358" s="94"/>
      <c r="AF358" s="94"/>
      <c r="AG358" s="94"/>
      <c r="AH358" s="263"/>
    </row>
    <row r="359" spans="1:34" ht="26.25" customHeight="1">
      <c r="A359" s="90"/>
      <c r="B359" s="88"/>
      <c r="C359" s="2"/>
      <c r="D359" s="2"/>
      <c r="E359" s="94">
        <v>10</v>
      </c>
      <c r="F359" s="74">
        <v>1000</v>
      </c>
      <c r="G359" s="45">
        <f t="shared" si="18"/>
        <v>10000</v>
      </c>
      <c r="H359" s="119" t="s">
        <v>37</v>
      </c>
      <c r="I359" s="128">
        <v>45325</v>
      </c>
      <c r="J359" s="158">
        <v>1000</v>
      </c>
      <c r="K359" s="74">
        <v>10</v>
      </c>
      <c r="L359" s="156" t="s">
        <v>2729</v>
      </c>
      <c r="M359" s="90">
        <f>3000+7000</f>
        <v>10000</v>
      </c>
      <c r="N359" s="90">
        <v>100</v>
      </c>
      <c r="O359" s="90" t="s">
        <v>2730</v>
      </c>
      <c r="P359" s="94" t="s">
        <v>924</v>
      </c>
      <c r="Q359" s="94">
        <v>8500066091</v>
      </c>
      <c r="R359" s="94">
        <v>5000161190</v>
      </c>
      <c r="S359" s="94"/>
      <c r="T359" s="90" t="s">
        <v>655</v>
      </c>
      <c r="U359" s="90">
        <v>8500066090</v>
      </c>
      <c r="V359" s="90">
        <v>5000123281</v>
      </c>
      <c r="W359" s="376">
        <v>45352</v>
      </c>
      <c r="X359" s="106">
        <v>1000</v>
      </c>
      <c r="Y359" s="106">
        <v>10000</v>
      </c>
      <c r="Z359" s="106" t="s">
        <v>2981</v>
      </c>
      <c r="AA359" s="106">
        <f t="shared" si="20"/>
        <v>0</v>
      </c>
      <c r="AB359" s="106">
        <f t="shared" si="21"/>
        <v>0</v>
      </c>
      <c r="AC359" s="94"/>
      <c r="AD359" s="94"/>
      <c r="AE359" s="94"/>
      <c r="AF359" s="94"/>
      <c r="AG359" s="94"/>
      <c r="AH359" s="263"/>
    </row>
    <row r="360" spans="1:34" ht="26.25" customHeight="1">
      <c r="A360" s="90"/>
      <c r="B360" s="88"/>
      <c r="C360" s="2"/>
      <c r="D360" s="2"/>
      <c r="E360" s="94">
        <v>10</v>
      </c>
      <c r="F360" s="74">
        <v>400</v>
      </c>
      <c r="G360" s="45">
        <f t="shared" si="18"/>
        <v>4000</v>
      </c>
      <c r="H360" s="119" t="s">
        <v>146</v>
      </c>
      <c r="I360" s="128">
        <v>45323</v>
      </c>
      <c r="J360" s="158">
        <v>400</v>
      </c>
      <c r="K360" s="74">
        <v>20</v>
      </c>
      <c r="L360" s="156">
        <v>45321</v>
      </c>
      <c r="M360" s="90">
        <v>4000</v>
      </c>
      <c r="N360" s="90">
        <v>50</v>
      </c>
      <c r="O360" s="90" t="s">
        <v>1813</v>
      </c>
      <c r="P360" s="94" t="s">
        <v>924</v>
      </c>
      <c r="Q360" s="94">
        <v>8500066091</v>
      </c>
      <c r="R360" s="94">
        <v>5000139317</v>
      </c>
      <c r="S360" s="94"/>
      <c r="T360" s="90" t="s">
        <v>655</v>
      </c>
      <c r="U360" s="90">
        <v>8500066090</v>
      </c>
      <c r="V360" s="90">
        <v>5000128110</v>
      </c>
      <c r="W360" s="376">
        <v>45350</v>
      </c>
      <c r="X360" s="106">
        <v>400</v>
      </c>
      <c r="Y360" s="106">
        <v>4000</v>
      </c>
      <c r="Z360" s="106" t="s">
        <v>798</v>
      </c>
      <c r="AA360" s="106">
        <f t="shared" si="20"/>
        <v>0</v>
      </c>
      <c r="AB360" s="106">
        <f t="shared" si="21"/>
        <v>0</v>
      </c>
      <c r="AC360" s="94"/>
      <c r="AD360" s="94"/>
      <c r="AE360" s="94"/>
      <c r="AF360" s="94"/>
      <c r="AG360" s="94"/>
      <c r="AH360" s="263"/>
    </row>
    <row r="361" spans="1:34" ht="26.25" customHeight="1">
      <c r="A361" s="90" t="s">
        <v>1563</v>
      </c>
      <c r="B361" s="88">
        <v>6000027740</v>
      </c>
      <c r="C361" s="2" t="s">
        <v>1564</v>
      </c>
      <c r="D361" s="2" t="s">
        <v>2664</v>
      </c>
      <c r="E361" s="94">
        <v>10</v>
      </c>
      <c r="F361" s="74">
        <v>700</v>
      </c>
      <c r="G361" s="45">
        <f t="shared" si="18"/>
        <v>7000</v>
      </c>
      <c r="H361" s="119" t="s">
        <v>27</v>
      </c>
      <c r="I361" s="128">
        <v>45322</v>
      </c>
      <c r="J361" s="74">
        <v>700</v>
      </c>
      <c r="K361" s="74">
        <v>20</v>
      </c>
      <c r="L361" s="156">
        <v>45320</v>
      </c>
      <c r="M361" s="90">
        <v>7000</v>
      </c>
      <c r="N361" s="90">
        <v>100</v>
      </c>
      <c r="O361" s="90" t="s">
        <v>1344</v>
      </c>
      <c r="P361" s="94" t="s">
        <v>924</v>
      </c>
      <c r="Q361" s="94">
        <v>8500066089</v>
      </c>
      <c r="R361" s="94">
        <v>5000136185</v>
      </c>
      <c r="S361" s="94"/>
      <c r="T361" s="90" t="s">
        <v>655</v>
      </c>
      <c r="U361" s="90">
        <v>8500066088</v>
      </c>
      <c r="V361" s="90">
        <v>5000123277</v>
      </c>
      <c r="W361" s="376" t="s">
        <v>2782</v>
      </c>
      <c r="X361" s="106">
        <f>38+662</f>
        <v>700</v>
      </c>
      <c r="Y361" s="106">
        <f>380+6620</f>
        <v>7000</v>
      </c>
      <c r="Z361" s="106" t="s">
        <v>2778</v>
      </c>
      <c r="AA361" s="106">
        <f t="shared" si="20"/>
        <v>0</v>
      </c>
      <c r="AB361" s="106">
        <f t="shared" si="21"/>
        <v>0</v>
      </c>
      <c r="AC361" s="94"/>
      <c r="AD361" s="94"/>
      <c r="AE361" s="94"/>
      <c r="AF361" s="94"/>
      <c r="AG361" s="94"/>
      <c r="AH361" s="263"/>
    </row>
    <row r="362" spans="1:34" ht="26.25" customHeight="1">
      <c r="A362" s="90"/>
      <c r="B362" s="88"/>
      <c r="C362" s="2"/>
      <c r="D362" s="2"/>
      <c r="E362" s="94">
        <v>10</v>
      </c>
      <c r="F362" s="74">
        <v>1900</v>
      </c>
      <c r="G362" s="45">
        <f t="shared" si="18"/>
        <v>19000</v>
      </c>
      <c r="H362" s="119" t="s">
        <v>46</v>
      </c>
      <c r="I362" s="128">
        <v>45322</v>
      </c>
      <c r="J362" s="74">
        <v>1900</v>
      </c>
      <c r="K362" s="74">
        <v>14</v>
      </c>
      <c r="L362" s="156">
        <v>45320</v>
      </c>
      <c r="M362" s="90">
        <v>19000</v>
      </c>
      <c r="N362" s="90">
        <v>150</v>
      </c>
      <c r="O362" s="90"/>
      <c r="P362" s="94" t="s">
        <v>924</v>
      </c>
      <c r="Q362" s="94">
        <v>8500066089</v>
      </c>
      <c r="R362" s="94">
        <v>5000136185</v>
      </c>
      <c r="S362" s="94"/>
      <c r="T362" s="90" t="s">
        <v>655</v>
      </c>
      <c r="U362" s="90">
        <v>8500066088</v>
      </c>
      <c r="V362" s="90">
        <v>5000123277</v>
      </c>
      <c r="W362" s="376">
        <v>45322</v>
      </c>
      <c r="X362" s="106">
        <v>1900</v>
      </c>
      <c r="Y362" s="106">
        <v>19000</v>
      </c>
      <c r="Z362" s="106" t="s">
        <v>1460</v>
      </c>
      <c r="AA362" s="106">
        <f t="shared" si="20"/>
        <v>0</v>
      </c>
      <c r="AB362" s="106">
        <f t="shared" si="21"/>
        <v>0</v>
      </c>
      <c r="AC362" s="94"/>
      <c r="AD362" s="94"/>
      <c r="AE362" s="94"/>
      <c r="AF362" s="94"/>
      <c r="AG362" s="94"/>
      <c r="AH362" s="263"/>
    </row>
    <row r="363" spans="1:34" ht="26.25" customHeight="1">
      <c r="A363" s="90"/>
      <c r="B363" s="88"/>
      <c r="C363" s="2"/>
      <c r="D363" s="2"/>
      <c r="E363" s="94">
        <v>10</v>
      </c>
      <c r="F363" s="74">
        <v>1300</v>
      </c>
      <c r="G363" s="45">
        <f t="shared" si="18"/>
        <v>13000</v>
      </c>
      <c r="H363" s="119" t="s">
        <v>37</v>
      </c>
      <c r="I363" s="128">
        <v>45323</v>
      </c>
      <c r="J363" s="158">
        <v>1300</v>
      </c>
      <c r="K363" s="74">
        <v>20</v>
      </c>
      <c r="L363" s="156">
        <v>45320</v>
      </c>
      <c r="M363" s="90">
        <v>13000</v>
      </c>
      <c r="N363" s="90">
        <v>100</v>
      </c>
      <c r="O363" s="90"/>
      <c r="P363" s="94" t="s">
        <v>924</v>
      </c>
      <c r="Q363" s="94">
        <v>8500066089</v>
      </c>
      <c r="R363" s="94">
        <v>5000139340</v>
      </c>
      <c r="S363" s="94"/>
      <c r="T363" s="90" t="s">
        <v>655</v>
      </c>
      <c r="U363" s="90">
        <v>8500066088</v>
      </c>
      <c r="V363" s="90">
        <v>5000123277</v>
      </c>
      <c r="W363" s="376" t="s">
        <v>2894</v>
      </c>
      <c r="X363" s="106">
        <f>170+1130</f>
        <v>1300</v>
      </c>
      <c r="Y363" s="106">
        <f>1700+11300</f>
        <v>13000</v>
      </c>
      <c r="Z363" s="106" t="s">
        <v>2240</v>
      </c>
      <c r="AA363" s="106">
        <f t="shared" si="20"/>
        <v>0</v>
      </c>
      <c r="AB363" s="106">
        <f t="shared" si="21"/>
        <v>0</v>
      </c>
      <c r="AC363" s="94"/>
      <c r="AD363" s="94"/>
      <c r="AE363" s="94"/>
      <c r="AF363" s="94"/>
      <c r="AG363" s="94"/>
      <c r="AH363" s="263"/>
    </row>
    <row r="364" spans="1:34" ht="26.25" customHeight="1">
      <c r="A364" s="90" t="s">
        <v>136</v>
      </c>
      <c r="B364" s="88">
        <v>6000027927</v>
      </c>
      <c r="C364" s="2" t="s">
        <v>2724</v>
      </c>
      <c r="D364" s="2">
        <v>37043</v>
      </c>
      <c r="E364" s="94">
        <v>10</v>
      </c>
      <c r="F364" s="74">
        <v>840</v>
      </c>
      <c r="G364" s="45">
        <f t="shared" si="18"/>
        <v>8400</v>
      </c>
      <c r="H364" s="119" t="s">
        <v>27</v>
      </c>
      <c r="I364" s="128">
        <v>45321</v>
      </c>
      <c r="J364" s="74">
        <v>840</v>
      </c>
      <c r="K364" s="74">
        <f>9+5</f>
        <v>14</v>
      </c>
      <c r="L364" s="156">
        <v>45323</v>
      </c>
      <c r="M364" s="90">
        <v>8400</v>
      </c>
      <c r="N364" s="90">
        <v>42</v>
      </c>
      <c r="O364" s="90"/>
      <c r="P364" s="94" t="s">
        <v>160</v>
      </c>
      <c r="Q364" s="94">
        <v>8500066781</v>
      </c>
      <c r="R364" s="94">
        <v>5000127622</v>
      </c>
      <c r="S364" s="94"/>
      <c r="T364" s="90" t="s">
        <v>152</v>
      </c>
      <c r="U364" s="90">
        <v>8500066780</v>
      </c>
      <c r="V364" s="90">
        <v>5000139613</v>
      </c>
      <c r="W364" s="376">
        <v>45342</v>
      </c>
      <c r="X364" s="106">
        <v>840</v>
      </c>
      <c r="Y364" s="106">
        <v>8400</v>
      </c>
      <c r="Z364" s="106" t="s">
        <v>1980</v>
      </c>
      <c r="AA364" s="106">
        <f t="shared" si="20"/>
        <v>0</v>
      </c>
      <c r="AB364" s="106">
        <f t="shared" si="21"/>
        <v>0</v>
      </c>
      <c r="AC364" s="94"/>
      <c r="AD364" s="94"/>
      <c r="AE364" s="94"/>
      <c r="AF364" s="94"/>
      <c r="AG364" s="94"/>
      <c r="AH364" s="263"/>
    </row>
    <row r="365" spans="1:34" ht="26.25" customHeight="1">
      <c r="A365" s="90"/>
      <c r="B365" s="88"/>
      <c r="C365" s="2"/>
      <c r="D365" s="2"/>
      <c r="E365" s="94">
        <v>10</v>
      </c>
      <c r="F365" s="74">
        <v>2000</v>
      </c>
      <c r="G365" s="45">
        <f t="shared" si="18"/>
        <v>20000</v>
      </c>
      <c r="H365" s="119" t="s">
        <v>46</v>
      </c>
      <c r="I365" s="128">
        <v>45321</v>
      </c>
      <c r="J365" s="74">
        <v>2000</v>
      </c>
      <c r="K365" s="74">
        <v>20</v>
      </c>
      <c r="L365" s="156">
        <v>45322</v>
      </c>
      <c r="M365" s="90">
        <v>20000</v>
      </c>
      <c r="N365" s="90">
        <v>100</v>
      </c>
      <c r="O365" s="90"/>
      <c r="P365" s="94" t="s">
        <v>160</v>
      </c>
      <c r="Q365" s="94">
        <v>8500066781</v>
      </c>
      <c r="R365" s="94">
        <v>5000127622</v>
      </c>
      <c r="S365" s="94"/>
      <c r="T365" s="90" t="s">
        <v>152</v>
      </c>
      <c r="U365" s="90">
        <v>8500066780</v>
      </c>
      <c r="V365" s="90">
        <v>5000135463</v>
      </c>
      <c r="W365" s="376">
        <v>45344</v>
      </c>
      <c r="X365" s="106">
        <v>2000</v>
      </c>
      <c r="Y365" s="106">
        <v>20000</v>
      </c>
      <c r="Z365" s="106" t="s">
        <v>1980</v>
      </c>
      <c r="AA365" s="106">
        <f t="shared" si="20"/>
        <v>0</v>
      </c>
      <c r="AB365" s="106">
        <f t="shared" si="21"/>
        <v>0</v>
      </c>
      <c r="AC365" s="94"/>
      <c r="AD365" s="94"/>
      <c r="AE365" s="94"/>
      <c r="AF365" s="94"/>
      <c r="AG365" s="94"/>
      <c r="AH365" s="263"/>
    </row>
    <row r="366" spans="1:34" ht="26.25" customHeight="1">
      <c r="A366" s="90"/>
      <c r="B366" s="88"/>
      <c r="C366" s="2"/>
      <c r="D366" s="2"/>
      <c r="E366" s="94">
        <v>10</v>
      </c>
      <c r="F366" s="74">
        <v>1500</v>
      </c>
      <c r="G366" s="45">
        <f t="shared" si="18"/>
        <v>15000</v>
      </c>
      <c r="H366" s="119" t="s">
        <v>37</v>
      </c>
      <c r="I366" s="128">
        <v>45321</v>
      </c>
      <c r="J366" s="74">
        <v>1500</v>
      </c>
      <c r="K366" s="74">
        <v>15</v>
      </c>
      <c r="L366" s="156">
        <v>45323</v>
      </c>
      <c r="M366" s="90">
        <v>15000</v>
      </c>
      <c r="N366" s="90">
        <v>75</v>
      </c>
      <c r="O366" s="90"/>
      <c r="P366" s="94" t="s">
        <v>160</v>
      </c>
      <c r="Q366" s="94">
        <v>8500066781</v>
      </c>
      <c r="R366" s="94">
        <v>5000127622</v>
      </c>
      <c r="S366" s="94"/>
      <c r="T366" s="90" t="s">
        <v>152</v>
      </c>
      <c r="U366" s="90">
        <v>8500066780</v>
      </c>
      <c r="V366" s="90">
        <v>5000139560</v>
      </c>
      <c r="W366" s="376">
        <v>45351</v>
      </c>
      <c r="X366" s="106">
        <v>1500</v>
      </c>
      <c r="Y366" s="106">
        <v>15000</v>
      </c>
      <c r="Z366" s="106" t="s">
        <v>870</v>
      </c>
      <c r="AA366" s="106">
        <f t="shared" si="20"/>
        <v>0</v>
      </c>
      <c r="AB366" s="106">
        <f t="shared" si="21"/>
        <v>0</v>
      </c>
      <c r="AC366" s="94"/>
      <c r="AD366" s="94"/>
      <c r="AE366" s="94"/>
      <c r="AF366" s="94"/>
      <c r="AG366" s="94"/>
      <c r="AH366" s="263"/>
    </row>
    <row r="367" spans="1:34" ht="26.25" customHeight="1">
      <c r="A367" s="90"/>
      <c r="B367" s="88"/>
      <c r="C367" s="2"/>
      <c r="D367" s="2"/>
      <c r="E367" s="94">
        <v>10</v>
      </c>
      <c r="F367" s="74">
        <v>480</v>
      </c>
      <c r="G367" s="45">
        <f t="shared" si="18"/>
        <v>4800</v>
      </c>
      <c r="H367" s="119" t="s">
        <v>146</v>
      </c>
      <c r="I367" s="128">
        <v>45321</v>
      </c>
      <c r="J367" s="74">
        <v>480</v>
      </c>
      <c r="K367" s="74">
        <f>5+1</f>
        <v>6</v>
      </c>
      <c r="L367" s="156">
        <v>45322</v>
      </c>
      <c r="M367" s="90">
        <v>4800</v>
      </c>
      <c r="N367" s="90">
        <v>24</v>
      </c>
      <c r="O367" s="90" t="s">
        <v>1363</v>
      </c>
      <c r="P367" s="94" t="s">
        <v>160</v>
      </c>
      <c r="Q367" s="94">
        <v>8500066781</v>
      </c>
      <c r="R367" s="94">
        <v>5000128034</v>
      </c>
      <c r="S367" s="94"/>
      <c r="T367" s="90" t="s">
        <v>152</v>
      </c>
      <c r="U367" s="90">
        <v>8500066780</v>
      </c>
      <c r="V367" s="90">
        <v>5000135381</v>
      </c>
      <c r="W367" s="376">
        <v>45359</v>
      </c>
      <c r="X367" s="106">
        <v>480</v>
      </c>
      <c r="Y367" s="106">
        <v>4800</v>
      </c>
      <c r="Z367" s="106" t="s">
        <v>1609</v>
      </c>
      <c r="AA367" s="106">
        <f t="shared" si="20"/>
        <v>0</v>
      </c>
      <c r="AB367" s="106">
        <f t="shared" si="21"/>
        <v>0</v>
      </c>
      <c r="AC367" s="94"/>
      <c r="AD367" s="94"/>
      <c r="AE367" s="94"/>
      <c r="AF367" s="94"/>
      <c r="AG367" s="94"/>
      <c r="AH367" s="263"/>
    </row>
    <row r="368" spans="1:34" ht="26.25" customHeight="1">
      <c r="A368" s="90" t="s">
        <v>136</v>
      </c>
      <c r="B368" s="88">
        <v>6000027924</v>
      </c>
      <c r="C368" s="2" t="s">
        <v>2724</v>
      </c>
      <c r="D368" s="2">
        <v>37042</v>
      </c>
      <c r="E368" s="94">
        <v>10</v>
      </c>
      <c r="F368" s="74">
        <v>840</v>
      </c>
      <c r="G368" s="45">
        <f t="shared" ref="G368:G383" si="22">F368*E368</f>
        <v>8400</v>
      </c>
      <c r="H368" s="119" t="s">
        <v>27</v>
      </c>
      <c r="I368" s="128">
        <v>45321</v>
      </c>
      <c r="J368" s="74">
        <v>840</v>
      </c>
      <c r="K368" s="74">
        <f>15+1</f>
        <v>16</v>
      </c>
      <c r="L368" s="156">
        <v>45322</v>
      </c>
      <c r="M368" s="90">
        <v>8400</v>
      </c>
      <c r="N368" s="90">
        <v>42</v>
      </c>
      <c r="O368" s="90" t="s">
        <v>922</v>
      </c>
      <c r="P368" s="94" t="s">
        <v>160</v>
      </c>
      <c r="Q368" s="94">
        <v>8500066779</v>
      </c>
      <c r="R368" s="94">
        <v>5000127624</v>
      </c>
      <c r="S368" s="94"/>
      <c r="T368" s="90" t="s">
        <v>152</v>
      </c>
      <c r="U368" s="90">
        <v>8500066778</v>
      </c>
      <c r="V368" s="90">
        <v>5000135138</v>
      </c>
      <c r="W368" s="376">
        <v>45342</v>
      </c>
      <c r="X368" s="106">
        <v>840</v>
      </c>
      <c r="Y368" s="106">
        <v>8400</v>
      </c>
      <c r="Z368" s="106" t="s">
        <v>1980</v>
      </c>
      <c r="AA368" s="106">
        <f t="shared" si="20"/>
        <v>0</v>
      </c>
      <c r="AB368" s="106">
        <f t="shared" si="21"/>
        <v>0</v>
      </c>
      <c r="AC368" s="94"/>
      <c r="AD368" s="94"/>
      <c r="AE368" s="94"/>
      <c r="AF368" s="94"/>
      <c r="AG368" s="94"/>
      <c r="AH368" s="263"/>
    </row>
    <row r="369" spans="1:34" ht="26.25" customHeight="1">
      <c r="A369" s="90"/>
      <c r="B369" s="88"/>
      <c r="C369" s="2"/>
      <c r="D369" s="2"/>
      <c r="E369" s="94">
        <v>10</v>
      </c>
      <c r="F369" s="74">
        <v>2000</v>
      </c>
      <c r="G369" s="45">
        <f t="shared" si="22"/>
        <v>20000</v>
      </c>
      <c r="H369" s="119" t="s">
        <v>46</v>
      </c>
      <c r="I369" s="128">
        <v>45321</v>
      </c>
      <c r="J369" s="74">
        <v>2000</v>
      </c>
      <c r="K369" s="74">
        <f>25+35</f>
        <v>60</v>
      </c>
      <c r="L369" s="156">
        <v>45323</v>
      </c>
      <c r="M369" s="90">
        <v>20000</v>
      </c>
      <c r="N369" s="90">
        <v>100</v>
      </c>
      <c r="O369" s="90"/>
      <c r="P369" s="94" t="s">
        <v>160</v>
      </c>
      <c r="Q369" s="94">
        <v>8500066779</v>
      </c>
      <c r="R369" s="94">
        <v>5000127624</v>
      </c>
      <c r="S369" s="94"/>
      <c r="T369" s="90" t="s">
        <v>152</v>
      </c>
      <c r="U369" s="90">
        <v>8500066778</v>
      </c>
      <c r="V369" s="90">
        <v>5000139547</v>
      </c>
      <c r="W369" s="376">
        <v>45344</v>
      </c>
      <c r="X369" s="106">
        <v>2000</v>
      </c>
      <c r="Y369" s="106">
        <v>20000</v>
      </c>
      <c r="Z369" s="106" t="s">
        <v>1980</v>
      </c>
      <c r="AA369" s="106">
        <f t="shared" si="20"/>
        <v>0</v>
      </c>
      <c r="AB369" s="106">
        <f t="shared" si="21"/>
        <v>0</v>
      </c>
      <c r="AC369" s="94"/>
      <c r="AD369" s="94"/>
      <c r="AE369" s="94"/>
      <c r="AF369" s="94"/>
      <c r="AG369" s="94"/>
      <c r="AH369" s="263"/>
    </row>
    <row r="370" spans="1:34" ht="26.25" customHeight="1">
      <c r="A370" s="90"/>
      <c r="B370" s="88"/>
      <c r="C370" s="2"/>
      <c r="D370" s="2"/>
      <c r="E370" s="94">
        <v>10</v>
      </c>
      <c r="F370" s="74">
        <v>1500</v>
      </c>
      <c r="G370" s="45">
        <f t="shared" si="22"/>
        <v>15000</v>
      </c>
      <c r="H370" s="119" t="s">
        <v>37</v>
      </c>
      <c r="I370" s="128">
        <v>45321</v>
      </c>
      <c r="J370" s="74">
        <v>1500</v>
      </c>
      <c r="K370" s="74">
        <v>20</v>
      </c>
      <c r="L370" s="156">
        <v>45325</v>
      </c>
      <c r="M370" s="90">
        <v>15000</v>
      </c>
      <c r="N370" s="90">
        <v>75</v>
      </c>
      <c r="O370" s="90"/>
      <c r="P370" s="94" t="s">
        <v>160</v>
      </c>
      <c r="Q370" s="94">
        <v>8500066779</v>
      </c>
      <c r="R370" s="94">
        <v>5000127624</v>
      </c>
      <c r="S370" s="94"/>
      <c r="T370" s="90" t="s">
        <v>152</v>
      </c>
      <c r="U370" s="90">
        <v>8500066778</v>
      </c>
      <c r="V370" s="90">
        <v>5000145566</v>
      </c>
      <c r="W370" s="376">
        <v>45343</v>
      </c>
      <c r="X370" s="106">
        <v>1500</v>
      </c>
      <c r="Y370" s="106">
        <v>15000</v>
      </c>
      <c r="Z370" s="106" t="s">
        <v>1980</v>
      </c>
      <c r="AA370" s="106">
        <f t="shared" si="20"/>
        <v>0</v>
      </c>
      <c r="AB370" s="106">
        <f t="shared" si="21"/>
        <v>0</v>
      </c>
      <c r="AC370" s="94"/>
      <c r="AD370" s="94"/>
      <c r="AE370" s="94"/>
      <c r="AF370" s="94"/>
      <c r="AG370" s="94"/>
      <c r="AH370" s="263"/>
    </row>
    <row r="371" spans="1:34" ht="26.25" customHeight="1">
      <c r="A371" s="90"/>
      <c r="B371" s="88"/>
      <c r="C371" s="2"/>
      <c r="D371" s="2"/>
      <c r="E371" s="94">
        <v>10</v>
      </c>
      <c r="F371" s="74">
        <v>480</v>
      </c>
      <c r="G371" s="45">
        <f t="shared" si="22"/>
        <v>4800</v>
      </c>
      <c r="H371" s="119" t="s">
        <v>146</v>
      </c>
      <c r="I371" s="128">
        <v>45321</v>
      </c>
      <c r="J371" s="74">
        <v>480</v>
      </c>
      <c r="K371" s="74">
        <v>10</v>
      </c>
      <c r="L371" s="156">
        <v>45322</v>
      </c>
      <c r="M371" s="90">
        <v>4800</v>
      </c>
      <c r="N371" s="90">
        <v>24</v>
      </c>
      <c r="O371" s="90" t="s">
        <v>1640</v>
      </c>
      <c r="P371" s="94" t="s">
        <v>160</v>
      </c>
      <c r="Q371" s="94">
        <v>8500066779</v>
      </c>
      <c r="R371" s="94">
        <v>5000127624</v>
      </c>
      <c r="S371" s="94"/>
      <c r="T371" s="90" t="s">
        <v>152</v>
      </c>
      <c r="U371" s="90">
        <v>8500066778</v>
      </c>
      <c r="V371" s="90">
        <v>5000135138</v>
      </c>
      <c r="W371" s="376">
        <v>45359</v>
      </c>
      <c r="X371" s="106">
        <v>480</v>
      </c>
      <c r="Y371" s="106">
        <v>4800</v>
      </c>
      <c r="Z371" s="106" t="s">
        <v>1609</v>
      </c>
      <c r="AA371" s="106">
        <f t="shared" si="20"/>
        <v>0</v>
      </c>
      <c r="AB371" s="106">
        <f t="shared" si="21"/>
        <v>0</v>
      </c>
      <c r="AC371" s="94"/>
      <c r="AD371" s="94"/>
      <c r="AE371" s="94"/>
      <c r="AF371" s="94"/>
      <c r="AG371" s="94"/>
      <c r="AH371" s="263"/>
    </row>
    <row r="372" spans="1:34" ht="31.5" customHeight="1">
      <c r="A372" s="90" t="s">
        <v>136</v>
      </c>
      <c r="B372" s="88">
        <v>6000027923</v>
      </c>
      <c r="C372" s="192" t="s">
        <v>2724</v>
      </c>
      <c r="D372" s="192">
        <v>37041</v>
      </c>
      <c r="E372" s="94">
        <v>10</v>
      </c>
      <c r="F372" s="74">
        <v>100</v>
      </c>
      <c r="G372" s="45">
        <f t="shared" si="22"/>
        <v>1000</v>
      </c>
      <c r="H372" s="119" t="s">
        <v>243</v>
      </c>
      <c r="I372" s="128">
        <v>45357</v>
      </c>
      <c r="J372" s="158">
        <v>100</v>
      </c>
      <c r="K372" s="74">
        <v>6</v>
      </c>
      <c r="L372" s="156">
        <v>45341</v>
      </c>
      <c r="M372" s="90">
        <v>1000</v>
      </c>
      <c r="N372" s="90">
        <v>5</v>
      </c>
      <c r="O372" s="90" t="s">
        <v>739</v>
      </c>
      <c r="P372" s="94" t="s">
        <v>160</v>
      </c>
      <c r="Q372" s="94">
        <v>8500067276</v>
      </c>
      <c r="R372" s="94">
        <v>5000268425</v>
      </c>
      <c r="S372" s="94"/>
      <c r="T372" s="90" t="s">
        <v>152</v>
      </c>
      <c r="U372" s="90">
        <v>8500067275</v>
      </c>
      <c r="V372" s="90">
        <v>5000197453</v>
      </c>
      <c r="W372" s="376">
        <v>45377</v>
      </c>
      <c r="X372" s="106">
        <v>100</v>
      </c>
      <c r="Y372" s="106">
        <v>1000</v>
      </c>
      <c r="Z372" s="106" t="s">
        <v>1559</v>
      </c>
      <c r="AA372" s="106">
        <f t="shared" si="20"/>
        <v>0</v>
      </c>
      <c r="AB372" s="106">
        <f t="shared" si="21"/>
        <v>0</v>
      </c>
      <c r="AC372" s="94" t="s">
        <v>3196</v>
      </c>
      <c r="AD372" s="94"/>
      <c r="AE372" s="94"/>
      <c r="AF372" s="94"/>
      <c r="AG372" s="94"/>
      <c r="AH372" s="263"/>
    </row>
    <row r="373" spans="1:34" ht="26.25" customHeight="1">
      <c r="A373" s="90"/>
      <c r="B373" s="290"/>
      <c r="C373" s="290"/>
      <c r="D373" s="95"/>
      <c r="E373" s="94">
        <v>10</v>
      </c>
      <c r="F373" s="74">
        <v>500</v>
      </c>
      <c r="G373" s="45">
        <f t="shared" si="22"/>
        <v>5000</v>
      </c>
      <c r="H373" s="119" t="s">
        <v>27</v>
      </c>
      <c r="I373" s="128">
        <v>45359</v>
      </c>
      <c r="J373" s="158">
        <v>500</v>
      </c>
      <c r="K373" s="74">
        <v>7</v>
      </c>
      <c r="L373" s="156">
        <v>45341</v>
      </c>
      <c r="M373" s="90">
        <v>5000</v>
      </c>
      <c r="N373" s="90">
        <v>25</v>
      </c>
      <c r="O373" s="90" t="s">
        <v>739</v>
      </c>
      <c r="P373" s="94" t="s">
        <v>160</v>
      </c>
      <c r="Q373" s="94">
        <v>8500067276</v>
      </c>
      <c r="R373" s="94">
        <v>5000277865</v>
      </c>
      <c r="S373" s="94"/>
      <c r="T373" s="90" t="s">
        <v>152</v>
      </c>
      <c r="U373" s="90">
        <v>8500067275</v>
      </c>
      <c r="V373" s="90">
        <v>5000197453</v>
      </c>
      <c r="W373" s="376">
        <v>45379</v>
      </c>
      <c r="X373" s="106">
        <v>500</v>
      </c>
      <c r="Y373" s="106">
        <v>5000</v>
      </c>
      <c r="Z373" s="106" t="s">
        <v>3215</v>
      </c>
      <c r="AA373" s="106">
        <f t="shared" si="20"/>
        <v>0</v>
      </c>
      <c r="AB373" s="106">
        <f t="shared" si="21"/>
        <v>0</v>
      </c>
      <c r="AC373" s="94"/>
      <c r="AD373" s="94"/>
      <c r="AE373" s="94"/>
      <c r="AF373" s="94"/>
      <c r="AG373" s="94"/>
      <c r="AH373" s="263"/>
    </row>
    <row r="374" spans="1:34" ht="26.25" customHeight="1">
      <c r="A374" s="90"/>
      <c r="B374" s="290"/>
      <c r="C374" s="94"/>
      <c r="D374" s="95"/>
      <c r="E374" s="94">
        <v>10</v>
      </c>
      <c r="F374" s="74">
        <v>980</v>
      </c>
      <c r="G374" s="45">
        <f t="shared" si="22"/>
        <v>9800</v>
      </c>
      <c r="H374" s="119" t="s">
        <v>46</v>
      </c>
      <c r="I374" s="128">
        <v>45357</v>
      </c>
      <c r="J374" s="158">
        <v>980</v>
      </c>
      <c r="K374" s="74">
        <f>12+8</f>
        <v>20</v>
      </c>
      <c r="L374" s="156">
        <v>45341</v>
      </c>
      <c r="M374" s="90">
        <v>9800</v>
      </c>
      <c r="N374" s="90">
        <v>49</v>
      </c>
      <c r="O374" s="90" t="s">
        <v>1754</v>
      </c>
      <c r="P374" s="94" t="s">
        <v>160</v>
      </c>
      <c r="Q374" s="94">
        <v>8500067276</v>
      </c>
      <c r="R374" s="94">
        <v>5000268425</v>
      </c>
      <c r="S374" s="94"/>
      <c r="T374" s="90" t="s">
        <v>152</v>
      </c>
      <c r="U374" s="90">
        <v>8500067275</v>
      </c>
      <c r="V374" s="90">
        <v>5000197453</v>
      </c>
      <c r="W374" s="376">
        <v>45379</v>
      </c>
      <c r="X374" s="106">
        <v>980</v>
      </c>
      <c r="Y374" s="106">
        <v>9800</v>
      </c>
      <c r="Z374" s="106" t="s">
        <v>1460</v>
      </c>
      <c r="AA374" s="106">
        <f t="shared" si="20"/>
        <v>0</v>
      </c>
      <c r="AB374" s="106">
        <f t="shared" si="21"/>
        <v>0</v>
      </c>
      <c r="AC374" s="94"/>
      <c r="AD374" s="94"/>
      <c r="AE374" s="94"/>
      <c r="AF374" s="94"/>
      <c r="AG374" s="94"/>
      <c r="AH374" s="263"/>
    </row>
    <row r="375" spans="1:34" ht="26.25" customHeight="1">
      <c r="A375" s="90"/>
      <c r="B375" s="88"/>
      <c r="C375" s="192"/>
      <c r="D375" s="192"/>
      <c r="E375" s="94">
        <v>10</v>
      </c>
      <c r="F375" s="74">
        <v>1000</v>
      </c>
      <c r="G375" s="45">
        <f t="shared" si="22"/>
        <v>10000</v>
      </c>
      <c r="H375" s="119" t="s">
        <v>37</v>
      </c>
      <c r="I375" s="128">
        <v>45357</v>
      </c>
      <c r="J375" s="158">
        <v>1000</v>
      </c>
      <c r="K375" s="74">
        <f>13+1</f>
        <v>14</v>
      </c>
      <c r="L375" s="156">
        <v>45341</v>
      </c>
      <c r="M375" s="90">
        <v>10000</v>
      </c>
      <c r="N375" s="90">
        <v>50</v>
      </c>
      <c r="O375" s="90" t="s">
        <v>862</v>
      </c>
      <c r="P375" s="94" t="s">
        <v>160</v>
      </c>
      <c r="Q375" s="94">
        <v>8500067276</v>
      </c>
      <c r="R375" s="94">
        <v>5000268425</v>
      </c>
      <c r="S375" s="94"/>
      <c r="T375" s="90" t="s">
        <v>152</v>
      </c>
      <c r="U375" s="90">
        <v>8500067275</v>
      </c>
      <c r="V375" s="90">
        <v>5000197453</v>
      </c>
      <c r="W375" s="376">
        <v>45369</v>
      </c>
      <c r="X375" s="106">
        <v>1000</v>
      </c>
      <c r="Y375" s="106">
        <v>10000</v>
      </c>
      <c r="Z375" s="106" t="s">
        <v>2668</v>
      </c>
      <c r="AA375" s="106">
        <f t="shared" si="20"/>
        <v>0</v>
      </c>
      <c r="AB375" s="106">
        <f t="shared" si="21"/>
        <v>0</v>
      </c>
      <c r="AC375" s="94"/>
      <c r="AD375" s="94"/>
      <c r="AE375" s="94"/>
      <c r="AF375" s="94"/>
      <c r="AG375" s="94"/>
      <c r="AH375" s="263"/>
    </row>
    <row r="376" spans="1:34" ht="26.25" customHeight="1">
      <c r="A376" s="90"/>
      <c r="B376" s="88"/>
      <c r="C376" s="192"/>
      <c r="D376" s="192"/>
      <c r="E376" s="94">
        <v>10</v>
      </c>
      <c r="F376" s="74">
        <v>500</v>
      </c>
      <c r="G376" s="45">
        <f>F376*E376</f>
        <v>5000</v>
      </c>
      <c r="H376" s="119" t="s">
        <v>146</v>
      </c>
      <c r="I376" s="128" t="s">
        <v>3015</v>
      </c>
      <c r="J376" s="158">
        <f>200+300</f>
        <v>500</v>
      </c>
      <c r="K376" s="74">
        <f>8+1</f>
        <v>9</v>
      </c>
      <c r="L376" s="156">
        <v>45322</v>
      </c>
      <c r="M376" s="90">
        <v>5000</v>
      </c>
      <c r="N376" s="90">
        <v>25</v>
      </c>
      <c r="O376" s="90" t="s">
        <v>857</v>
      </c>
      <c r="P376" s="94" t="s">
        <v>160</v>
      </c>
      <c r="Q376" s="94">
        <v>8500067276</v>
      </c>
      <c r="R376" s="94">
        <v>5000268425</v>
      </c>
      <c r="S376" s="94"/>
      <c r="T376" s="90" t="s">
        <v>152</v>
      </c>
      <c r="U376" s="90">
        <v>8500067275</v>
      </c>
      <c r="V376" s="90">
        <v>5000135462</v>
      </c>
      <c r="W376" s="376">
        <v>45369</v>
      </c>
      <c r="X376" s="106">
        <v>500</v>
      </c>
      <c r="Y376" s="106">
        <v>5000</v>
      </c>
      <c r="Z376" s="106" t="s">
        <v>1609</v>
      </c>
      <c r="AA376" s="106">
        <f t="shared" si="20"/>
        <v>0</v>
      </c>
      <c r="AB376" s="106">
        <f t="shared" si="21"/>
        <v>0</v>
      </c>
      <c r="AC376" s="94"/>
      <c r="AD376" s="94"/>
      <c r="AE376" s="94"/>
      <c r="AF376" s="94"/>
      <c r="AG376" s="94"/>
      <c r="AH376" s="263"/>
    </row>
    <row r="377" spans="1:34" ht="26.25" customHeight="1">
      <c r="A377" s="90" t="s">
        <v>136</v>
      </c>
      <c r="B377" s="88">
        <v>6000027923</v>
      </c>
      <c r="C377" s="192" t="s">
        <v>2892</v>
      </c>
      <c r="D377" s="192">
        <v>37041</v>
      </c>
      <c r="E377" s="94">
        <v>10</v>
      </c>
      <c r="F377" s="74">
        <v>190</v>
      </c>
      <c r="G377" s="45">
        <f t="shared" si="22"/>
        <v>1900</v>
      </c>
      <c r="H377" s="119" t="s">
        <v>27</v>
      </c>
      <c r="I377" s="128">
        <v>45356</v>
      </c>
      <c r="J377" s="74">
        <v>190</v>
      </c>
      <c r="K377" s="74">
        <v>9</v>
      </c>
      <c r="L377" s="156">
        <v>45360</v>
      </c>
      <c r="M377" s="90">
        <v>1900</v>
      </c>
      <c r="N377" s="90">
        <v>19</v>
      </c>
      <c r="O377" s="90" t="s">
        <v>845</v>
      </c>
      <c r="P377" s="94" t="s">
        <v>28</v>
      </c>
      <c r="Q377" s="94">
        <v>8500067278</v>
      </c>
      <c r="R377" s="94">
        <v>5000263870</v>
      </c>
      <c r="S377" s="94"/>
      <c r="T377" s="90" t="s">
        <v>794</v>
      </c>
      <c r="U377" s="90">
        <v>8500067775</v>
      </c>
      <c r="V377" s="90">
        <v>5000282817</v>
      </c>
      <c r="W377" s="376">
        <v>45381</v>
      </c>
      <c r="X377" s="106">
        <v>190</v>
      </c>
      <c r="Y377" s="106">
        <v>1900</v>
      </c>
      <c r="Z377" s="106" t="s">
        <v>3227</v>
      </c>
      <c r="AA377" s="106">
        <f t="shared" si="20"/>
        <v>0</v>
      </c>
      <c r="AB377" s="106">
        <f t="shared" si="21"/>
        <v>0</v>
      </c>
      <c r="AC377" s="94"/>
      <c r="AD377" s="94"/>
      <c r="AE377" s="94"/>
      <c r="AF377" s="94"/>
      <c r="AG377" s="94"/>
      <c r="AH377" s="263"/>
    </row>
    <row r="378" spans="1:34" ht="26.25" customHeight="1">
      <c r="A378" s="90"/>
      <c r="B378" s="88"/>
      <c r="C378" s="192"/>
      <c r="D378" s="192"/>
      <c r="E378" s="94">
        <v>10</v>
      </c>
      <c r="F378" s="74">
        <v>400</v>
      </c>
      <c r="G378" s="45">
        <f t="shared" si="22"/>
        <v>4000</v>
      </c>
      <c r="H378" s="119" t="s">
        <v>46</v>
      </c>
      <c r="I378" s="128">
        <v>45356</v>
      </c>
      <c r="J378" s="74">
        <v>400</v>
      </c>
      <c r="K378" s="74">
        <v>12</v>
      </c>
      <c r="L378" s="156">
        <v>45360</v>
      </c>
      <c r="M378" s="90">
        <v>4000</v>
      </c>
      <c r="N378" s="90">
        <v>40</v>
      </c>
      <c r="O378" s="90" t="s">
        <v>1363</v>
      </c>
      <c r="P378" s="94" t="s">
        <v>28</v>
      </c>
      <c r="Q378" s="94">
        <v>8500067278</v>
      </c>
      <c r="R378" s="94">
        <v>5000263870</v>
      </c>
      <c r="S378" s="94"/>
      <c r="T378" s="90" t="s">
        <v>794</v>
      </c>
      <c r="U378" s="90">
        <v>8500067775</v>
      </c>
      <c r="V378" s="90">
        <v>5000282817</v>
      </c>
      <c r="W378" s="376">
        <v>45380</v>
      </c>
      <c r="X378" s="106">
        <v>400</v>
      </c>
      <c r="Y378" s="106">
        <v>4000</v>
      </c>
      <c r="Z378" s="106" t="s">
        <v>1460</v>
      </c>
      <c r="AA378" s="106">
        <f t="shared" si="20"/>
        <v>0</v>
      </c>
      <c r="AB378" s="106">
        <f t="shared" si="21"/>
        <v>0</v>
      </c>
      <c r="AC378" s="94"/>
      <c r="AD378" s="94"/>
      <c r="AE378" s="94"/>
      <c r="AF378" s="94"/>
      <c r="AG378" s="94"/>
      <c r="AH378" s="263"/>
    </row>
    <row r="379" spans="1:34" ht="26.25" customHeight="1">
      <c r="A379" s="90"/>
      <c r="B379" s="88"/>
      <c r="C379" s="192"/>
      <c r="D379" s="192"/>
      <c r="E379" s="94">
        <v>10</v>
      </c>
      <c r="F379" s="74">
        <v>350</v>
      </c>
      <c r="G379" s="45">
        <f t="shared" si="22"/>
        <v>3500</v>
      </c>
      <c r="H379" s="119" t="s">
        <v>37</v>
      </c>
      <c r="I379" s="128">
        <v>45356</v>
      </c>
      <c r="J379" s="74">
        <v>350</v>
      </c>
      <c r="K379" s="74">
        <v>10</v>
      </c>
      <c r="L379" s="156">
        <v>45360</v>
      </c>
      <c r="M379" s="90">
        <v>3500</v>
      </c>
      <c r="N379" s="90">
        <v>35</v>
      </c>
      <c r="O379" s="90" t="s">
        <v>1363</v>
      </c>
      <c r="P379" s="94" t="s">
        <v>28</v>
      </c>
      <c r="Q379" s="94">
        <v>8500067278</v>
      </c>
      <c r="R379" s="94">
        <v>5000263870</v>
      </c>
      <c r="S379" s="94"/>
      <c r="T379" s="90" t="s">
        <v>794</v>
      </c>
      <c r="U379" s="90">
        <v>8500067775</v>
      </c>
      <c r="V379" s="90">
        <v>5000282817</v>
      </c>
      <c r="W379" s="376">
        <v>45376</v>
      </c>
      <c r="X379" s="106">
        <v>350</v>
      </c>
      <c r="Y379" s="106">
        <v>3500</v>
      </c>
      <c r="Z379" s="106" t="s">
        <v>927</v>
      </c>
      <c r="AA379" s="106">
        <f t="shared" si="20"/>
        <v>0</v>
      </c>
      <c r="AB379" s="106">
        <f t="shared" si="21"/>
        <v>0</v>
      </c>
      <c r="AC379" s="94"/>
      <c r="AD379" s="94"/>
      <c r="AE379" s="94"/>
      <c r="AF379" s="94"/>
      <c r="AG379" s="94"/>
      <c r="AH379" s="263"/>
    </row>
    <row r="380" spans="1:34" ht="26.25" customHeight="1">
      <c r="A380" s="90" t="s">
        <v>136</v>
      </c>
      <c r="B380" s="88">
        <v>6000027923</v>
      </c>
      <c r="C380" s="192" t="s">
        <v>2893</v>
      </c>
      <c r="D380" s="192">
        <v>37041</v>
      </c>
      <c r="E380" s="94">
        <v>10</v>
      </c>
      <c r="F380" s="74">
        <v>300</v>
      </c>
      <c r="G380" s="45">
        <f t="shared" si="22"/>
        <v>3000</v>
      </c>
      <c r="H380" s="119" t="s">
        <v>46</v>
      </c>
      <c r="I380" s="128">
        <v>45357</v>
      </c>
      <c r="J380" s="74">
        <v>300</v>
      </c>
      <c r="K380" s="74">
        <v>8</v>
      </c>
      <c r="L380" s="156">
        <v>45341</v>
      </c>
      <c r="M380" s="90">
        <v>3000</v>
      </c>
      <c r="N380" s="90">
        <v>15</v>
      </c>
      <c r="O380" s="90" t="s">
        <v>790</v>
      </c>
      <c r="P380" s="94" t="s">
        <v>160</v>
      </c>
      <c r="Q380" s="94">
        <v>8500067280</v>
      </c>
      <c r="R380" s="94">
        <v>5000268428</v>
      </c>
      <c r="S380" s="94"/>
      <c r="T380" s="90" t="s">
        <v>152</v>
      </c>
      <c r="U380" s="90">
        <v>8500067279</v>
      </c>
      <c r="V380" s="90">
        <v>5000197451</v>
      </c>
      <c r="W380" s="376">
        <v>45380</v>
      </c>
      <c r="X380" s="106">
        <v>300</v>
      </c>
      <c r="Y380" s="106">
        <v>3000</v>
      </c>
      <c r="Z380" s="106" t="s">
        <v>1460</v>
      </c>
      <c r="AA380" s="106">
        <f t="shared" si="20"/>
        <v>0</v>
      </c>
      <c r="AB380" s="106">
        <f t="shared" si="21"/>
        <v>0</v>
      </c>
      <c r="AC380" s="94"/>
      <c r="AD380" s="94"/>
      <c r="AE380" s="94"/>
      <c r="AF380" s="94"/>
      <c r="AG380" s="94"/>
      <c r="AH380" s="263"/>
    </row>
    <row r="381" spans="1:34" ht="27" customHeight="1">
      <c r="A381" s="90"/>
      <c r="B381" s="88"/>
      <c r="C381" s="192"/>
      <c r="D381" s="192"/>
      <c r="E381" s="94">
        <v>10</v>
      </c>
      <c r="F381" s="74">
        <v>200</v>
      </c>
      <c r="G381" s="45">
        <f t="shared" si="22"/>
        <v>2000</v>
      </c>
      <c r="H381" s="119" t="s">
        <v>37</v>
      </c>
      <c r="I381" s="128">
        <v>45357</v>
      </c>
      <c r="J381" s="74">
        <v>200</v>
      </c>
      <c r="K381" s="74">
        <f>7+1</f>
        <v>8</v>
      </c>
      <c r="L381" s="156">
        <v>45341</v>
      </c>
      <c r="M381" s="90">
        <v>2000</v>
      </c>
      <c r="N381" s="90">
        <v>10</v>
      </c>
      <c r="O381" s="90" t="s">
        <v>790</v>
      </c>
      <c r="P381" s="94" t="s">
        <v>160</v>
      </c>
      <c r="Q381" s="94">
        <v>8500067280</v>
      </c>
      <c r="R381" s="94">
        <v>5000268428</v>
      </c>
      <c r="S381" s="94"/>
      <c r="T381" s="90" t="s">
        <v>152</v>
      </c>
      <c r="U381" s="90">
        <v>8500067279</v>
      </c>
      <c r="V381" s="90">
        <v>5000241168</v>
      </c>
      <c r="W381" s="376">
        <v>45376</v>
      </c>
      <c r="X381" s="106">
        <v>200</v>
      </c>
      <c r="Y381" s="106">
        <v>2000</v>
      </c>
      <c r="Z381" s="106" t="s">
        <v>927</v>
      </c>
      <c r="AA381" s="106">
        <f t="shared" si="20"/>
        <v>0</v>
      </c>
      <c r="AB381" s="106">
        <f t="shared" si="21"/>
        <v>0</v>
      </c>
      <c r="AC381" s="94"/>
      <c r="AD381" s="94"/>
      <c r="AE381" s="94"/>
      <c r="AF381" s="94"/>
      <c r="AG381" s="94"/>
      <c r="AH381" s="263"/>
    </row>
    <row r="382" spans="1:34" ht="26.25" customHeight="1">
      <c r="A382" s="90" t="s">
        <v>136</v>
      </c>
      <c r="B382" s="88">
        <v>6000027928</v>
      </c>
      <c r="C382" s="2" t="s">
        <v>1805</v>
      </c>
      <c r="D382" s="2">
        <v>37050</v>
      </c>
      <c r="E382" s="94">
        <v>10</v>
      </c>
      <c r="F382" s="74">
        <v>800</v>
      </c>
      <c r="G382" s="45">
        <f t="shared" si="22"/>
        <v>8000</v>
      </c>
      <c r="H382" s="119" t="s">
        <v>243</v>
      </c>
      <c r="I382" s="128">
        <v>45324</v>
      </c>
      <c r="J382" s="74">
        <v>800</v>
      </c>
      <c r="K382" s="74">
        <f>10+30</f>
        <v>40</v>
      </c>
      <c r="L382" s="156">
        <v>45322</v>
      </c>
      <c r="M382" s="90">
        <v>8000</v>
      </c>
      <c r="N382" s="90">
        <v>40</v>
      </c>
      <c r="O382" s="90" t="s">
        <v>1871</v>
      </c>
      <c r="P382" s="94" t="s">
        <v>160</v>
      </c>
      <c r="Q382" s="94">
        <v>8500066933</v>
      </c>
      <c r="R382" s="94"/>
      <c r="S382" s="94"/>
      <c r="T382" s="90" t="s">
        <v>152</v>
      </c>
      <c r="U382" s="90"/>
      <c r="V382" s="90"/>
      <c r="W382" s="376">
        <v>45325</v>
      </c>
      <c r="X382" s="106">
        <f>440+360</f>
        <v>800</v>
      </c>
      <c r="Y382" s="106">
        <f>4400+3600</f>
        <v>8000</v>
      </c>
      <c r="Z382" s="106" t="s">
        <v>2431</v>
      </c>
      <c r="AA382" s="106">
        <f t="shared" si="20"/>
        <v>0</v>
      </c>
      <c r="AB382" s="106">
        <f t="shared" si="21"/>
        <v>0</v>
      </c>
      <c r="AC382" s="94"/>
      <c r="AD382" s="94"/>
      <c r="AE382" s="94"/>
      <c r="AF382" s="94"/>
      <c r="AG382" s="94"/>
      <c r="AH382" s="263"/>
    </row>
    <row r="383" spans="1:34" ht="26.25" customHeight="1">
      <c r="A383" s="90" t="s">
        <v>136</v>
      </c>
      <c r="B383" s="88">
        <v>6000027929</v>
      </c>
      <c r="C383" s="2" t="s">
        <v>1805</v>
      </c>
      <c r="D383" s="2">
        <v>37051</v>
      </c>
      <c r="E383" s="94">
        <v>10</v>
      </c>
      <c r="F383" s="74">
        <v>800</v>
      </c>
      <c r="G383" s="45">
        <f t="shared" si="22"/>
        <v>8000</v>
      </c>
      <c r="H383" s="119" t="s">
        <v>243</v>
      </c>
      <c r="I383" s="128">
        <v>45324</v>
      </c>
      <c r="J383" s="74">
        <v>800</v>
      </c>
      <c r="K383" s="74">
        <f>10+10</f>
        <v>20</v>
      </c>
      <c r="L383" s="156">
        <v>45322</v>
      </c>
      <c r="M383" s="90">
        <v>8000</v>
      </c>
      <c r="N383" s="90">
        <v>40</v>
      </c>
      <c r="O383" s="90" t="s">
        <v>821</v>
      </c>
      <c r="P383" s="94" t="s">
        <v>160</v>
      </c>
      <c r="Q383" s="94">
        <v>8500066935</v>
      </c>
      <c r="R383" s="94"/>
      <c r="S383" s="94"/>
      <c r="T383" s="90" t="s">
        <v>152</v>
      </c>
      <c r="U383" s="90"/>
      <c r="V383" s="90"/>
      <c r="W383" s="376">
        <v>45325</v>
      </c>
      <c r="X383" s="106">
        <v>800</v>
      </c>
      <c r="Y383" s="106">
        <v>8000</v>
      </c>
      <c r="Z383" s="106" t="s">
        <v>826</v>
      </c>
      <c r="AA383" s="106">
        <f t="shared" si="20"/>
        <v>0</v>
      </c>
      <c r="AB383" s="106">
        <f t="shared" si="21"/>
        <v>0</v>
      </c>
      <c r="AC383" s="94"/>
      <c r="AD383" s="94"/>
      <c r="AE383" s="94"/>
      <c r="AF383" s="94"/>
      <c r="AG383" s="94"/>
      <c r="AH383" s="263"/>
    </row>
    <row r="384" spans="1:34" ht="26.25" customHeight="1">
      <c r="A384" s="90" t="s">
        <v>726</v>
      </c>
      <c r="B384" s="88">
        <v>6000027677</v>
      </c>
      <c r="C384" s="2" t="s">
        <v>828</v>
      </c>
      <c r="D384" s="2" t="s">
        <v>2773</v>
      </c>
      <c r="E384" s="94">
        <v>10</v>
      </c>
      <c r="F384" s="74">
        <v>400</v>
      </c>
      <c r="G384" s="45">
        <f>F384*E384</f>
        <v>4000</v>
      </c>
      <c r="H384" s="119" t="s">
        <v>46</v>
      </c>
      <c r="I384" s="128">
        <v>45324</v>
      </c>
      <c r="J384" s="74">
        <v>400</v>
      </c>
      <c r="K384" s="74"/>
      <c r="L384" s="156">
        <v>45324</v>
      </c>
      <c r="M384" s="90">
        <v>4000</v>
      </c>
      <c r="N384" s="90">
        <v>50</v>
      </c>
      <c r="O384" s="90" t="s">
        <v>735</v>
      </c>
      <c r="P384" s="94" t="s">
        <v>160</v>
      </c>
      <c r="Q384" s="94">
        <v>8500067620</v>
      </c>
      <c r="R384" s="94">
        <v>5000144067</v>
      </c>
      <c r="S384" s="94"/>
      <c r="T384" s="90" t="s">
        <v>655</v>
      </c>
      <c r="U384" s="90">
        <v>8500067621</v>
      </c>
      <c r="V384" s="90">
        <v>5000144070</v>
      </c>
      <c r="W384" s="376">
        <v>45333</v>
      </c>
      <c r="X384" s="106">
        <v>400</v>
      </c>
      <c r="Y384" s="106">
        <v>4000</v>
      </c>
      <c r="Z384" s="106" t="s">
        <v>2325</v>
      </c>
      <c r="AA384" s="106">
        <f t="shared" si="20"/>
        <v>0</v>
      </c>
      <c r="AB384" s="106">
        <f t="shared" si="21"/>
        <v>0</v>
      </c>
      <c r="AC384" s="94"/>
      <c r="AD384" s="94"/>
      <c r="AE384" s="94"/>
      <c r="AF384" s="94"/>
      <c r="AG384" s="94"/>
      <c r="AH384" s="263"/>
    </row>
    <row r="385" spans="1:34" ht="26.25" customHeight="1">
      <c r="A385" s="90"/>
      <c r="B385" s="88"/>
      <c r="C385" s="94"/>
      <c r="D385" s="95"/>
      <c r="E385" s="94">
        <v>10</v>
      </c>
      <c r="F385" s="74">
        <v>350</v>
      </c>
      <c r="G385" s="45">
        <f>F385*E385</f>
        <v>3500</v>
      </c>
      <c r="H385" s="119" t="s">
        <v>37</v>
      </c>
      <c r="I385" s="128">
        <v>45324</v>
      </c>
      <c r="J385" s="74">
        <v>350</v>
      </c>
      <c r="K385" s="74"/>
      <c r="L385" s="156">
        <v>45324</v>
      </c>
      <c r="M385" s="90">
        <v>3500</v>
      </c>
      <c r="N385" s="90">
        <v>50</v>
      </c>
      <c r="O385" s="90" t="s">
        <v>2152</v>
      </c>
      <c r="P385" s="94" t="s">
        <v>160</v>
      </c>
      <c r="Q385" s="94">
        <v>8500067620</v>
      </c>
      <c r="R385" s="94">
        <v>5000144067</v>
      </c>
      <c r="S385" s="94"/>
      <c r="T385" s="90" t="s">
        <v>655</v>
      </c>
      <c r="U385" s="90">
        <v>8500067621</v>
      </c>
      <c r="V385" s="90">
        <v>5000144070</v>
      </c>
      <c r="W385" s="376">
        <v>45330</v>
      </c>
      <c r="X385" s="106">
        <v>350</v>
      </c>
      <c r="Y385" s="106">
        <v>3500</v>
      </c>
      <c r="Z385" s="106" t="s">
        <v>2238</v>
      </c>
      <c r="AA385" s="106">
        <f t="shared" si="20"/>
        <v>0</v>
      </c>
      <c r="AB385" s="106">
        <f t="shared" si="21"/>
        <v>0</v>
      </c>
      <c r="AC385" s="94"/>
      <c r="AD385" s="94"/>
      <c r="AE385" s="94"/>
      <c r="AF385" s="94"/>
      <c r="AG385" s="94"/>
      <c r="AH385" s="263"/>
    </row>
    <row r="386" spans="1:34" ht="26.25" customHeight="1">
      <c r="A386" s="90"/>
      <c r="B386" s="224"/>
      <c r="C386" s="94"/>
      <c r="D386" s="95"/>
      <c r="E386" s="94"/>
      <c r="F386" s="74"/>
      <c r="G386" s="45"/>
      <c r="H386" s="119"/>
      <c r="I386" s="133"/>
      <c r="J386" s="158"/>
      <c r="K386" s="74"/>
      <c r="L386" s="162"/>
      <c r="M386" s="90"/>
      <c r="N386" s="90"/>
      <c r="O386" s="90"/>
      <c r="P386" s="94"/>
      <c r="Q386" s="94"/>
      <c r="R386" s="94"/>
      <c r="S386" s="94"/>
      <c r="T386" s="90"/>
      <c r="U386" s="90"/>
      <c r="V386" s="90"/>
      <c r="W386" s="375"/>
      <c r="X386" s="106"/>
      <c r="Y386" s="106"/>
      <c r="Z386" s="106"/>
      <c r="AA386" s="106">
        <f t="shared" si="20"/>
        <v>0</v>
      </c>
      <c r="AB386" s="106">
        <f t="shared" si="21"/>
        <v>0</v>
      </c>
      <c r="AC386" s="94"/>
      <c r="AD386" s="94"/>
      <c r="AE386" s="94"/>
      <c r="AF386" s="94"/>
      <c r="AG386" s="94"/>
      <c r="AH386" s="263"/>
    </row>
    <row r="387" spans="1:34" ht="26.25" customHeight="1">
      <c r="A387" s="90"/>
      <c r="B387" s="224"/>
      <c r="C387" s="94"/>
      <c r="D387" s="95"/>
      <c r="E387" s="94"/>
      <c r="F387" s="74"/>
      <c r="G387" s="45"/>
      <c r="H387" s="119"/>
      <c r="I387" s="133"/>
      <c r="J387" s="158"/>
      <c r="K387" s="74"/>
      <c r="L387" s="162"/>
      <c r="M387" s="90"/>
      <c r="N387" s="90"/>
      <c r="O387" s="90"/>
      <c r="P387" s="94"/>
      <c r="Q387" s="94"/>
      <c r="R387" s="94"/>
      <c r="S387" s="94"/>
      <c r="T387" s="90"/>
      <c r="U387" s="90"/>
      <c r="V387" s="90"/>
      <c r="W387" s="375"/>
      <c r="X387" s="106"/>
      <c r="Y387" s="106"/>
      <c r="Z387" s="106"/>
      <c r="AA387" s="106">
        <f t="shared" si="20"/>
        <v>0</v>
      </c>
      <c r="AB387" s="106">
        <f t="shared" si="21"/>
        <v>0</v>
      </c>
      <c r="AC387" s="94"/>
      <c r="AD387" s="94"/>
      <c r="AE387" s="94"/>
      <c r="AF387" s="94"/>
      <c r="AG387" s="94"/>
      <c r="AH387" s="263"/>
    </row>
    <row r="388" spans="1:34" ht="26.25" customHeight="1">
      <c r="A388" s="90"/>
      <c r="B388" s="88"/>
      <c r="C388" s="2"/>
      <c r="D388" s="2"/>
      <c r="E388" s="94"/>
      <c r="F388" s="74"/>
      <c r="G388" s="45"/>
      <c r="H388" s="119"/>
      <c r="I388" s="133"/>
      <c r="J388" s="158"/>
      <c r="K388" s="74"/>
      <c r="L388" s="156"/>
      <c r="M388" s="90"/>
      <c r="N388" s="90"/>
      <c r="O388" s="90"/>
      <c r="P388" s="94"/>
      <c r="Q388" s="94"/>
      <c r="R388" s="94"/>
      <c r="S388" s="94"/>
      <c r="T388" s="90"/>
      <c r="U388" s="90"/>
      <c r="V388" s="90"/>
      <c r="W388" s="375"/>
      <c r="X388" s="106"/>
      <c r="Y388" s="106"/>
      <c r="Z388" s="106"/>
      <c r="AA388" s="106">
        <f t="shared" si="20"/>
        <v>0</v>
      </c>
      <c r="AB388" s="106">
        <f t="shared" si="21"/>
        <v>0</v>
      </c>
      <c r="AC388" s="94"/>
      <c r="AD388" s="94"/>
      <c r="AE388" s="94"/>
      <c r="AF388" s="94"/>
      <c r="AG388" s="94"/>
      <c r="AH388" s="263"/>
    </row>
    <row r="389" spans="1:34" ht="26.25" customHeight="1">
      <c r="A389" s="90"/>
      <c r="B389" s="88"/>
      <c r="C389" s="2"/>
      <c r="D389" s="2"/>
      <c r="E389" s="94"/>
      <c r="F389" s="74"/>
      <c r="G389" s="45"/>
      <c r="H389" s="119"/>
      <c r="I389" s="133"/>
      <c r="J389" s="158"/>
      <c r="K389" s="74"/>
      <c r="L389" s="156"/>
      <c r="M389" s="90"/>
      <c r="N389" s="90"/>
      <c r="O389" s="90"/>
      <c r="P389" s="94"/>
      <c r="Q389" s="94"/>
      <c r="R389" s="94"/>
      <c r="S389" s="94"/>
      <c r="T389" s="90"/>
      <c r="U389" s="90"/>
      <c r="V389" s="90"/>
      <c r="W389" s="375"/>
      <c r="X389" s="106"/>
      <c r="Y389" s="106"/>
      <c r="Z389" s="106"/>
      <c r="AA389" s="106">
        <f t="shared" si="20"/>
        <v>0</v>
      </c>
      <c r="AB389" s="106">
        <f t="shared" si="21"/>
        <v>0</v>
      </c>
      <c r="AC389" s="94"/>
      <c r="AD389" s="94"/>
      <c r="AE389" s="94"/>
      <c r="AF389" s="94"/>
      <c r="AG389" s="94"/>
      <c r="AH389" s="263"/>
    </row>
    <row r="390" spans="1:34" ht="26.25" customHeight="1">
      <c r="A390" s="90"/>
      <c r="B390" s="88"/>
      <c r="C390" s="2"/>
      <c r="D390" s="2"/>
      <c r="E390" s="94"/>
      <c r="F390" s="74"/>
      <c r="G390" s="45"/>
      <c r="H390" s="119"/>
      <c r="I390" s="133"/>
      <c r="J390" s="158"/>
      <c r="K390" s="74"/>
      <c r="L390" s="156"/>
      <c r="M390" s="90"/>
      <c r="N390" s="90"/>
      <c r="O390" s="90"/>
      <c r="P390" s="94"/>
      <c r="Q390" s="94"/>
      <c r="R390" s="94"/>
      <c r="S390" s="94"/>
      <c r="T390" s="90"/>
      <c r="U390" s="90"/>
      <c r="V390" s="90"/>
      <c r="W390" s="375"/>
      <c r="X390" s="106"/>
      <c r="Y390" s="106"/>
      <c r="Z390" s="106"/>
      <c r="AA390" s="106">
        <f t="shared" si="20"/>
        <v>0</v>
      </c>
      <c r="AB390" s="106">
        <f t="shared" si="21"/>
        <v>0</v>
      </c>
      <c r="AC390" s="94"/>
      <c r="AD390" s="94"/>
      <c r="AE390" s="94"/>
      <c r="AF390" s="94"/>
      <c r="AG390" s="94"/>
      <c r="AH390" s="263"/>
    </row>
    <row r="391" spans="1:34" ht="26.25" customHeight="1">
      <c r="A391" s="90"/>
      <c r="B391" s="88"/>
      <c r="C391" s="2"/>
      <c r="D391" s="2"/>
      <c r="E391" s="94"/>
      <c r="F391" s="74"/>
      <c r="G391" s="45"/>
      <c r="H391" s="119"/>
      <c r="I391" s="133"/>
      <c r="J391" s="158"/>
      <c r="K391" s="74"/>
      <c r="L391" s="156"/>
      <c r="M391" s="90"/>
      <c r="N391" s="90"/>
      <c r="O391" s="90"/>
      <c r="P391" s="94"/>
      <c r="Q391" s="94"/>
      <c r="R391" s="94"/>
      <c r="S391" s="94"/>
      <c r="T391" s="90"/>
      <c r="U391" s="90"/>
      <c r="V391" s="90"/>
      <c r="W391" s="375"/>
      <c r="X391" s="106"/>
      <c r="Y391" s="106"/>
      <c r="Z391" s="106"/>
      <c r="AA391" s="106">
        <f t="shared" si="20"/>
        <v>0</v>
      </c>
      <c r="AB391" s="106">
        <f t="shared" si="21"/>
        <v>0</v>
      </c>
      <c r="AC391" s="94"/>
      <c r="AD391" s="94"/>
      <c r="AE391" s="94"/>
      <c r="AF391" s="94"/>
      <c r="AG391" s="94"/>
      <c r="AH391" s="263"/>
    </row>
    <row r="392" spans="1:34" ht="26.25" customHeight="1">
      <c r="A392" s="90"/>
      <c r="B392" s="88"/>
      <c r="C392" s="2"/>
      <c r="D392" s="2"/>
      <c r="E392" s="94"/>
      <c r="F392" s="74"/>
      <c r="G392" s="45"/>
      <c r="H392" s="119"/>
      <c r="I392" s="133"/>
      <c r="J392" s="158"/>
      <c r="K392" s="74"/>
      <c r="L392" s="156"/>
      <c r="M392" s="90"/>
      <c r="N392" s="90"/>
      <c r="O392" s="90"/>
      <c r="P392" s="94"/>
      <c r="Q392" s="94"/>
      <c r="R392" s="94"/>
      <c r="S392" s="94"/>
      <c r="T392" s="90"/>
      <c r="U392" s="90"/>
      <c r="V392" s="90"/>
      <c r="W392" s="375"/>
      <c r="X392" s="106"/>
      <c r="Y392" s="106"/>
      <c r="Z392" s="106"/>
      <c r="AA392" s="106">
        <f t="shared" si="20"/>
        <v>0</v>
      </c>
      <c r="AB392" s="106">
        <f t="shared" si="21"/>
        <v>0</v>
      </c>
      <c r="AC392" s="94"/>
      <c r="AD392" s="94"/>
      <c r="AE392" s="94"/>
      <c r="AF392" s="94"/>
      <c r="AG392" s="94"/>
      <c r="AH392" s="263"/>
    </row>
    <row r="393" spans="1:34" ht="26.25" customHeight="1">
      <c r="A393" s="90"/>
      <c r="B393" s="88"/>
      <c r="C393" s="94"/>
      <c r="D393" s="95"/>
      <c r="E393" s="94"/>
      <c r="F393" s="74"/>
      <c r="G393" s="45"/>
      <c r="H393" s="119"/>
      <c r="I393" s="133"/>
      <c r="J393" s="158"/>
      <c r="K393" s="74"/>
      <c r="L393" s="162"/>
      <c r="M393" s="90"/>
      <c r="N393" s="90"/>
      <c r="O393" s="90"/>
      <c r="P393" s="94"/>
      <c r="Q393" s="94"/>
      <c r="R393" s="94"/>
      <c r="S393" s="94"/>
      <c r="T393" s="90"/>
      <c r="U393" s="90"/>
      <c r="V393" s="90"/>
      <c r="W393" s="375"/>
      <c r="X393" s="106"/>
      <c r="Y393" s="106"/>
      <c r="Z393" s="106"/>
      <c r="AA393" s="106">
        <f t="shared" si="20"/>
        <v>0</v>
      </c>
      <c r="AB393" s="106">
        <f t="shared" si="21"/>
        <v>0</v>
      </c>
      <c r="AC393" s="94"/>
      <c r="AD393" s="94"/>
      <c r="AE393" s="94"/>
      <c r="AF393" s="94"/>
      <c r="AG393" s="94"/>
      <c r="AH393" s="263"/>
    </row>
    <row r="394" spans="1:34" ht="26.25" customHeight="1">
      <c r="A394" s="90"/>
      <c r="B394" s="224"/>
      <c r="C394" s="94"/>
      <c r="D394" s="95"/>
      <c r="E394" s="94"/>
      <c r="F394" s="74"/>
      <c r="G394" s="45"/>
      <c r="H394" s="119"/>
      <c r="I394" s="133"/>
      <c r="J394" s="158"/>
      <c r="K394" s="74"/>
      <c r="L394" s="162"/>
      <c r="M394" s="90"/>
      <c r="N394" s="90"/>
      <c r="O394" s="90"/>
      <c r="P394" s="94"/>
      <c r="Q394" s="94"/>
      <c r="R394" s="94"/>
      <c r="S394" s="94"/>
      <c r="T394" s="90"/>
      <c r="U394" s="90"/>
      <c r="V394" s="90"/>
      <c r="W394" s="375"/>
      <c r="X394" s="106"/>
      <c r="Y394" s="106"/>
      <c r="Z394" s="106"/>
      <c r="AA394" s="106">
        <f t="shared" si="20"/>
        <v>0</v>
      </c>
      <c r="AB394" s="106">
        <f t="shared" si="21"/>
        <v>0</v>
      </c>
      <c r="AC394" s="94"/>
      <c r="AD394" s="94"/>
      <c r="AE394" s="94"/>
      <c r="AF394" s="94"/>
      <c r="AG394" s="94"/>
      <c r="AH394" s="263"/>
    </row>
    <row r="395" spans="1:34" ht="26.25" customHeight="1">
      <c r="A395" s="90"/>
      <c r="B395" s="224"/>
      <c r="C395" s="94"/>
      <c r="D395" s="95"/>
      <c r="E395" s="94"/>
      <c r="F395" s="74"/>
      <c r="G395" s="45"/>
      <c r="H395" s="119"/>
      <c r="I395" s="133"/>
      <c r="J395" s="158"/>
      <c r="K395" s="74"/>
      <c r="L395" s="162"/>
      <c r="M395" s="90"/>
      <c r="N395" s="90"/>
      <c r="O395" s="90"/>
      <c r="P395" s="94"/>
      <c r="Q395" s="94"/>
      <c r="R395" s="94"/>
      <c r="S395" s="94"/>
      <c r="T395" s="90"/>
      <c r="U395" s="90"/>
      <c r="V395" s="90"/>
      <c r="W395" s="375"/>
      <c r="X395" s="106"/>
      <c r="Y395" s="106"/>
      <c r="Z395" s="106"/>
      <c r="AA395" s="106"/>
      <c r="AB395" s="106"/>
      <c r="AC395" s="94"/>
      <c r="AD395" s="94"/>
      <c r="AE395" s="94"/>
      <c r="AF395" s="94"/>
      <c r="AG395" s="94"/>
      <c r="AH395" s="263"/>
    </row>
    <row r="396" spans="1:34" ht="26.25" customHeight="1">
      <c r="A396" s="90"/>
      <c r="B396" s="88"/>
      <c r="C396" s="2"/>
      <c r="D396" s="2"/>
      <c r="E396" s="94"/>
      <c r="F396" s="74"/>
      <c r="G396" s="45"/>
      <c r="H396" s="119"/>
      <c r="I396" s="133"/>
      <c r="J396" s="158"/>
      <c r="K396" s="74"/>
      <c r="L396" s="156"/>
      <c r="M396" s="90"/>
      <c r="N396" s="90"/>
      <c r="O396" s="90"/>
      <c r="P396" s="94"/>
      <c r="Q396" s="94"/>
      <c r="R396" s="94"/>
      <c r="S396" s="94"/>
      <c r="T396" s="90"/>
      <c r="U396" s="90"/>
      <c r="V396" s="90"/>
      <c r="W396" s="375"/>
      <c r="X396" s="106"/>
      <c r="Y396" s="106"/>
      <c r="Z396" s="106"/>
      <c r="AA396" s="106"/>
      <c r="AB396" s="106"/>
      <c r="AC396" s="94"/>
      <c r="AD396" s="94"/>
      <c r="AE396" s="94"/>
      <c r="AF396" s="94"/>
      <c r="AG396" s="94"/>
      <c r="AH396" s="263"/>
    </row>
    <row r="397" spans="1:34" ht="26.25" customHeight="1">
      <c r="A397" s="90"/>
      <c r="B397" s="88"/>
      <c r="C397" s="2"/>
      <c r="D397" s="2"/>
      <c r="E397" s="94"/>
      <c r="F397" s="74"/>
      <c r="G397" s="45"/>
      <c r="H397" s="119"/>
      <c r="I397" s="133"/>
      <c r="J397" s="158"/>
      <c r="K397" s="74"/>
      <c r="L397" s="156"/>
      <c r="M397" s="90"/>
      <c r="N397" s="90"/>
      <c r="O397" s="90"/>
      <c r="P397" s="94"/>
      <c r="Q397" s="94"/>
      <c r="R397" s="94"/>
      <c r="S397" s="94"/>
      <c r="T397" s="90"/>
      <c r="U397" s="90"/>
      <c r="V397" s="90"/>
      <c r="W397" s="375"/>
      <c r="X397" s="106"/>
      <c r="Y397" s="106"/>
      <c r="Z397" s="106"/>
      <c r="AA397" s="106"/>
      <c r="AB397" s="106"/>
      <c r="AC397" s="94"/>
      <c r="AD397" s="94"/>
      <c r="AE397" s="94"/>
      <c r="AF397" s="94"/>
      <c r="AG397" s="94"/>
      <c r="AH397" s="263"/>
    </row>
    <row r="398" spans="1:34" ht="26.25" customHeight="1">
      <c r="A398" s="90"/>
      <c r="B398" s="88"/>
      <c r="C398" s="2"/>
      <c r="D398" s="2"/>
      <c r="E398" s="94"/>
      <c r="F398" s="74"/>
      <c r="G398" s="45"/>
      <c r="H398" s="119"/>
      <c r="I398" s="133"/>
      <c r="J398" s="158"/>
      <c r="K398" s="74"/>
      <c r="L398" s="156"/>
      <c r="M398" s="90"/>
      <c r="N398" s="90"/>
      <c r="O398" s="90"/>
      <c r="P398" s="94"/>
      <c r="Q398" s="94"/>
      <c r="R398" s="94"/>
      <c r="S398" s="94"/>
      <c r="T398" s="90"/>
      <c r="U398" s="90"/>
      <c r="V398" s="90"/>
      <c r="W398" s="375"/>
      <c r="X398" s="106"/>
      <c r="Y398" s="106"/>
      <c r="Z398" s="106"/>
      <c r="AA398" s="106"/>
      <c r="AB398" s="106"/>
      <c r="AC398" s="94"/>
      <c r="AD398" s="94"/>
      <c r="AE398" s="94"/>
      <c r="AF398" s="94"/>
      <c r="AG398" s="94"/>
      <c r="AH398" s="263"/>
    </row>
    <row r="399" spans="1:34" ht="26.25" customHeight="1">
      <c r="A399" s="90"/>
      <c r="B399" s="88"/>
      <c r="C399" s="2"/>
      <c r="D399" s="2"/>
      <c r="E399" s="94"/>
      <c r="F399" s="74"/>
      <c r="G399" s="45"/>
      <c r="H399" s="119"/>
      <c r="I399" s="133"/>
      <c r="J399" s="158"/>
      <c r="K399" s="74"/>
      <c r="L399" s="156"/>
      <c r="M399" s="90"/>
      <c r="N399" s="90"/>
      <c r="O399" s="90"/>
      <c r="P399" s="94"/>
      <c r="Q399" s="94"/>
      <c r="R399" s="94"/>
      <c r="S399" s="94"/>
      <c r="T399" s="90"/>
      <c r="U399" s="90"/>
      <c r="V399" s="90"/>
      <c r="W399" s="375"/>
      <c r="X399" s="106"/>
      <c r="Y399" s="106"/>
      <c r="Z399" s="106"/>
      <c r="AA399" s="106"/>
      <c r="AB399" s="106"/>
      <c r="AC399" s="94"/>
      <c r="AD399" s="94"/>
      <c r="AE399" s="94"/>
      <c r="AF399" s="94"/>
      <c r="AG399" s="94"/>
      <c r="AH399" s="263"/>
    </row>
    <row r="400" spans="1:34" ht="26.25" customHeight="1">
      <c r="A400" s="90"/>
      <c r="B400" s="88"/>
      <c r="C400" s="2"/>
      <c r="D400" s="2"/>
      <c r="E400" s="94"/>
      <c r="F400" s="74"/>
      <c r="G400" s="45"/>
      <c r="H400" s="119"/>
      <c r="I400" s="133"/>
      <c r="J400" s="158"/>
      <c r="K400" s="74"/>
      <c r="L400" s="156"/>
      <c r="M400" s="90"/>
      <c r="N400" s="90"/>
      <c r="O400" s="90"/>
      <c r="P400" s="94"/>
      <c r="Q400" s="94"/>
      <c r="R400" s="94"/>
      <c r="S400" s="94"/>
      <c r="T400" s="90"/>
      <c r="U400" s="90"/>
      <c r="V400" s="90"/>
      <c r="W400" s="375"/>
      <c r="X400" s="106"/>
      <c r="Y400" s="106"/>
      <c r="Z400" s="106"/>
      <c r="AA400" s="106"/>
      <c r="AB400" s="106"/>
      <c r="AC400" s="94"/>
      <c r="AD400" s="94"/>
      <c r="AE400" s="94"/>
      <c r="AF400" s="94"/>
      <c r="AG400" s="94"/>
      <c r="AH400" s="263"/>
    </row>
    <row r="401" spans="1:34" ht="26.25" customHeight="1">
      <c r="A401" s="90"/>
      <c r="B401" s="88"/>
      <c r="C401" s="94"/>
      <c r="D401" s="95"/>
      <c r="E401" s="94"/>
      <c r="F401" s="74"/>
      <c r="G401" s="45"/>
      <c r="H401" s="119"/>
      <c r="I401" s="133"/>
      <c r="J401" s="158"/>
      <c r="K401" s="74"/>
      <c r="L401" s="162"/>
      <c r="M401" s="90"/>
      <c r="N401" s="90"/>
      <c r="O401" s="90"/>
      <c r="P401" s="94"/>
      <c r="Q401" s="94"/>
      <c r="R401" s="94"/>
      <c r="S401" s="94"/>
      <c r="T401" s="90"/>
      <c r="U401" s="90"/>
      <c r="V401" s="90"/>
      <c r="W401" s="375"/>
      <c r="X401" s="106"/>
      <c r="Y401" s="106"/>
      <c r="Z401" s="106"/>
      <c r="AA401" s="106"/>
      <c r="AB401" s="106"/>
      <c r="AC401" s="94"/>
      <c r="AD401" s="94"/>
      <c r="AE401" s="94"/>
      <c r="AF401" s="94"/>
      <c r="AG401" s="94"/>
      <c r="AH401" s="263"/>
    </row>
    <row r="402" spans="1:34" ht="26.25" customHeight="1">
      <c r="A402" s="90"/>
      <c r="B402" s="224"/>
      <c r="C402" s="94"/>
      <c r="D402" s="95"/>
      <c r="E402" s="94"/>
      <c r="F402" s="74"/>
      <c r="G402" s="45"/>
      <c r="H402" s="119"/>
      <c r="I402" s="133"/>
      <c r="J402" s="158"/>
      <c r="K402" s="74"/>
      <c r="L402" s="162"/>
      <c r="M402" s="90"/>
      <c r="N402" s="90"/>
      <c r="O402" s="90"/>
      <c r="P402" s="94"/>
      <c r="Q402" s="94"/>
      <c r="R402" s="94"/>
      <c r="S402" s="94"/>
      <c r="T402" s="90"/>
      <c r="U402" s="90"/>
      <c r="V402" s="90"/>
      <c r="W402" s="375"/>
      <c r="X402" s="106"/>
      <c r="Y402" s="106"/>
      <c r="Z402" s="106"/>
      <c r="AA402" s="106"/>
      <c r="AB402" s="106"/>
      <c r="AC402" s="94"/>
      <c r="AD402" s="94"/>
      <c r="AE402" s="94"/>
      <c r="AF402" s="94"/>
      <c r="AG402" s="94"/>
      <c r="AH402" s="263"/>
    </row>
    <row r="403" spans="1:34" ht="26.25" customHeight="1">
      <c r="A403" s="90"/>
      <c r="B403" s="224"/>
      <c r="C403" s="94"/>
      <c r="D403" s="95"/>
      <c r="E403" s="94"/>
      <c r="F403" s="74"/>
      <c r="G403" s="45"/>
      <c r="H403" s="119"/>
      <c r="I403" s="133"/>
      <c r="J403" s="158"/>
      <c r="K403" s="74"/>
      <c r="L403" s="162"/>
      <c r="M403" s="90"/>
      <c r="N403" s="90"/>
      <c r="O403" s="90"/>
      <c r="P403" s="94"/>
      <c r="Q403" s="94"/>
      <c r="R403" s="94"/>
      <c r="S403" s="94"/>
      <c r="T403" s="90"/>
      <c r="U403" s="90"/>
      <c r="V403" s="90"/>
      <c r="W403" s="375"/>
      <c r="X403" s="106"/>
      <c r="Y403" s="106"/>
      <c r="Z403" s="106"/>
      <c r="AA403" s="106"/>
      <c r="AB403" s="106"/>
      <c r="AC403" s="94"/>
      <c r="AD403" s="94"/>
      <c r="AE403" s="94"/>
      <c r="AF403" s="94"/>
      <c r="AG403" s="94"/>
      <c r="AH403" s="263"/>
    </row>
    <row r="404" spans="1:34" ht="26.25" customHeight="1">
      <c r="A404" s="90"/>
      <c r="B404" s="88"/>
      <c r="C404" s="2"/>
      <c r="D404" s="2"/>
      <c r="E404" s="94"/>
      <c r="F404" s="74"/>
      <c r="G404" s="45"/>
      <c r="H404" s="119"/>
      <c r="I404" s="133"/>
      <c r="J404" s="158"/>
      <c r="K404" s="74"/>
      <c r="L404" s="156"/>
      <c r="M404" s="90"/>
      <c r="N404" s="90"/>
      <c r="O404" s="90"/>
      <c r="P404" s="94"/>
      <c r="Q404" s="94"/>
      <c r="R404" s="94"/>
      <c r="S404" s="94"/>
      <c r="T404" s="90"/>
      <c r="U404" s="90"/>
      <c r="V404" s="90"/>
      <c r="W404" s="375"/>
      <c r="X404" s="106"/>
      <c r="Y404" s="106"/>
      <c r="Z404" s="106"/>
      <c r="AA404" s="106"/>
      <c r="AB404" s="106"/>
      <c r="AC404" s="94"/>
      <c r="AD404" s="94"/>
      <c r="AE404" s="94"/>
      <c r="AF404" s="94"/>
      <c r="AG404" s="94"/>
      <c r="AH404" s="263"/>
    </row>
    <row r="405" spans="1:34" ht="26.25" customHeight="1">
      <c r="A405" s="90"/>
      <c r="B405" s="88"/>
      <c r="C405" s="2"/>
      <c r="D405" s="2"/>
      <c r="E405" s="94"/>
      <c r="F405" s="74"/>
      <c r="G405" s="45"/>
      <c r="H405" s="119"/>
      <c r="I405" s="133"/>
      <c r="J405" s="158"/>
      <c r="K405" s="74"/>
      <c r="L405" s="156"/>
      <c r="M405" s="90"/>
      <c r="N405" s="90"/>
      <c r="O405" s="90"/>
      <c r="P405" s="94"/>
      <c r="Q405" s="94"/>
      <c r="R405" s="94"/>
      <c r="S405" s="94"/>
      <c r="T405" s="90"/>
      <c r="U405" s="90"/>
      <c r="V405" s="90"/>
      <c r="W405" s="375"/>
      <c r="X405" s="106"/>
      <c r="Y405" s="106"/>
      <c r="Z405" s="106"/>
      <c r="AA405" s="106"/>
      <c r="AB405" s="106"/>
      <c r="AC405" s="94"/>
      <c r="AD405" s="94"/>
      <c r="AE405" s="94"/>
      <c r="AF405" s="94"/>
      <c r="AG405" s="94"/>
      <c r="AH405" s="263"/>
    </row>
    <row r="406" spans="1:34" ht="26.25" customHeight="1">
      <c r="A406" s="90"/>
      <c r="B406" s="88"/>
      <c r="C406" s="2"/>
      <c r="D406" s="2"/>
      <c r="E406" s="94"/>
      <c r="F406" s="74"/>
      <c r="G406" s="45"/>
      <c r="H406" s="119"/>
      <c r="I406" s="133"/>
      <c r="J406" s="158"/>
      <c r="K406" s="74"/>
      <c r="L406" s="156"/>
      <c r="M406" s="90"/>
      <c r="N406" s="90"/>
      <c r="O406" s="90"/>
      <c r="P406" s="94"/>
      <c r="Q406" s="94"/>
      <c r="R406" s="94"/>
      <c r="S406" s="94"/>
      <c r="T406" s="90"/>
      <c r="U406" s="90"/>
      <c r="V406" s="90"/>
      <c r="W406" s="375"/>
      <c r="X406" s="106"/>
      <c r="Y406" s="106"/>
      <c r="Z406" s="106"/>
      <c r="AA406" s="106"/>
      <c r="AB406" s="106"/>
      <c r="AC406" s="94"/>
      <c r="AD406" s="94"/>
      <c r="AE406" s="94"/>
      <c r="AF406" s="94"/>
      <c r="AG406" s="94"/>
      <c r="AH406" s="263"/>
    </row>
    <row r="407" spans="1:34" ht="26.25" customHeight="1">
      <c r="A407" s="90"/>
      <c r="B407" s="88"/>
      <c r="C407" s="2"/>
      <c r="D407" s="2"/>
      <c r="E407" s="94"/>
      <c r="F407" s="74"/>
      <c r="G407" s="45"/>
      <c r="H407" s="119"/>
      <c r="I407" s="133"/>
      <c r="J407" s="158"/>
      <c r="K407" s="74"/>
      <c r="L407" s="156"/>
      <c r="M407" s="90"/>
      <c r="N407" s="90"/>
      <c r="O407" s="90"/>
      <c r="P407" s="94"/>
      <c r="Q407" s="94"/>
      <c r="R407" s="94"/>
      <c r="S407" s="94"/>
      <c r="T407" s="90"/>
      <c r="U407" s="90"/>
      <c r="V407" s="90"/>
      <c r="W407" s="375"/>
      <c r="X407" s="106"/>
      <c r="Y407" s="106"/>
      <c r="Z407" s="106"/>
      <c r="AA407" s="106"/>
      <c r="AB407" s="106"/>
      <c r="AC407" s="94"/>
      <c r="AD407" s="94"/>
      <c r="AE407" s="94"/>
      <c r="AF407" s="94"/>
      <c r="AG407" s="94"/>
      <c r="AH407" s="263"/>
    </row>
    <row r="408" spans="1:34" ht="26.25" customHeight="1">
      <c r="A408" s="90"/>
      <c r="B408" s="88"/>
      <c r="C408" s="2"/>
      <c r="D408" s="2"/>
      <c r="E408" s="94"/>
      <c r="F408" s="74"/>
      <c r="G408" s="45"/>
      <c r="H408" s="119"/>
      <c r="I408" s="133"/>
      <c r="J408" s="158"/>
      <c r="K408" s="74"/>
      <c r="L408" s="156"/>
      <c r="M408" s="90"/>
      <c r="N408" s="90"/>
      <c r="O408" s="90"/>
      <c r="P408" s="94"/>
      <c r="Q408" s="94"/>
      <c r="R408" s="94"/>
      <c r="S408" s="94"/>
      <c r="T408" s="90"/>
      <c r="U408" s="90"/>
      <c r="V408" s="90"/>
      <c r="W408" s="375"/>
      <c r="X408" s="106"/>
      <c r="Y408" s="106"/>
      <c r="Z408" s="106"/>
      <c r="AA408" s="106"/>
      <c r="AB408" s="106"/>
      <c r="AC408" s="94"/>
      <c r="AD408" s="94"/>
      <c r="AE408" s="94"/>
      <c r="AF408" s="94"/>
      <c r="AG408" s="94"/>
      <c r="AH408" s="263"/>
    </row>
    <row r="409" spans="1:34" ht="26.25" customHeight="1">
      <c r="A409" s="90"/>
      <c r="B409" s="88"/>
      <c r="C409" s="94"/>
      <c r="D409" s="95"/>
      <c r="E409" s="94"/>
      <c r="F409" s="74"/>
      <c r="G409" s="45"/>
      <c r="H409" s="119"/>
      <c r="I409" s="133"/>
      <c r="J409" s="158"/>
      <c r="K409" s="74"/>
      <c r="L409" s="162"/>
      <c r="M409" s="90"/>
      <c r="N409" s="90"/>
      <c r="O409" s="90"/>
      <c r="P409" s="94"/>
      <c r="Q409" s="94"/>
      <c r="R409" s="94"/>
      <c r="S409" s="94"/>
      <c r="T409" s="90"/>
      <c r="U409" s="90"/>
      <c r="V409" s="90"/>
      <c r="W409" s="375"/>
      <c r="X409" s="106"/>
      <c r="Y409" s="106"/>
      <c r="Z409" s="106"/>
      <c r="AA409" s="106"/>
      <c r="AB409" s="106"/>
      <c r="AC409" s="94"/>
      <c r="AD409" s="94"/>
      <c r="AE409" s="94"/>
      <c r="AF409" s="94"/>
      <c r="AG409" s="94"/>
      <c r="AH409" s="263"/>
    </row>
    <row r="410" spans="1:34" ht="26.25" customHeight="1">
      <c r="A410" s="90"/>
      <c r="B410" s="224"/>
      <c r="C410" s="94"/>
      <c r="D410" s="95"/>
      <c r="E410" s="94"/>
      <c r="F410" s="74"/>
      <c r="G410" s="45"/>
      <c r="H410" s="119"/>
      <c r="I410" s="133"/>
      <c r="J410" s="158"/>
      <c r="K410" s="74"/>
      <c r="L410" s="162"/>
      <c r="M410" s="90"/>
      <c r="N410" s="90"/>
      <c r="O410" s="90"/>
      <c r="P410" s="94"/>
      <c r="Q410" s="94"/>
      <c r="R410" s="94"/>
      <c r="S410" s="94"/>
      <c r="T410" s="90"/>
      <c r="U410" s="90"/>
      <c r="V410" s="90"/>
      <c r="W410" s="375"/>
      <c r="X410" s="106"/>
      <c r="Y410" s="106"/>
      <c r="Z410" s="106"/>
      <c r="AA410" s="106"/>
      <c r="AB410" s="106"/>
      <c r="AC410" s="94"/>
      <c r="AD410" s="94"/>
      <c r="AE410" s="94"/>
      <c r="AF410" s="94"/>
      <c r="AG410" s="94"/>
      <c r="AH410" s="263"/>
    </row>
    <row r="411" spans="1:34" ht="26.25" customHeight="1">
      <c r="A411" s="90"/>
      <c r="B411" s="224"/>
      <c r="C411" s="94"/>
      <c r="D411" s="95"/>
      <c r="E411" s="94"/>
      <c r="F411" s="74"/>
      <c r="G411" s="45"/>
      <c r="H411" s="119"/>
      <c r="I411" s="133"/>
      <c r="J411" s="158"/>
      <c r="K411" s="74"/>
      <c r="L411" s="162"/>
      <c r="M411" s="90"/>
      <c r="N411" s="90"/>
      <c r="O411" s="90"/>
      <c r="P411" s="94"/>
      <c r="Q411" s="94"/>
      <c r="R411" s="94"/>
      <c r="S411" s="94"/>
      <c r="T411" s="90"/>
      <c r="U411" s="90"/>
      <c r="V411" s="90"/>
      <c r="W411" s="375"/>
      <c r="X411" s="106"/>
      <c r="Y411" s="106"/>
      <c r="Z411" s="106"/>
      <c r="AA411" s="106"/>
      <c r="AB411" s="106"/>
      <c r="AC411" s="94"/>
      <c r="AD411" s="94"/>
      <c r="AE411" s="94"/>
      <c r="AF411" s="94"/>
      <c r="AG411" s="94"/>
      <c r="AH411" s="263"/>
    </row>
    <row r="412" spans="1:34" ht="26.25" customHeight="1">
      <c r="A412" s="90"/>
      <c r="B412" s="88"/>
      <c r="C412" s="2"/>
      <c r="D412" s="2"/>
      <c r="E412" s="94"/>
      <c r="F412" s="74"/>
      <c r="G412" s="45"/>
      <c r="H412" s="119"/>
      <c r="I412" s="133"/>
      <c r="J412" s="158"/>
      <c r="K412" s="74"/>
      <c r="L412" s="156"/>
      <c r="M412" s="90"/>
      <c r="N412" s="90"/>
      <c r="O412" s="90"/>
      <c r="P412" s="94"/>
      <c r="Q412" s="94"/>
      <c r="R412" s="94"/>
      <c r="S412" s="94"/>
      <c r="T412" s="90"/>
      <c r="U412" s="90"/>
      <c r="V412" s="90"/>
      <c r="W412" s="375"/>
      <c r="X412" s="106"/>
      <c r="Y412" s="106"/>
      <c r="Z412" s="106"/>
      <c r="AA412" s="106"/>
      <c r="AB412" s="106"/>
      <c r="AC412" s="94"/>
      <c r="AD412" s="94"/>
      <c r="AE412" s="94"/>
      <c r="AF412" s="94"/>
      <c r="AG412" s="94"/>
      <c r="AH412" s="263"/>
    </row>
    <row r="413" spans="1:34" ht="26.25" customHeight="1">
      <c r="A413" s="90"/>
      <c r="B413" s="88"/>
      <c r="C413" s="2"/>
      <c r="D413" s="2"/>
      <c r="E413" s="94"/>
      <c r="F413" s="74"/>
      <c r="G413" s="45"/>
      <c r="H413" s="119"/>
      <c r="I413" s="133"/>
      <c r="J413" s="158"/>
      <c r="K413" s="74"/>
      <c r="L413" s="156"/>
      <c r="M413" s="90"/>
      <c r="N413" s="90"/>
      <c r="O413" s="90"/>
      <c r="P413" s="94"/>
      <c r="Q413" s="94"/>
      <c r="R413" s="94"/>
      <c r="S413" s="94"/>
      <c r="T413" s="90"/>
      <c r="U413" s="90"/>
      <c r="V413" s="90"/>
      <c r="W413" s="375"/>
      <c r="X413" s="106"/>
      <c r="Y413" s="106"/>
      <c r="Z413" s="106"/>
      <c r="AA413" s="106"/>
      <c r="AB413" s="106"/>
      <c r="AC413" s="94"/>
      <c r="AD413" s="94"/>
      <c r="AE413" s="94"/>
      <c r="AF413" s="94"/>
      <c r="AG413" s="94"/>
      <c r="AH413" s="263"/>
    </row>
    <row r="414" spans="1:34" ht="26.25" customHeight="1">
      <c r="A414" s="90"/>
      <c r="B414" s="88"/>
      <c r="C414" s="2"/>
      <c r="D414" s="2"/>
      <c r="E414" s="94"/>
      <c r="F414" s="74"/>
      <c r="G414" s="45"/>
      <c r="H414" s="119"/>
      <c r="I414" s="133"/>
      <c r="J414" s="158"/>
      <c r="K414" s="74"/>
      <c r="L414" s="156"/>
      <c r="M414" s="90"/>
      <c r="N414" s="90"/>
      <c r="O414" s="90"/>
      <c r="P414" s="94"/>
      <c r="Q414" s="94"/>
      <c r="R414" s="94"/>
      <c r="S414" s="94"/>
      <c r="T414" s="90"/>
      <c r="U414" s="90"/>
      <c r="V414" s="90"/>
      <c r="W414" s="375"/>
      <c r="X414" s="106"/>
      <c r="Y414" s="106"/>
      <c r="Z414" s="106"/>
      <c r="AA414" s="106"/>
      <c r="AB414" s="106"/>
      <c r="AC414" s="94"/>
      <c r="AD414" s="94"/>
      <c r="AE414" s="94"/>
      <c r="AF414" s="94"/>
      <c r="AG414" s="94"/>
      <c r="AH414" s="263"/>
    </row>
    <row r="415" spans="1:34" ht="26.25" customHeight="1">
      <c r="A415" s="90"/>
      <c r="B415" s="88"/>
      <c r="C415" s="2"/>
      <c r="D415" s="2"/>
      <c r="E415" s="94"/>
      <c r="F415" s="74"/>
      <c r="G415" s="45"/>
      <c r="H415" s="119"/>
      <c r="I415" s="133"/>
      <c r="J415" s="158"/>
      <c r="K415" s="74"/>
      <c r="L415" s="156"/>
      <c r="M415" s="90"/>
      <c r="N415" s="90"/>
      <c r="O415" s="90"/>
      <c r="P415" s="94"/>
      <c r="Q415" s="94"/>
      <c r="R415" s="94"/>
      <c r="S415" s="94"/>
      <c r="T415" s="90"/>
      <c r="U415" s="90"/>
      <c r="V415" s="90"/>
      <c r="W415" s="375"/>
      <c r="X415" s="106"/>
      <c r="Y415" s="106"/>
      <c r="Z415" s="106"/>
      <c r="AA415" s="106"/>
      <c r="AB415" s="106"/>
      <c r="AC415" s="94"/>
      <c r="AD415" s="94"/>
      <c r="AE415" s="94"/>
      <c r="AF415" s="94"/>
      <c r="AG415" s="94"/>
      <c r="AH415" s="263"/>
    </row>
    <row r="416" spans="1:34" ht="26.25" customHeight="1">
      <c r="A416" s="90"/>
      <c r="B416" s="88"/>
      <c r="C416" s="2"/>
      <c r="D416" s="2"/>
      <c r="E416" s="94"/>
      <c r="F416" s="74"/>
      <c r="G416" s="45"/>
      <c r="H416" s="119"/>
      <c r="I416" s="133"/>
      <c r="J416" s="158"/>
      <c r="K416" s="74"/>
      <c r="L416" s="156"/>
      <c r="M416" s="90"/>
      <c r="N416" s="90"/>
      <c r="O416" s="90"/>
      <c r="P416" s="94"/>
      <c r="Q416" s="94"/>
      <c r="R416" s="94"/>
      <c r="S416" s="94"/>
      <c r="T416" s="90"/>
      <c r="U416" s="90"/>
      <c r="V416" s="90"/>
      <c r="W416" s="375"/>
      <c r="X416" s="106"/>
      <c r="Y416" s="106"/>
      <c r="Z416" s="106"/>
      <c r="AA416" s="106"/>
      <c r="AB416" s="106"/>
      <c r="AC416" s="94"/>
      <c r="AD416" s="94"/>
      <c r="AE416" s="94"/>
      <c r="AF416" s="94"/>
      <c r="AG416" s="94"/>
      <c r="AH416" s="263"/>
    </row>
    <row r="417" spans="1:34" ht="26.25" customHeight="1">
      <c r="A417" s="90"/>
      <c r="B417" s="88"/>
      <c r="C417" s="94"/>
      <c r="D417" s="95"/>
      <c r="E417" s="94"/>
      <c r="F417" s="74"/>
      <c r="G417" s="45"/>
      <c r="H417" s="119"/>
      <c r="I417" s="133"/>
      <c r="J417" s="158"/>
      <c r="K417" s="74"/>
      <c r="L417" s="162"/>
      <c r="M417" s="90"/>
      <c r="N417" s="90"/>
      <c r="O417" s="90"/>
      <c r="P417" s="94"/>
      <c r="Q417" s="94"/>
      <c r="R417" s="94"/>
      <c r="S417" s="94"/>
      <c r="T417" s="90"/>
      <c r="U417" s="90"/>
      <c r="V417" s="90"/>
      <c r="W417" s="375"/>
      <c r="X417" s="106"/>
      <c r="Y417" s="106"/>
      <c r="Z417" s="106"/>
      <c r="AA417" s="106"/>
      <c r="AB417" s="106"/>
      <c r="AC417" s="94"/>
      <c r="AD417" s="94"/>
      <c r="AE417" s="94"/>
      <c r="AF417" s="94"/>
      <c r="AG417" s="94"/>
      <c r="AH417" s="263"/>
    </row>
    <row r="418" spans="1:34" ht="26.25" customHeight="1">
      <c r="A418" s="90"/>
      <c r="B418" s="224"/>
      <c r="C418" s="94"/>
      <c r="D418" s="95"/>
      <c r="E418" s="94"/>
      <c r="F418" s="74"/>
      <c r="G418" s="45"/>
      <c r="H418" s="119"/>
      <c r="I418" s="133"/>
      <c r="J418" s="158"/>
      <c r="K418" s="74"/>
      <c r="L418" s="162"/>
      <c r="M418" s="90"/>
      <c r="N418" s="90"/>
      <c r="O418" s="90"/>
      <c r="P418" s="94"/>
      <c r="Q418" s="94"/>
      <c r="R418" s="94"/>
      <c r="S418" s="94"/>
      <c r="T418" s="90"/>
      <c r="U418" s="90"/>
      <c r="V418" s="90"/>
      <c r="W418" s="375"/>
      <c r="X418" s="106"/>
      <c r="Y418" s="106"/>
      <c r="Z418" s="106"/>
      <c r="AA418" s="106"/>
      <c r="AB418" s="106"/>
      <c r="AC418" s="94"/>
      <c r="AD418" s="94"/>
      <c r="AE418" s="94"/>
      <c r="AF418" s="94"/>
      <c r="AG418" s="94"/>
      <c r="AH418" s="263"/>
    </row>
    <row r="419" spans="1:34" ht="26.25" customHeight="1">
      <c r="A419" s="90"/>
      <c r="B419" s="224"/>
      <c r="C419" s="94"/>
      <c r="D419" s="95"/>
      <c r="E419" s="94"/>
      <c r="F419" s="74"/>
      <c r="G419" s="45"/>
      <c r="H419" s="119"/>
      <c r="I419" s="133"/>
      <c r="J419" s="158"/>
      <c r="K419" s="74"/>
      <c r="L419" s="162"/>
      <c r="M419" s="90"/>
      <c r="N419" s="90"/>
      <c r="O419" s="90"/>
      <c r="P419" s="94"/>
      <c r="Q419" s="94"/>
      <c r="R419" s="94"/>
      <c r="S419" s="94"/>
      <c r="T419" s="90"/>
      <c r="U419" s="90"/>
      <c r="V419" s="90"/>
      <c r="W419" s="375"/>
      <c r="X419" s="106"/>
      <c r="Y419" s="106"/>
      <c r="Z419" s="106"/>
      <c r="AA419" s="106"/>
      <c r="AB419" s="106"/>
      <c r="AC419" s="94"/>
      <c r="AD419" s="94"/>
      <c r="AE419" s="94"/>
      <c r="AF419" s="94"/>
      <c r="AG419" s="94"/>
      <c r="AH419" s="263"/>
    </row>
    <row r="420" spans="1:34" ht="26.25" customHeight="1">
      <c r="A420" s="90"/>
      <c r="B420" s="88"/>
      <c r="C420" s="2"/>
      <c r="D420" s="2"/>
      <c r="E420" s="94"/>
      <c r="F420" s="74"/>
      <c r="G420" s="45"/>
      <c r="H420" s="119"/>
      <c r="I420" s="133"/>
      <c r="J420" s="158"/>
      <c r="K420" s="74"/>
      <c r="L420" s="156"/>
      <c r="M420" s="90"/>
      <c r="N420" s="90"/>
      <c r="O420" s="90"/>
      <c r="P420" s="94"/>
      <c r="Q420" s="94"/>
      <c r="R420" s="94"/>
      <c r="S420" s="94"/>
      <c r="T420" s="90"/>
      <c r="U420" s="90"/>
      <c r="V420" s="90"/>
      <c r="W420" s="375"/>
      <c r="X420" s="106"/>
      <c r="Y420" s="106"/>
      <c r="Z420" s="106"/>
      <c r="AA420" s="106"/>
      <c r="AB420" s="106"/>
      <c r="AC420" s="94"/>
      <c r="AD420" s="94"/>
      <c r="AE420" s="94"/>
      <c r="AF420" s="94"/>
      <c r="AG420" s="94"/>
      <c r="AH420" s="263"/>
    </row>
    <row r="421" spans="1:34" ht="26.25" customHeight="1">
      <c r="A421" s="90"/>
      <c r="B421" s="88"/>
      <c r="C421" s="2"/>
      <c r="D421" s="2"/>
      <c r="E421" s="94"/>
      <c r="F421" s="74"/>
      <c r="G421" s="45"/>
      <c r="H421" s="119"/>
      <c r="I421" s="133"/>
      <c r="J421" s="158"/>
      <c r="K421" s="74"/>
      <c r="L421" s="156"/>
      <c r="M421" s="90"/>
      <c r="N421" s="90"/>
      <c r="O421" s="90"/>
      <c r="P421" s="94"/>
      <c r="Q421" s="94"/>
      <c r="R421" s="94"/>
      <c r="S421" s="94"/>
      <c r="T421" s="90"/>
      <c r="U421" s="90"/>
      <c r="V421" s="90"/>
      <c r="W421" s="375"/>
      <c r="X421" s="106"/>
      <c r="Y421" s="106"/>
      <c r="Z421" s="106"/>
      <c r="AA421" s="106"/>
      <c r="AB421" s="106"/>
      <c r="AC421" s="94"/>
      <c r="AD421" s="94"/>
      <c r="AE421" s="94"/>
      <c r="AF421" s="94"/>
      <c r="AG421" s="94"/>
      <c r="AH421" s="263"/>
    </row>
    <row r="422" spans="1:34" ht="26.25" customHeight="1">
      <c r="A422" s="90"/>
      <c r="B422" s="88"/>
      <c r="C422" s="2"/>
      <c r="D422" s="2"/>
      <c r="E422" s="94"/>
      <c r="F422" s="74"/>
      <c r="G422" s="45"/>
      <c r="H422" s="119"/>
      <c r="I422" s="133"/>
      <c r="J422" s="158"/>
      <c r="K422" s="74"/>
      <c r="L422" s="156"/>
      <c r="M422" s="90"/>
      <c r="N422" s="90"/>
      <c r="O422" s="90"/>
      <c r="P422" s="94"/>
      <c r="Q422" s="94"/>
      <c r="R422" s="94"/>
      <c r="S422" s="94"/>
      <c r="T422" s="90"/>
      <c r="U422" s="90"/>
      <c r="V422" s="90"/>
      <c r="W422" s="375"/>
      <c r="X422" s="106"/>
      <c r="Y422" s="106"/>
      <c r="Z422" s="106"/>
      <c r="AA422" s="106"/>
      <c r="AB422" s="106"/>
      <c r="AC422" s="94"/>
      <c r="AD422" s="94"/>
      <c r="AE422" s="94"/>
      <c r="AF422" s="94"/>
      <c r="AG422" s="94"/>
      <c r="AH422" s="263"/>
    </row>
    <row r="423" spans="1:34" ht="26.25" customHeight="1">
      <c r="A423" s="90"/>
      <c r="B423" s="88"/>
      <c r="C423" s="2"/>
      <c r="D423" s="2"/>
      <c r="E423" s="94"/>
      <c r="F423" s="74"/>
      <c r="G423" s="45"/>
      <c r="H423" s="119"/>
      <c r="I423" s="133"/>
      <c r="J423" s="158"/>
      <c r="K423" s="74"/>
      <c r="L423" s="156"/>
      <c r="M423" s="90"/>
      <c r="N423" s="90"/>
      <c r="O423" s="90"/>
      <c r="P423" s="94"/>
      <c r="Q423" s="94"/>
      <c r="R423" s="94"/>
      <c r="S423" s="94"/>
      <c r="T423" s="90"/>
      <c r="U423" s="90"/>
      <c r="V423" s="90"/>
      <c r="W423" s="375"/>
      <c r="X423" s="106"/>
      <c r="Y423" s="106"/>
      <c r="Z423" s="106"/>
      <c r="AA423" s="106"/>
      <c r="AB423" s="106"/>
      <c r="AC423" s="94"/>
      <c r="AD423" s="94"/>
      <c r="AE423" s="94"/>
      <c r="AF423" s="94"/>
      <c r="AG423" s="94"/>
      <c r="AH423" s="263"/>
    </row>
    <row r="424" spans="1:34" ht="26.25" customHeight="1">
      <c r="A424" s="90"/>
      <c r="B424" s="88"/>
      <c r="C424" s="2"/>
      <c r="D424" s="2"/>
      <c r="E424" s="94"/>
      <c r="F424" s="74"/>
      <c r="G424" s="45"/>
      <c r="H424" s="119"/>
      <c r="I424" s="133"/>
      <c r="J424" s="158"/>
      <c r="K424" s="74"/>
      <c r="L424" s="156"/>
      <c r="M424" s="90"/>
      <c r="N424" s="90"/>
      <c r="O424" s="90"/>
      <c r="P424" s="94"/>
      <c r="Q424" s="94"/>
      <c r="R424" s="94"/>
      <c r="S424" s="94"/>
      <c r="T424" s="90"/>
      <c r="U424" s="90"/>
      <c r="V424" s="90"/>
      <c r="W424" s="375"/>
      <c r="X424" s="106"/>
      <c r="Y424" s="106"/>
      <c r="Z424" s="106"/>
      <c r="AA424" s="106"/>
      <c r="AB424" s="106"/>
      <c r="AC424" s="94"/>
      <c r="AD424" s="94"/>
      <c r="AE424" s="94"/>
      <c r="AF424" s="94"/>
      <c r="AG424" s="94"/>
      <c r="AH424" s="263"/>
    </row>
    <row r="425" spans="1:34" ht="26.25" customHeight="1">
      <c r="A425" s="90"/>
      <c r="B425" s="88"/>
      <c r="C425" s="94"/>
      <c r="D425" s="95"/>
      <c r="E425" s="94"/>
      <c r="F425" s="74"/>
      <c r="G425" s="45"/>
      <c r="H425" s="119"/>
      <c r="I425" s="133"/>
      <c r="J425" s="158"/>
      <c r="K425" s="74"/>
      <c r="L425" s="162"/>
      <c r="M425" s="90"/>
      <c r="N425" s="90"/>
      <c r="O425" s="90"/>
      <c r="P425" s="94"/>
      <c r="Q425" s="94"/>
      <c r="R425" s="94"/>
      <c r="S425" s="94"/>
      <c r="T425" s="90"/>
      <c r="U425" s="90"/>
      <c r="V425" s="90"/>
      <c r="W425" s="375"/>
      <c r="X425" s="106"/>
      <c r="Y425" s="106"/>
      <c r="Z425" s="106"/>
      <c r="AA425" s="106"/>
      <c r="AB425" s="106"/>
      <c r="AC425" s="94"/>
      <c r="AD425" s="94"/>
      <c r="AE425" s="94"/>
      <c r="AF425" s="94"/>
      <c r="AG425" s="94"/>
      <c r="AH425" s="263"/>
    </row>
    <row r="426" spans="1:34" ht="26.25" customHeight="1">
      <c r="A426" s="90"/>
      <c r="B426" s="224"/>
      <c r="C426" s="94"/>
      <c r="D426" s="95"/>
      <c r="E426" s="94"/>
      <c r="F426" s="74"/>
      <c r="G426" s="45"/>
      <c r="H426" s="119"/>
      <c r="I426" s="133"/>
      <c r="J426" s="158"/>
      <c r="K426" s="74"/>
      <c r="L426" s="162"/>
      <c r="M426" s="90"/>
      <c r="N426" s="90"/>
      <c r="O426" s="90"/>
      <c r="P426" s="94"/>
      <c r="Q426" s="94"/>
      <c r="R426" s="94"/>
      <c r="S426" s="94"/>
      <c r="T426" s="90"/>
      <c r="U426" s="90"/>
      <c r="V426" s="90"/>
      <c r="W426" s="375"/>
      <c r="X426" s="106"/>
      <c r="Y426" s="106"/>
      <c r="Z426" s="106"/>
      <c r="AA426" s="106"/>
      <c r="AB426" s="106"/>
      <c r="AC426" s="94"/>
      <c r="AD426" s="94"/>
      <c r="AE426" s="94"/>
      <c r="AF426" s="94"/>
      <c r="AG426" s="94"/>
      <c r="AH426" s="263"/>
    </row>
    <row r="427" spans="1:34" ht="26.25" customHeight="1">
      <c r="A427" s="90"/>
      <c r="B427" s="224"/>
      <c r="C427" s="94"/>
      <c r="D427" s="95"/>
      <c r="E427" s="94"/>
      <c r="F427" s="74"/>
      <c r="G427" s="45"/>
      <c r="H427" s="119"/>
      <c r="I427" s="133"/>
      <c r="J427" s="158"/>
      <c r="K427" s="74"/>
      <c r="L427" s="162"/>
      <c r="M427" s="90"/>
      <c r="N427" s="90"/>
      <c r="O427" s="90"/>
      <c r="P427" s="94"/>
      <c r="Q427" s="94"/>
      <c r="R427" s="94"/>
      <c r="S427" s="94"/>
      <c r="T427" s="90"/>
      <c r="U427" s="90"/>
      <c r="V427" s="90"/>
      <c r="W427" s="375"/>
      <c r="X427" s="106"/>
      <c r="Y427" s="106"/>
      <c r="Z427" s="106"/>
      <c r="AA427" s="106"/>
      <c r="AB427" s="106"/>
      <c r="AC427" s="94"/>
      <c r="AD427" s="94"/>
      <c r="AE427" s="94"/>
      <c r="AF427" s="94"/>
      <c r="AG427" s="94"/>
      <c r="AH427" s="263"/>
    </row>
    <row r="428" spans="1:34" ht="26.25" customHeight="1">
      <c r="A428" s="90"/>
      <c r="B428" s="88"/>
      <c r="C428" s="2"/>
      <c r="D428" s="2"/>
      <c r="E428" s="94"/>
      <c r="F428" s="74"/>
      <c r="G428" s="45"/>
      <c r="H428" s="119"/>
      <c r="I428" s="133"/>
      <c r="J428" s="158"/>
      <c r="K428" s="74"/>
      <c r="L428" s="156"/>
      <c r="M428" s="90"/>
      <c r="N428" s="90"/>
      <c r="O428" s="90"/>
      <c r="P428" s="94"/>
      <c r="Q428" s="94"/>
      <c r="R428" s="94"/>
      <c r="S428" s="94"/>
      <c r="T428" s="90"/>
      <c r="U428" s="90"/>
      <c r="V428" s="90"/>
      <c r="W428" s="375"/>
      <c r="X428" s="106"/>
      <c r="Y428" s="106"/>
      <c r="Z428" s="106"/>
      <c r="AA428" s="106"/>
      <c r="AB428" s="106"/>
      <c r="AC428" s="94"/>
      <c r="AD428" s="94"/>
      <c r="AE428" s="94"/>
      <c r="AF428" s="94"/>
      <c r="AG428" s="94"/>
      <c r="AH428" s="263"/>
    </row>
    <row r="429" spans="1:34" ht="26.25" customHeight="1">
      <c r="A429" s="90"/>
      <c r="B429" s="88"/>
      <c r="C429" s="2"/>
      <c r="D429" s="2"/>
      <c r="E429" s="94"/>
      <c r="F429" s="74"/>
      <c r="G429" s="45"/>
      <c r="H429" s="119"/>
      <c r="I429" s="133"/>
      <c r="J429" s="158"/>
      <c r="K429" s="74"/>
      <c r="L429" s="156"/>
      <c r="M429" s="90"/>
      <c r="N429" s="90"/>
      <c r="O429" s="90"/>
      <c r="P429" s="94"/>
      <c r="Q429" s="94"/>
      <c r="R429" s="94"/>
      <c r="S429" s="94"/>
      <c r="T429" s="90"/>
      <c r="U429" s="90"/>
      <c r="V429" s="90"/>
      <c r="W429" s="375"/>
      <c r="X429" s="106"/>
      <c r="Y429" s="106"/>
      <c r="Z429" s="106"/>
      <c r="AA429" s="106"/>
      <c r="AB429" s="106"/>
      <c r="AC429" s="94"/>
      <c r="AD429" s="94"/>
      <c r="AE429" s="94"/>
      <c r="AF429" s="94"/>
      <c r="AG429" s="94"/>
      <c r="AH429" s="263"/>
    </row>
    <row r="430" spans="1:34" ht="26.25" customHeight="1">
      <c r="A430" s="90"/>
      <c r="B430" s="88"/>
      <c r="C430" s="2"/>
      <c r="D430" s="2"/>
      <c r="E430" s="94"/>
      <c r="F430" s="74"/>
      <c r="G430" s="45"/>
      <c r="H430" s="119"/>
      <c r="I430" s="133"/>
      <c r="J430" s="158"/>
      <c r="K430" s="74"/>
      <c r="L430" s="156"/>
      <c r="M430" s="90"/>
      <c r="N430" s="90"/>
      <c r="O430" s="90"/>
      <c r="P430" s="94"/>
      <c r="Q430" s="94"/>
      <c r="R430" s="94"/>
      <c r="S430" s="94"/>
      <c r="T430" s="90"/>
      <c r="U430" s="90"/>
      <c r="V430" s="90"/>
      <c r="W430" s="375"/>
      <c r="X430" s="106"/>
      <c r="Y430" s="106"/>
      <c r="Z430" s="106"/>
      <c r="AA430" s="106"/>
      <c r="AB430" s="106"/>
      <c r="AC430" s="94"/>
      <c r="AD430" s="94"/>
      <c r="AE430" s="94"/>
      <c r="AF430" s="94"/>
      <c r="AG430" s="94"/>
      <c r="AH430" s="263"/>
    </row>
    <row r="431" spans="1:34" ht="26.25" customHeight="1">
      <c r="A431" s="90"/>
      <c r="B431" s="88"/>
      <c r="C431" s="2"/>
      <c r="D431" s="2"/>
      <c r="E431" s="94"/>
      <c r="F431" s="74"/>
      <c r="G431" s="45"/>
      <c r="H431" s="119"/>
      <c r="I431" s="133"/>
      <c r="J431" s="158"/>
      <c r="K431" s="74"/>
      <c r="L431" s="156"/>
      <c r="M431" s="90"/>
      <c r="N431" s="90"/>
      <c r="O431" s="90"/>
      <c r="P431" s="94"/>
      <c r="Q431" s="94"/>
      <c r="R431" s="94"/>
      <c r="S431" s="94"/>
      <c r="T431" s="90"/>
      <c r="U431" s="90"/>
      <c r="V431" s="90"/>
      <c r="W431" s="375"/>
      <c r="X431" s="106"/>
      <c r="Y431" s="106"/>
      <c r="Z431" s="106"/>
      <c r="AA431" s="106"/>
      <c r="AB431" s="106"/>
      <c r="AC431" s="94"/>
      <c r="AD431" s="94"/>
      <c r="AE431" s="94"/>
      <c r="AF431" s="94"/>
      <c r="AG431" s="94"/>
      <c r="AH431" s="263"/>
    </row>
    <row r="432" spans="1:34" ht="26.25" customHeight="1">
      <c r="A432" s="90"/>
      <c r="B432" s="88"/>
      <c r="C432" s="2"/>
      <c r="D432" s="2"/>
      <c r="E432" s="94"/>
      <c r="F432" s="74"/>
      <c r="G432" s="45"/>
      <c r="H432" s="119"/>
      <c r="I432" s="133"/>
      <c r="J432" s="158"/>
      <c r="K432" s="74"/>
      <c r="L432" s="156"/>
      <c r="M432" s="90"/>
      <c r="N432" s="90"/>
      <c r="O432" s="90"/>
      <c r="P432" s="94"/>
      <c r="Q432" s="94"/>
      <c r="R432" s="94"/>
      <c r="S432" s="94"/>
      <c r="T432" s="90"/>
      <c r="U432" s="90"/>
      <c r="V432" s="90"/>
      <c r="W432" s="375"/>
      <c r="X432" s="106"/>
      <c r="Y432" s="106"/>
      <c r="Z432" s="106"/>
      <c r="AA432" s="106"/>
      <c r="AB432" s="106"/>
      <c r="AC432" s="94"/>
      <c r="AD432" s="94"/>
      <c r="AE432" s="94"/>
      <c r="AF432" s="94"/>
      <c r="AG432" s="94"/>
      <c r="AH432" s="263"/>
    </row>
    <row r="433" spans="1:34" ht="26.25" customHeight="1">
      <c r="A433" s="90"/>
      <c r="B433" s="88"/>
      <c r="C433" s="94"/>
      <c r="D433" s="95"/>
      <c r="E433" s="94"/>
      <c r="F433" s="74"/>
      <c r="G433" s="45"/>
      <c r="H433" s="119"/>
      <c r="I433" s="133"/>
      <c r="J433" s="158"/>
      <c r="K433" s="74"/>
      <c r="L433" s="162"/>
      <c r="M433" s="90"/>
      <c r="N433" s="90"/>
      <c r="O433" s="90"/>
      <c r="P433" s="94"/>
      <c r="Q433" s="94"/>
      <c r="R433" s="94"/>
      <c r="S433" s="94"/>
      <c r="T433" s="90"/>
      <c r="U433" s="90"/>
      <c r="V433" s="90"/>
      <c r="W433" s="375"/>
      <c r="X433" s="106"/>
      <c r="Y433" s="106"/>
      <c r="Z433" s="106"/>
      <c r="AA433" s="106"/>
      <c r="AB433" s="106"/>
      <c r="AC433" s="94"/>
      <c r="AD433" s="94"/>
      <c r="AE433" s="94"/>
      <c r="AF433" s="94"/>
      <c r="AG433" s="94"/>
      <c r="AH433" s="263"/>
    </row>
    <row r="434" spans="1:34" ht="26.25" customHeight="1">
      <c r="A434" s="90"/>
      <c r="B434" s="224"/>
      <c r="C434" s="94"/>
      <c r="D434" s="95"/>
      <c r="E434" s="94"/>
      <c r="F434" s="74"/>
      <c r="G434" s="45"/>
      <c r="H434" s="119"/>
      <c r="I434" s="133"/>
      <c r="J434" s="158"/>
      <c r="K434" s="74"/>
      <c r="L434" s="162"/>
      <c r="M434" s="90"/>
      <c r="N434" s="90"/>
      <c r="O434" s="90"/>
      <c r="P434" s="94"/>
      <c r="Q434" s="94"/>
      <c r="R434" s="94"/>
      <c r="S434" s="94"/>
      <c r="T434" s="90"/>
      <c r="U434" s="90"/>
      <c r="V434" s="90"/>
      <c r="W434" s="375"/>
      <c r="X434" s="106"/>
      <c r="Y434" s="106"/>
      <c r="Z434" s="106"/>
      <c r="AA434" s="106"/>
      <c r="AB434" s="106"/>
      <c r="AC434" s="94"/>
      <c r="AD434" s="94"/>
      <c r="AE434" s="94"/>
      <c r="AF434" s="94"/>
      <c r="AG434" s="94"/>
      <c r="AH434" s="263"/>
    </row>
    <row r="435" spans="1:34" ht="26.25" customHeight="1">
      <c r="A435" s="90"/>
      <c r="B435" s="224"/>
      <c r="C435" s="94"/>
      <c r="D435" s="95"/>
      <c r="E435" s="94"/>
      <c r="F435" s="74"/>
      <c r="G435" s="45"/>
      <c r="H435" s="119"/>
      <c r="I435" s="133"/>
      <c r="J435" s="158"/>
      <c r="K435" s="74"/>
      <c r="L435" s="162"/>
      <c r="M435" s="90"/>
      <c r="N435" s="90"/>
      <c r="O435" s="90"/>
      <c r="P435" s="94"/>
      <c r="Q435" s="94"/>
      <c r="R435" s="94"/>
      <c r="S435" s="94"/>
      <c r="T435" s="90"/>
      <c r="U435" s="90"/>
      <c r="V435" s="90"/>
      <c r="W435" s="375"/>
      <c r="X435" s="106"/>
      <c r="Y435" s="106"/>
      <c r="Z435" s="106"/>
      <c r="AA435" s="106"/>
      <c r="AB435" s="106"/>
      <c r="AC435" s="94"/>
      <c r="AD435" s="94"/>
      <c r="AE435" s="94"/>
      <c r="AF435" s="94"/>
      <c r="AG435" s="94"/>
      <c r="AH435" s="263"/>
    </row>
    <row r="436" spans="1:34" ht="26.25" customHeight="1">
      <c r="A436" s="90"/>
      <c r="B436" s="88"/>
      <c r="C436" s="2"/>
      <c r="D436" s="2"/>
      <c r="E436" s="94"/>
      <c r="F436" s="74"/>
      <c r="G436" s="45"/>
      <c r="H436" s="119"/>
      <c r="I436" s="133"/>
      <c r="J436" s="158"/>
      <c r="K436" s="74"/>
      <c r="L436" s="156"/>
      <c r="M436" s="90"/>
      <c r="N436" s="90"/>
      <c r="O436" s="90"/>
      <c r="P436" s="94"/>
      <c r="Q436" s="94"/>
      <c r="R436" s="94"/>
      <c r="S436" s="94"/>
      <c r="T436" s="90"/>
      <c r="U436" s="90"/>
      <c r="V436" s="90"/>
      <c r="W436" s="375"/>
      <c r="X436" s="106"/>
      <c r="Y436" s="106"/>
      <c r="Z436" s="106"/>
      <c r="AA436" s="106"/>
      <c r="AB436" s="106"/>
      <c r="AC436" s="94"/>
      <c r="AD436" s="94"/>
      <c r="AE436" s="94"/>
      <c r="AF436" s="94"/>
      <c r="AG436" s="94"/>
      <c r="AH436" s="263"/>
    </row>
    <row r="437" spans="1:34" ht="26.25" customHeight="1">
      <c r="A437" s="90"/>
      <c r="B437" s="88"/>
      <c r="C437" s="2"/>
      <c r="D437" s="2"/>
      <c r="E437" s="94"/>
      <c r="F437" s="74"/>
      <c r="G437" s="45"/>
      <c r="H437" s="119"/>
      <c r="I437" s="133"/>
      <c r="J437" s="158"/>
      <c r="K437" s="74"/>
      <c r="L437" s="156"/>
      <c r="M437" s="90"/>
      <c r="N437" s="90"/>
      <c r="O437" s="90"/>
      <c r="P437" s="94"/>
      <c r="Q437" s="94"/>
      <c r="R437" s="94"/>
      <c r="S437" s="94"/>
      <c r="T437" s="90"/>
      <c r="U437" s="90"/>
      <c r="V437" s="90"/>
      <c r="W437" s="375"/>
      <c r="X437" s="106"/>
      <c r="Y437" s="106"/>
      <c r="Z437" s="106"/>
      <c r="AA437" s="106"/>
      <c r="AB437" s="106"/>
      <c r="AC437" s="94"/>
      <c r="AD437" s="94"/>
      <c r="AE437" s="94"/>
      <c r="AF437" s="94"/>
      <c r="AG437" s="94"/>
      <c r="AH437" s="263"/>
    </row>
    <row r="438" spans="1:34" ht="26.25" customHeight="1">
      <c r="A438" s="90"/>
      <c r="B438" s="88"/>
      <c r="C438" s="2"/>
      <c r="D438" s="2"/>
      <c r="E438" s="94"/>
      <c r="F438" s="74"/>
      <c r="G438" s="45"/>
      <c r="H438" s="119"/>
      <c r="I438" s="133"/>
      <c r="J438" s="158"/>
      <c r="K438" s="74"/>
      <c r="L438" s="156"/>
      <c r="M438" s="90"/>
      <c r="N438" s="90"/>
      <c r="O438" s="90"/>
      <c r="P438" s="94"/>
      <c r="Q438" s="94"/>
      <c r="R438" s="94"/>
      <c r="S438" s="94"/>
      <c r="T438" s="90"/>
      <c r="U438" s="90"/>
      <c r="V438" s="90"/>
      <c r="W438" s="375"/>
      <c r="X438" s="106"/>
      <c r="Y438" s="106"/>
      <c r="Z438" s="106"/>
      <c r="AA438" s="106"/>
      <c r="AB438" s="106"/>
      <c r="AC438" s="94"/>
      <c r="AD438" s="94"/>
      <c r="AE438" s="94"/>
      <c r="AF438" s="94"/>
      <c r="AG438" s="94"/>
      <c r="AH438" s="263"/>
    </row>
    <row r="439" spans="1:34" ht="26.25" customHeight="1">
      <c r="A439" s="90"/>
      <c r="B439" s="88"/>
      <c r="C439" s="2"/>
      <c r="D439" s="2"/>
      <c r="E439" s="94"/>
      <c r="F439" s="74"/>
      <c r="G439" s="45"/>
      <c r="H439" s="119"/>
      <c r="I439" s="133"/>
      <c r="J439" s="158"/>
      <c r="K439" s="74"/>
      <c r="L439" s="156"/>
      <c r="M439" s="90"/>
      <c r="N439" s="90"/>
      <c r="O439" s="90"/>
      <c r="P439" s="94"/>
      <c r="Q439" s="94"/>
      <c r="R439" s="94"/>
      <c r="S439" s="94"/>
      <c r="T439" s="90"/>
      <c r="U439" s="90"/>
      <c r="V439" s="90"/>
      <c r="W439" s="375"/>
      <c r="X439" s="106"/>
      <c r="Y439" s="106"/>
      <c r="Z439" s="106"/>
      <c r="AA439" s="106"/>
      <c r="AB439" s="106"/>
      <c r="AC439" s="94"/>
      <c r="AD439" s="94"/>
      <c r="AE439" s="94"/>
      <c r="AF439" s="94"/>
      <c r="AG439" s="94"/>
      <c r="AH439" s="263"/>
    </row>
    <row r="440" spans="1:34" ht="26.25" customHeight="1">
      <c r="A440" s="90"/>
      <c r="B440" s="88"/>
      <c r="C440" s="2"/>
      <c r="D440" s="2"/>
      <c r="E440" s="94"/>
      <c r="F440" s="74"/>
      <c r="G440" s="45"/>
      <c r="H440" s="119"/>
      <c r="I440" s="133"/>
      <c r="J440" s="158"/>
      <c r="K440" s="74"/>
      <c r="L440" s="156"/>
      <c r="M440" s="90"/>
      <c r="N440" s="90"/>
      <c r="O440" s="90"/>
      <c r="P440" s="94"/>
      <c r="Q440" s="94"/>
      <c r="R440" s="94"/>
      <c r="S440" s="94"/>
      <c r="T440" s="90"/>
      <c r="U440" s="90"/>
      <c r="V440" s="90"/>
      <c r="W440" s="375"/>
      <c r="X440" s="106"/>
      <c r="Y440" s="106"/>
      <c r="Z440" s="106"/>
      <c r="AA440" s="106"/>
      <c r="AB440" s="106"/>
      <c r="AC440" s="94"/>
      <c r="AD440" s="94"/>
      <c r="AE440" s="94"/>
      <c r="AF440" s="94"/>
      <c r="AG440" s="94"/>
      <c r="AH440" s="263"/>
    </row>
    <row r="441" spans="1:34" ht="26.25" customHeight="1">
      <c r="A441" s="90"/>
      <c r="B441" s="88"/>
      <c r="C441" s="94"/>
      <c r="D441" s="95"/>
      <c r="E441" s="94"/>
      <c r="F441" s="74"/>
      <c r="G441" s="45"/>
      <c r="H441" s="119"/>
      <c r="I441" s="133"/>
      <c r="J441" s="158"/>
      <c r="K441" s="74"/>
      <c r="L441" s="162"/>
      <c r="M441" s="90"/>
      <c r="N441" s="90"/>
      <c r="O441" s="90"/>
      <c r="P441" s="94"/>
      <c r="Q441" s="94"/>
      <c r="R441" s="94"/>
      <c r="S441" s="94"/>
      <c r="T441" s="90"/>
      <c r="U441" s="90"/>
      <c r="V441" s="90"/>
      <c r="W441" s="375"/>
      <c r="X441" s="106"/>
      <c r="Y441" s="106"/>
      <c r="Z441" s="106"/>
      <c r="AA441" s="106"/>
      <c r="AB441" s="106"/>
      <c r="AC441" s="94"/>
      <c r="AD441" s="94"/>
      <c r="AE441" s="94"/>
      <c r="AF441" s="94"/>
      <c r="AG441" s="94"/>
      <c r="AH441" s="263"/>
    </row>
    <row r="442" spans="1:34" ht="26.25" customHeight="1">
      <c r="A442" s="90"/>
      <c r="B442" s="224"/>
      <c r="C442" s="94"/>
      <c r="D442" s="95"/>
      <c r="E442" s="94"/>
      <c r="F442" s="74"/>
      <c r="G442" s="45"/>
      <c r="H442" s="119"/>
      <c r="I442" s="133"/>
      <c r="J442" s="158"/>
      <c r="K442" s="74"/>
      <c r="L442" s="162"/>
      <c r="M442" s="90"/>
      <c r="N442" s="90"/>
      <c r="O442" s="90"/>
      <c r="P442" s="94"/>
      <c r="Q442" s="94"/>
      <c r="R442" s="94"/>
      <c r="S442" s="94"/>
      <c r="T442" s="90"/>
      <c r="U442" s="90"/>
      <c r="V442" s="90"/>
      <c r="W442" s="375"/>
      <c r="X442" s="106"/>
      <c r="Y442" s="106"/>
      <c r="Z442" s="106"/>
      <c r="AA442" s="106"/>
      <c r="AB442" s="106"/>
      <c r="AC442" s="94"/>
      <c r="AD442" s="94"/>
      <c r="AE442" s="94"/>
      <c r="AF442" s="94"/>
      <c r="AG442" s="94"/>
      <c r="AH442" s="263"/>
    </row>
    <row r="443" spans="1:34" ht="26.25" customHeight="1">
      <c r="A443" s="90"/>
      <c r="B443" s="224"/>
      <c r="C443" s="94"/>
      <c r="D443" s="95"/>
      <c r="E443" s="94"/>
      <c r="F443" s="74"/>
      <c r="G443" s="45"/>
      <c r="H443" s="119"/>
      <c r="I443" s="133"/>
      <c r="J443" s="158"/>
      <c r="K443" s="74"/>
      <c r="L443" s="162"/>
      <c r="M443" s="90"/>
      <c r="N443" s="90"/>
      <c r="O443" s="90"/>
      <c r="P443" s="94"/>
      <c r="Q443" s="94"/>
      <c r="R443" s="94"/>
      <c r="S443" s="94"/>
      <c r="T443" s="90"/>
      <c r="U443" s="90"/>
      <c r="V443" s="90"/>
      <c r="W443" s="375"/>
      <c r="X443" s="106"/>
      <c r="Y443" s="106"/>
      <c r="Z443" s="106"/>
      <c r="AA443" s="106"/>
      <c r="AB443" s="106"/>
      <c r="AC443" s="94"/>
      <c r="AD443" s="94"/>
      <c r="AE443" s="94"/>
      <c r="AF443" s="94"/>
      <c r="AG443" s="94"/>
      <c r="AH443" s="263"/>
    </row>
    <row r="444" spans="1:34" ht="26.25" customHeight="1">
      <c r="A444" s="90"/>
      <c r="B444" s="88"/>
      <c r="C444" s="2"/>
      <c r="D444" s="2"/>
      <c r="E444" s="94"/>
      <c r="F444" s="74"/>
      <c r="G444" s="45"/>
      <c r="H444" s="119"/>
      <c r="I444" s="133"/>
      <c r="J444" s="158"/>
      <c r="K444" s="74"/>
      <c r="L444" s="156"/>
      <c r="M444" s="90"/>
      <c r="N444" s="90"/>
      <c r="O444" s="90"/>
      <c r="P444" s="94"/>
      <c r="Q444" s="94"/>
      <c r="R444" s="94"/>
      <c r="S444" s="94"/>
      <c r="T444" s="90"/>
      <c r="U444" s="90"/>
      <c r="V444" s="90"/>
      <c r="W444" s="375"/>
      <c r="X444" s="106"/>
      <c r="Y444" s="106"/>
      <c r="Z444" s="106"/>
      <c r="AA444" s="106"/>
      <c r="AB444" s="106"/>
      <c r="AC444" s="94"/>
      <c r="AD444" s="94"/>
      <c r="AE444" s="94"/>
      <c r="AF444" s="94"/>
      <c r="AG444" s="94"/>
      <c r="AH444" s="263"/>
    </row>
    <row r="445" spans="1:34" ht="26.25" customHeight="1">
      <c r="A445" s="90"/>
      <c r="B445" s="88"/>
      <c r="C445" s="2"/>
      <c r="D445" s="2"/>
      <c r="E445" s="94"/>
      <c r="F445" s="74"/>
      <c r="G445" s="45"/>
      <c r="H445" s="119"/>
      <c r="I445" s="133"/>
      <c r="J445" s="158"/>
      <c r="K445" s="74"/>
      <c r="L445" s="156"/>
      <c r="M445" s="90"/>
      <c r="N445" s="90"/>
      <c r="O445" s="90"/>
      <c r="P445" s="94"/>
      <c r="Q445" s="94"/>
      <c r="R445" s="94"/>
      <c r="S445" s="94"/>
      <c r="T445" s="90"/>
      <c r="U445" s="90"/>
      <c r="V445" s="90"/>
      <c r="W445" s="375"/>
      <c r="X445" s="106"/>
      <c r="Y445" s="106"/>
      <c r="Z445" s="106"/>
      <c r="AA445" s="106"/>
      <c r="AB445" s="106"/>
      <c r="AC445" s="94"/>
      <c r="AD445" s="94"/>
      <c r="AE445" s="94"/>
      <c r="AF445" s="94"/>
      <c r="AG445" s="94"/>
      <c r="AH445" s="263"/>
    </row>
    <row r="446" spans="1:34" ht="26.25" customHeight="1">
      <c r="A446" s="90"/>
      <c r="B446" s="88"/>
      <c r="C446" s="2"/>
      <c r="D446" s="2"/>
      <c r="E446" s="94"/>
      <c r="F446" s="74"/>
      <c r="G446" s="45"/>
      <c r="H446" s="119"/>
      <c r="I446" s="133"/>
      <c r="J446" s="158"/>
      <c r="K446" s="74"/>
      <c r="L446" s="156"/>
      <c r="M446" s="90"/>
      <c r="N446" s="90"/>
      <c r="O446" s="90"/>
      <c r="P446" s="94"/>
      <c r="Q446" s="94"/>
      <c r="R446" s="94"/>
      <c r="S446" s="94"/>
      <c r="T446" s="90"/>
      <c r="U446" s="90"/>
      <c r="V446" s="90"/>
      <c r="W446" s="375"/>
      <c r="X446" s="106"/>
      <c r="Y446" s="106"/>
      <c r="Z446" s="106"/>
      <c r="AA446" s="106"/>
      <c r="AB446" s="106"/>
      <c r="AC446" s="94"/>
      <c r="AD446" s="94"/>
      <c r="AE446" s="94"/>
      <c r="AF446" s="94"/>
      <c r="AG446" s="94"/>
      <c r="AH446" s="263"/>
    </row>
    <row r="447" spans="1:34" ht="26.25" customHeight="1">
      <c r="A447" s="90"/>
      <c r="B447" s="88"/>
      <c r="C447" s="2"/>
      <c r="D447" s="2"/>
      <c r="E447" s="94"/>
      <c r="F447" s="74"/>
      <c r="G447" s="45"/>
      <c r="H447" s="119"/>
      <c r="I447" s="133"/>
      <c r="J447" s="158"/>
      <c r="K447" s="74"/>
      <c r="L447" s="156"/>
      <c r="M447" s="90"/>
      <c r="N447" s="90"/>
      <c r="O447" s="90"/>
      <c r="P447" s="94"/>
      <c r="Q447" s="94"/>
      <c r="R447" s="94"/>
      <c r="S447" s="94"/>
      <c r="T447" s="90"/>
      <c r="U447" s="90"/>
      <c r="V447" s="90"/>
      <c r="W447" s="375"/>
      <c r="X447" s="106"/>
      <c r="Y447" s="106"/>
      <c r="Z447" s="106"/>
      <c r="AA447" s="106"/>
      <c r="AB447" s="106"/>
      <c r="AC447" s="94"/>
      <c r="AD447" s="94"/>
      <c r="AE447" s="94"/>
      <c r="AF447" s="94"/>
      <c r="AG447" s="94"/>
      <c r="AH447" s="263"/>
    </row>
    <row r="448" spans="1:34" ht="26.25" customHeight="1">
      <c r="A448" s="90"/>
      <c r="B448" s="88"/>
      <c r="C448" s="2"/>
      <c r="D448" s="2"/>
      <c r="E448" s="94"/>
      <c r="F448" s="74"/>
      <c r="G448" s="45"/>
      <c r="H448" s="119"/>
      <c r="I448" s="133"/>
      <c r="J448" s="158"/>
      <c r="K448" s="74"/>
      <c r="L448" s="156"/>
      <c r="M448" s="90"/>
      <c r="N448" s="90"/>
      <c r="O448" s="90"/>
      <c r="P448" s="94"/>
      <c r="Q448" s="94"/>
      <c r="R448" s="94"/>
      <c r="S448" s="94"/>
      <c r="T448" s="90"/>
      <c r="U448" s="90"/>
      <c r="V448" s="90"/>
      <c r="W448" s="375"/>
      <c r="X448" s="106"/>
      <c r="Y448" s="106"/>
      <c r="Z448" s="106"/>
      <c r="AA448" s="106"/>
      <c r="AB448" s="106"/>
      <c r="AC448" s="94"/>
      <c r="AD448" s="94"/>
      <c r="AE448" s="94"/>
      <c r="AF448" s="94"/>
      <c r="AG448" s="94"/>
      <c r="AH448" s="263"/>
    </row>
    <row r="449" spans="1:34" ht="26.25" customHeight="1">
      <c r="A449" s="90"/>
      <c r="B449" s="88"/>
      <c r="C449" s="94"/>
      <c r="D449" s="95"/>
      <c r="E449" s="94"/>
      <c r="F449" s="74"/>
      <c r="G449" s="45"/>
      <c r="H449" s="119"/>
      <c r="I449" s="133"/>
      <c r="J449" s="158"/>
      <c r="K449" s="74"/>
      <c r="L449" s="162"/>
      <c r="M449" s="90"/>
      <c r="N449" s="90"/>
      <c r="O449" s="90"/>
      <c r="P449" s="94"/>
      <c r="Q449" s="94"/>
      <c r="R449" s="94"/>
      <c r="S449" s="94"/>
      <c r="T449" s="90"/>
      <c r="U449" s="90"/>
      <c r="V449" s="90"/>
      <c r="W449" s="375"/>
      <c r="X449" s="106"/>
      <c r="Y449" s="106"/>
      <c r="Z449" s="106"/>
      <c r="AA449" s="106"/>
      <c r="AB449" s="106"/>
      <c r="AC449" s="94"/>
      <c r="AD449" s="94"/>
      <c r="AE449" s="94"/>
      <c r="AF449" s="94"/>
      <c r="AG449" s="94"/>
      <c r="AH449" s="263"/>
    </row>
    <row r="450" spans="1:34" ht="26.25" customHeight="1">
      <c r="A450" s="90"/>
      <c r="B450" s="224"/>
      <c r="C450" s="94"/>
      <c r="D450" s="95"/>
      <c r="E450" s="94"/>
      <c r="F450" s="74"/>
      <c r="G450" s="45"/>
      <c r="H450" s="119"/>
      <c r="I450" s="133"/>
      <c r="J450" s="158"/>
      <c r="K450" s="74"/>
      <c r="L450" s="162"/>
      <c r="M450" s="90"/>
      <c r="N450" s="90"/>
      <c r="O450" s="90"/>
      <c r="P450" s="94"/>
      <c r="Q450" s="94"/>
      <c r="R450" s="94"/>
      <c r="S450" s="94"/>
      <c r="T450" s="90"/>
      <c r="U450" s="90"/>
      <c r="V450" s="90"/>
      <c r="W450" s="375"/>
      <c r="X450" s="106"/>
      <c r="Y450" s="106"/>
      <c r="Z450" s="106"/>
      <c r="AA450" s="106"/>
      <c r="AB450" s="106"/>
      <c r="AC450" s="94"/>
      <c r="AD450" s="94"/>
      <c r="AE450" s="94"/>
      <c r="AF450" s="94"/>
      <c r="AG450" s="94"/>
      <c r="AH450" s="263"/>
    </row>
    <row r="451" spans="1:34" ht="26.25" customHeight="1">
      <c r="A451" s="90"/>
      <c r="B451" s="224"/>
      <c r="C451" s="94"/>
      <c r="D451" s="95"/>
      <c r="E451" s="94"/>
      <c r="F451" s="74"/>
      <c r="G451" s="45"/>
      <c r="H451" s="119"/>
      <c r="I451" s="133"/>
      <c r="J451" s="158"/>
      <c r="K451" s="74"/>
      <c r="L451" s="162"/>
      <c r="M451" s="90"/>
      <c r="N451" s="90"/>
      <c r="O451" s="90"/>
      <c r="P451" s="94"/>
      <c r="Q451" s="94"/>
      <c r="R451" s="94"/>
      <c r="S451" s="94"/>
      <c r="T451" s="90"/>
      <c r="U451" s="90"/>
      <c r="V451" s="90"/>
      <c r="W451" s="375"/>
      <c r="X451" s="106"/>
      <c r="Y451" s="106"/>
      <c r="Z451" s="106"/>
      <c r="AA451" s="106"/>
      <c r="AB451" s="106"/>
      <c r="AC451" s="94"/>
      <c r="AD451" s="94"/>
      <c r="AE451" s="94"/>
      <c r="AF451" s="94"/>
      <c r="AG451" s="94"/>
      <c r="AH451" s="263"/>
    </row>
    <row r="452" spans="1:34" ht="26.25" customHeight="1">
      <c r="A452" s="90"/>
      <c r="B452" s="88"/>
      <c r="C452" s="2"/>
      <c r="D452" s="2"/>
      <c r="E452" s="94"/>
      <c r="F452" s="74"/>
      <c r="G452" s="45"/>
      <c r="H452" s="119"/>
      <c r="I452" s="133"/>
      <c r="J452" s="158"/>
      <c r="K452" s="74"/>
      <c r="L452" s="156"/>
      <c r="M452" s="90"/>
      <c r="N452" s="90"/>
      <c r="O452" s="90"/>
      <c r="P452" s="94"/>
      <c r="Q452" s="94"/>
      <c r="R452" s="94"/>
      <c r="S452" s="94"/>
      <c r="T452" s="90"/>
      <c r="U452" s="90"/>
      <c r="V452" s="90"/>
      <c r="W452" s="375"/>
      <c r="X452" s="106"/>
      <c r="Y452" s="106"/>
      <c r="Z452" s="106"/>
      <c r="AA452" s="106"/>
      <c r="AB452" s="106"/>
      <c r="AC452" s="94"/>
      <c r="AD452" s="94"/>
      <c r="AE452" s="94"/>
      <c r="AF452" s="94"/>
      <c r="AG452" s="94"/>
      <c r="AH452" s="263"/>
    </row>
    <row r="453" spans="1:34" ht="26.25" customHeight="1">
      <c r="A453" s="90"/>
      <c r="B453" s="88"/>
      <c r="C453" s="2"/>
      <c r="D453" s="2"/>
      <c r="E453" s="94"/>
      <c r="F453" s="74"/>
      <c r="G453" s="45"/>
      <c r="H453" s="119"/>
      <c r="I453" s="133"/>
      <c r="J453" s="158"/>
      <c r="K453" s="74"/>
      <c r="L453" s="156"/>
      <c r="M453" s="90"/>
      <c r="N453" s="90"/>
      <c r="O453" s="90"/>
      <c r="P453" s="94"/>
      <c r="Q453" s="94"/>
      <c r="R453" s="94"/>
      <c r="S453" s="94"/>
      <c r="T453" s="90"/>
      <c r="U453" s="90"/>
      <c r="V453" s="90"/>
      <c r="W453" s="375"/>
      <c r="X453" s="106"/>
      <c r="Y453" s="106"/>
      <c r="Z453" s="106"/>
      <c r="AA453" s="106"/>
      <c r="AB453" s="106"/>
      <c r="AC453" s="94"/>
      <c r="AD453" s="94"/>
      <c r="AE453" s="94"/>
      <c r="AF453" s="94"/>
      <c r="AG453" s="94"/>
      <c r="AH453" s="263"/>
    </row>
    <row r="454" spans="1:34" ht="26.25" customHeight="1">
      <c r="A454" s="90"/>
      <c r="B454" s="88"/>
      <c r="C454" s="2"/>
      <c r="D454" s="2"/>
      <c r="E454" s="94"/>
      <c r="F454" s="74"/>
      <c r="G454" s="45"/>
      <c r="H454" s="119"/>
      <c r="I454" s="133"/>
      <c r="J454" s="158"/>
      <c r="K454" s="74"/>
      <c r="L454" s="156"/>
      <c r="M454" s="90"/>
      <c r="N454" s="90"/>
      <c r="O454" s="90"/>
      <c r="P454" s="94"/>
      <c r="Q454" s="94"/>
      <c r="R454" s="94"/>
      <c r="S454" s="94"/>
      <c r="T454" s="90"/>
      <c r="U454" s="90"/>
      <c r="V454" s="90"/>
      <c r="W454" s="375"/>
      <c r="X454" s="106"/>
      <c r="Y454" s="106"/>
      <c r="Z454" s="106"/>
      <c r="AA454" s="106"/>
      <c r="AB454" s="106"/>
      <c r="AC454" s="94"/>
      <c r="AD454" s="94"/>
      <c r="AE454" s="94"/>
      <c r="AF454" s="94"/>
      <c r="AG454" s="94"/>
      <c r="AH454" s="263"/>
    </row>
    <row r="455" spans="1:34" ht="26.25" customHeight="1">
      <c r="A455" s="90"/>
      <c r="B455" s="88"/>
      <c r="C455" s="2"/>
      <c r="D455" s="2"/>
      <c r="E455" s="94"/>
      <c r="F455" s="74"/>
      <c r="G455" s="45"/>
      <c r="H455" s="119"/>
      <c r="I455" s="133"/>
      <c r="J455" s="158"/>
      <c r="K455" s="74"/>
      <c r="L455" s="156"/>
      <c r="M455" s="90"/>
      <c r="N455" s="90"/>
      <c r="O455" s="90"/>
      <c r="P455" s="94"/>
      <c r="Q455" s="94"/>
      <c r="R455" s="94"/>
      <c r="S455" s="94"/>
      <c r="T455" s="90"/>
      <c r="U455" s="90"/>
      <c r="V455" s="90"/>
      <c r="W455" s="375"/>
      <c r="X455" s="106"/>
      <c r="Y455" s="106"/>
      <c r="Z455" s="106"/>
      <c r="AA455" s="106"/>
      <c r="AB455" s="106"/>
      <c r="AC455" s="94"/>
      <c r="AD455" s="94"/>
      <c r="AE455" s="94"/>
      <c r="AF455" s="94"/>
      <c r="AG455" s="94"/>
      <c r="AH455" s="263"/>
    </row>
    <row r="456" spans="1:34" ht="26.25" customHeight="1">
      <c r="A456" s="90"/>
      <c r="B456" s="88"/>
      <c r="C456" s="2"/>
      <c r="D456" s="2"/>
      <c r="E456" s="94"/>
      <c r="F456" s="74"/>
      <c r="G456" s="45"/>
      <c r="H456" s="119"/>
      <c r="I456" s="133"/>
      <c r="J456" s="158"/>
      <c r="K456" s="74"/>
      <c r="L456" s="156"/>
      <c r="M456" s="90"/>
      <c r="N456" s="90"/>
      <c r="O456" s="90"/>
      <c r="P456" s="94"/>
      <c r="Q456" s="94"/>
      <c r="R456" s="94"/>
      <c r="S456" s="94"/>
      <c r="T456" s="90"/>
      <c r="U456" s="90"/>
      <c r="V456" s="90"/>
      <c r="W456" s="375"/>
      <c r="X456" s="106"/>
      <c r="Y456" s="106"/>
      <c r="Z456" s="106"/>
      <c r="AA456" s="106"/>
      <c r="AB456" s="106"/>
      <c r="AC456" s="94"/>
      <c r="AD456" s="94"/>
      <c r="AE456" s="94"/>
      <c r="AF456" s="94"/>
      <c r="AG456" s="94"/>
      <c r="AH456" s="263"/>
    </row>
    <row r="457" spans="1:34" ht="26.25" customHeight="1">
      <c r="A457" s="90"/>
      <c r="B457" s="88"/>
      <c r="C457" s="94"/>
      <c r="D457" s="95"/>
      <c r="E457" s="94"/>
      <c r="F457" s="74"/>
      <c r="G457" s="45"/>
      <c r="H457" s="119"/>
      <c r="I457" s="133"/>
      <c r="J457" s="158"/>
      <c r="K457" s="74"/>
      <c r="L457" s="162"/>
      <c r="M457" s="90"/>
      <c r="N457" s="90"/>
      <c r="O457" s="90"/>
      <c r="P457" s="94"/>
      <c r="Q457" s="94"/>
      <c r="R457" s="94"/>
      <c r="S457" s="94"/>
      <c r="T457" s="90"/>
      <c r="U457" s="90"/>
      <c r="V457" s="90"/>
      <c r="W457" s="375"/>
      <c r="X457" s="106"/>
      <c r="Y457" s="106"/>
      <c r="Z457" s="106"/>
      <c r="AA457" s="106"/>
      <c r="AB457" s="106"/>
      <c r="AC457" s="94"/>
      <c r="AD457" s="94"/>
      <c r="AE457" s="94"/>
      <c r="AF457" s="94"/>
      <c r="AG457" s="94"/>
      <c r="AH457" s="263"/>
    </row>
    <row r="458" spans="1:34" ht="26.25" customHeight="1">
      <c r="A458" s="90"/>
      <c r="B458" s="224"/>
      <c r="C458" s="94"/>
      <c r="D458" s="95"/>
      <c r="E458" s="94"/>
      <c r="F458" s="74"/>
      <c r="G458" s="45"/>
      <c r="H458" s="119"/>
      <c r="I458" s="133"/>
      <c r="J458" s="158"/>
      <c r="K458" s="74"/>
      <c r="L458" s="162"/>
      <c r="M458" s="90"/>
      <c r="N458" s="90"/>
      <c r="O458" s="90"/>
      <c r="P458" s="94"/>
      <c r="Q458" s="94"/>
      <c r="R458" s="94"/>
      <c r="S458" s="94"/>
      <c r="T458" s="90"/>
      <c r="U458" s="90"/>
      <c r="V458" s="90"/>
      <c r="W458" s="375"/>
      <c r="X458" s="106"/>
      <c r="Y458" s="106"/>
      <c r="Z458" s="106"/>
      <c r="AA458" s="106"/>
      <c r="AB458" s="106"/>
      <c r="AC458" s="94"/>
      <c r="AD458" s="94"/>
      <c r="AE458" s="94"/>
      <c r="AF458" s="94"/>
      <c r="AG458" s="94"/>
      <c r="AH458" s="263"/>
    </row>
    <row r="459" spans="1:34" ht="26.25" customHeight="1">
      <c r="A459" s="90"/>
      <c r="B459" s="224"/>
      <c r="C459" s="94"/>
      <c r="D459" s="95"/>
      <c r="E459" s="94"/>
      <c r="F459" s="74"/>
      <c r="G459" s="45"/>
      <c r="H459" s="119"/>
      <c r="I459" s="133"/>
      <c r="J459" s="158"/>
      <c r="K459" s="74"/>
      <c r="L459" s="162"/>
      <c r="M459" s="90"/>
      <c r="N459" s="90"/>
      <c r="O459" s="90"/>
      <c r="P459" s="94"/>
      <c r="Q459" s="94"/>
      <c r="R459" s="94"/>
      <c r="S459" s="94"/>
      <c r="T459" s="90"/>
      <c r="U459" s="90"/>
      <c r="V459" s="90"/>
      <c r="W459" s="375"/>
      <c r="X459" s="106"/>
      <c r="Y459" s="106"/>
      <c r="Z459" s="106"/>
      <c r="AA459" s="106"/>
      <c r="AB459" s="106"/>
      <c r="AC459" s="94"/>
      <c r="AD459" s="94"/>
      <c r="AE459" s="94"/>
      <c r="AF459" s="94"/>
      <c r="AG459" s="94"/>
      <c r="AH459" s="263"/>
    </row>
  </sheetData>
  <mergeCells count="14">
    <mergeCell ref="AC332:AC336"/>
    <mergeCell ref="C319:C321"/>
    <mergeCell ref="C283:D283"/>
    <mergeCell ref="C276:D276"/>
    <mergeCell ref="D56:E56"/>
    <mergeCell ref="AC272:AC273"/>
    <mergeCell ref="D272:D273"/>
    <mergeCell ref="AD229:AD231"/>
    <mergeCell ref="C152:D154"/>
    <mergeCell ref="C210:C216"/>
    <mergeCell ref="G213:G216"/>
    <mergeCell ref="AC112:AC115"/>
    <mergeCell ref="AC134:AC137"/>
    <mergeCell ref="AC170:AC171"/>
  </mergeCells>
  <phoneticPr fontId="31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9C83-6CAB-47AA-98B0-B8578FB6DDBB}">
  <dimension ref="A1:AH363"/>
  <sheetViews>
    <sheetView zoomScale="75" zoomScaleNormal="75" workbookViewId="0">
      <pane xSplit="9" ySplit="11" topLeftCell="J12" activePane="bottomRight" state="frozen"/>
      <selection activeCell="E17" sqref="E17"/>
      <selection pane="topRight" activeCell="E17" sqref="E17"/>
      <selection pane="bottomLeft" activeCell="E17" sqref="E17"/>
      <selection pane="bottomRight" activeCell="F15" sqref="F15"/>
    </sheetView>
  </sheetViews>
  <sheetFormatPr defaultColWidth="9" defaultRowHeight="26.25" customHeight="1"/>
  <cols>
    <col min="1" max="1" width="13.6640625" style="100" customWidth="1"/>
    <col min="2" max="2" width="13.109375" style="255" customWidth="1"/>
    <col min="3" max="3" width="10.5546875" style="92" customWidth="1"/>
    <col min="4" max="4" width="13.109375" style="256" customWidth="1"/>
    <col min="5" max="5" width="4.33203125" style="92" customWidth="1"/>
    <col min="6" max="6" width="6.44140625" style="257" customWidth="1"/>
    <col min="7" max="7" width="7.44140625" style="144" customWidth="1"/>
    <col min="8" max="8" width="5.109375" style="258" customWidth="1"/>
    <col min="9" max="9" width="13.88671875" style="129" customWidth="1"/>
    <col min="10" max="10" width="7.44140625" style="60" customWidth="1"/>
    <col min="11" max="11" width="7.5546875" style="60" customWidth="1"/>
    <col min="12" max="12" width="12.109375" style="143" customWidth="1"/>
    <col min="13" max="13" width="7.33203125" style="100" customWidth="1"/>
    <col min="14" max="14" width="7.44140625" style="100" customWidth="1"/>
    <col min="15" max="15" width="6.109375" style="100" customWidth="1"/>
    <col min="16" max="16" width="8" style="92" customWidth="1"/>
    <col min="17" max="17" width="12.44140625" style="92" customWidth="1"/>
    <col min="18" max="18" width="12" style="92" customWidth="1"/>
    <col min="19" max="19" width="8" style="92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0.88671875" style="101" customWidth="1"/>
    <col min="24" max="24" width="6.5546875" style="102" customWidth="1"/>
    <col min="25" max="25" width="6.44140625" style="102" customWidth="1"/>
    <col min="26" max="26" width="7" style="102" customWidth="1"/>
    <col min="27" max="27" width="6.44140625" style="102" customWidth="1"/>
    <col min="28" max="28" width="6.33203125" style="102" customWidth="1"/>
    <col min="29" max="29" width="31.33203125" style="92" customWidth="1"/>
    <col min="30" max="30" width="22.5546875" style="92" customWidth="1"/>
    <col min="31" max="31" width="22.44140625" style="92" customWidth="1"/>
    <col min="32" max="16384" width="9" style="92"/>
  </cols>
  <sheetData>
    <row r="1" spans="1:34" ht="26.25" hidden="1" customHeight="1"/>
    <row r="2" spans="1:34" ht="26.25" hidden="1" customHeight="1"/>
    <row r="3" spans="1:34" ht="26.25" hidden="1" customHeight="1"/>
    <row r="4" spans="1:34" ht="26.25" hidden="1" customHeight="1"/>
    <row r="5" spans="1:34" ht="26.25" hidden="1" customHeight="1"/>
    <row r="6" spans="1:34" ht="26.25" hidden="1" customHeight="1"/>
    <row r="7" spans="1:34" ht="26.25" hidden="1" customHeight="1"/>
    <row r="8" spans="1:34" ht="26.25" hidden="1" customHeight="1"/>
    <row r="9" spans="1:34" ht="26.25" hidden="1" customHeight="1"/>
    <row r="10" spans="1:34" ht="26.25" hidden="1" customHeight="1"/>
    <row r="11" spans="1:34" ht="35.25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53" t="s">
        <v>1493</v>
      </c>
      <c r="G11" s="162" t="s">
        <v>1494</v>
      </c>
      <c r="H11" s="119" t="s">
        <v>5</v>
      </c>
      <c r="I11" s="133" t="s">
        <v>1491</v>
      </c>
      <c r="J11" s="133" t="s">
        <v>1490</v>
      </c>
      <c r="K11" s="53" t="s">
        <v>1487</v>
      </c>
      <c r="L11" s="162" t="s">
        <v>1492</v>
      </c>
      <c r="M11" s="259" t="s">
        <v>1489</v>
      </c>
      <c r="N11" s="259" t="s">
        <v>1488</v>
      </c>
      <c r="O11" s="90" t="s">
        <v>687</v>
      </c>
      <c r="P11" s="111" t="s">
        <v>1483</v>
      </c>
      <c r="Q11" s="111" t="s">
        <v>1484</v>
      </c>
      <c r="R11" s="111" t="s">
        <v>1485</v>
      </c>
      <c r="S11" s="111" t="s">
        <v>1486</v>
      </c>
      <c r="T11" s="259" t="s">
        <v>17</v>
      </c>
      <c r="U11" s="259" t="s">
        <v>18</v>
      </c>
      <c r="V11" s="259" t="s">
        <v>19</v>
      </c>
      <c r="W11" s="10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94"/>
      <c r="AF11" s="94">
        <v>115567</v>
      </c>
      <c r="AG11" s="94">
        <v>2476130</v>
      </c>
      <c r="AH11" s="94">
        <v>130072</v>
      </c>
    </row>
    <row r="12" spans="1:34" ht="19.5" customHeight="1">
      <c r="A12" s="90" t="s">
        <v>707</v>
      </c>
      <c r="B12" s="88">
        <v>2000001269</v>
      </c>
      <c r="C12" s="2" t="s">
        <v>2665</v>
      </c>
      <c r="D12" s="2">
        <v>2000001269</v>
      </c>
      <c r="E12" s="74">
        <v>10</v>
      </c>
      <c r="F12" s="261">
        <v>200</v>
      </c>
      <c r="G12" s="45">
        <f>F12*E12</f>
        <v>2000</v>
      </c>
      <c r="H12" s="119" t="s">
        <v>27</v>
      </c>
      <c r="I12" s="262">
        <v>45357</v>
      </c>
      <c r="J12" s="261">
        <v>200</v>
      </c>
      <c r="K12" s="74">
        <f>3+12</f>
        <v>15</v>
      </c>
      <c r="L12" s="156">
        <v>45317</v>
      </c>
      <c r="M12" s="90">
        <v>2000</v>
      </c>
      <c r="N12" s="90">
        <v>10</v>
      </c>
      <c r="O12" s="90" t="s">
        <v>1879</v>
      </c>
      <c r="P12" s="94" t="s">
        <v>160</v>
      </c>
      <c r="Q12" s="94">
        <v>8500067810</v>
      </c>
      <c r="R12" s="94">
        <v>5000268406</v>
      </c>
      <c r="S12" s="261">
        <v>200</v>
      </c>
      <c r="T12" s="90" t="s">
        <v>152</v>
      </c>
      <c r="U12" s="90">
        <v>8500067809</v>
      </c>
      <c r="V12" s="90">
        <v>5000161708</v>
      </c>
      <c r="W12" s="109">
        <v>45374</v>
      </c>
      <c r="X12" s="106">
        <f>156-156</f>
        <v>0</v>
      </c>
      <c r="Y12" s="106">
        <f>1560-1560</f>
        <v>0</v>
      </c>
      <c r="Z12" s="106" t="s">
        <v>800</v>
      </c>
      <c r="AA12" s="106">
        <f>J12-X12</f>
        <v>200</v>
      </c>
      <c r="AB12" s="106">
        <f>M12-Y12</f>
        <v>2000</v>
      </c>
      <c r="AC12" s="94" t="s">
        <v>3691</v>
      </c>
      <c r="AD12" s="94"/>
      <c r="AE12" s="94"/>
      <c r="AF12" s="94"/>
      <c r="AG12" s="94"/>
      <c r="AH12" s="263"/>
    </row>
    <row r="13" spans="1:34" ht="19.5" customHeight="1">
      <c r="A13" s="90"/>
      <c r="B13" s="88"/>
      <c r="C13" s="2"/>
      <c r="D13" s="2"/>
      <c r="E13" s="74">
        <v>10</v>
      </c>
      <c r="F13" s="74">
        <v>200</v>
      </c>
      <c r="G13" s="45">
        <f t="shared" ref="G13:G51" si="0">F13*E13</f>
        <v>2000</v>
      </c>
      <c r="H13" s="119" t="s">
        <v>46</v>
      </c>
      <c r="I13" s="262">
        <v>45353</v>
      </c>
      <c r="J13" s="74">
        <v>200</v>
      </c>
      <c r="K13" s="74">
        <f>3+6</f>
        <v>9</v>
      </c>
      <c r="L13" s="156">
        <v>45322</v>
      </c>
      <c r="M13" s="90">
        <v>2000</v>
      </c>
      <c r="N13" s="90">
        <v>10</v>
      </c>
      <c r="O13" s="90"/>
      <c r="P13" s="94" t="s">
        <v>160</v>
      </c>
      <c r="Q13" s="94">
        <v>8500066767</v>
      </c>
      <c r="R13" s="94">
        <v>5000250522</v>
      </c>
      <c r="S13" s="74">
        <v>200</v>
      </c>
      <c r="T13" s="90"/>
      <c r="U13" s="90">
        <v>8500066766</v>
      </c>
      <c r="V13" s="90">
        <v>5000161720</v>
      </c>
      <c r="W13" s="109">
        <v>45374</v>
      </c>
      <c r="X13" s="106">
        <f>200-100</f>
        <v>100</v>
      </c>
      <c r="Y13" s="106">
        <f>2000-1000</f>
        <v>1000</v>
      </c>
      <c r="Z13" s="106" t="s">
        <v>800</v>
      </c>
      <c r="AA13" s="106">
        <f t="shared" ref="AA13:AA76" si="1">J13-X13</f>
        <v>100</v>
      </c>
      <c r="AB13" s="106">
        <f t="shared" ref="AB13:AB76" si="2">M13-Y13</f>
        <v>1000</v>
      </c>
      <c r="AC13" s="94" t="s">
        <v>3692</v>
      </c>
      <c r="AD13" s="94"/>
      <c r="AE13" s="94"/>
      <c r="AF13" s="94"/>
      <c r="AG13" s="94"/>
      <c r="AH13" s="263"/>
    </row>
    <row r="14" spans="1:34" ht="19.5" customHeight="1">
      <c r="A14" s="90"/>
      <c r="B14" s="88"/>
      <c r="C14" s="2"/>
      <c r="D14" s="2"/>
      <c r="E14" s="74">
        <v>10</v>
      </c>
      <c r="F14" s="74">
        <v>300</v>
      </c>
      <c r="G14" s="45">
        <f t="shared" si="0"/>
        <v>3000</v>
      </c>
      <c r="H14" s="119" t="s">
        <v>37</v>
      </c>
      <c r="I14" s="262" t="s">
        <v>3125</v>
      </c>
      <c r="J14" s="74">
        <f>259+41</f>
        <v>300</v>
      </c>
      <c r="K14" s="74">
        <f>4+3</f>
        <v>7</v>
      </c>
      <c r="L14" s="156">
        <v>45362</v>
      </c>
      <c r="M14" s="90">
        <v>3000</v>
      </c>
      <c r="N14" s="90">
        <v>15</v>
      </c>
      <c r="O14" s="90"/>
      <c r="P14" s="94" t="s">
        <v>160</v>
      </c>
      <c r="Q14" s="94">
        <v>8500067810</v>
      </c>
      <c r="R14" s="94">
        <v>5000277862</v>
      </c>
      <c r="S14" s="74">
        <f>259+41</f>
        <v>300</v>
      </c>
      <c r="T14" s="90"/>
      <c r="U14" s="90">
        <v>8500067809</v>
      </c>
      <c r="V14" s="90">
        <v>5000291361</v>
      </c>
      <c r="W14" s="109">
        <v>45388</v>
      </c>
      <c r="X14" s="106">
        <f>300-100</f>
        <v>200</v>
      </c>
      <c r="Y14" s="106">
        <f>3000-1000</f>
        <v>2000</v>
      </c>
      <c r="Z14" s="106" t="s">
        <v>754</v>
      </c>
      <c r="AA14" s="106">
        <f t="shared" si="1"/>
        <v>100</v>
      </c>
      <c r="AB14" s="106">
        <f t="shared" si="2"/>
        <v>1000</v>
      </c>
      <c r="AC14" s="94" t="s">
        <v>3692</v>
      </c>
      <c r="AD14" s="94"/>
      <c r="AE14" s="94"/>
      <c r="AF14" s="94"/>
      <c r="AG14" s="94"/>
      <c r="AH14" s="263"/>
    </row>
    <row r="15" spans="1:34" ht="26.25" customHeight="1">
      <c r="A15" s="90" t="s">
        <v>635</v>
      </c>
      <c r="B15" s="88">
        <v>6000028345</v>
      </c>
      <c r="C15" s="2" t="s">
        <v>636</v>
      </c>
      <c r="D15" s="2" t="s">
        <v>2633</v>
      </c>
      <c r="E15" s="94">
        <v>10</v>
      </c>
      <c r="F15" s="74">
        <v>1344</v>
      </c>
      <c r="G15" s="45">
        <f t="shared" si="0"/>
        <v>13440</v>
      </c>
      <c r="H15" s="119" t="s">
        <v>46</v>
      </c>
      <c r="I15" s="128">
        <v>45321</v>
      </c>
      <c r="J15" s="158">
        <v>1344</v>
      </c>
      <c r="K15" s="74">
        <f>15+1</f>
        <v>16</v>
      </c>
      <c r="L15" s="156">
        <v>45323</v>
      </c>
      <c r="M15" s="90">
        <v>13440</v>
      </c>
      <c r="N15" s="90">
        <v>134</v>
      </c>
      <c r="O15" s="90"/>
      <c r="P15" s="94" t="s">
        <v>160</v>
      </c>
      <c r="Q15" s="94">
        <v>8500067094</v>
      </c>
      <c r="R15" s="94">
        <v>5000127624</v>
      </c>
      <c r="S15" s="158">
        <v>1344</v>
      </c>
      <c r="T15" s="90" t="s">
        <v>87</v>
      </c>
      <c r="U15" s="90">
        <v>8500067093</v>
      </c>
      <c r="V15" s="90">
        <v>5000139652</v>
      </c>
      <c r="W15" s="109">
        <v>45337</v>
      </c>
      <c r="X15" s="106">
        <v>1344</v>
      </c>
      <c r="Y15" s="106">
        <v>13440</v>
      </c>
      <c r="Z15" s="106" t="s">
        <v>1841</v>
      </c>
      <c r="AA15" s="106">
        <f t="shared" si="1"/>
        <v>0</v>
      </c>
      <c r="AB15" s="106">
        <f t="shared" si="2"/>
        <v>0</v>
      </c>
      <c r="AC15" s="94" t="s">
        <v>2634</v>
      </c>
      <c r="AD15" s="94"/>
      <c r="AE15" s="94"/>
      <c r="AF15" s="94"/>
      <c r="AG15" s="94"/>
      <c r="AH15" s="263"/>
    </row>
    <row r="16" spans="1:34" ht="26.25" customHeight="1">
      <c r="A16" s="90"/>
      <c r="B16" s="88"/>
      <c r="C16" s="2"/>
      <c r="D16" s="2"/>
      <c r="E16" s="94">
        <v>10</v>
      </c>
      <c r="F16" s="74">
        <v>1464</v>
      </c>
      <c r="G16" s="45">
        <f t="shared" si="0"/>
        <v>14640</v>
      </c>
      <c r="H16" s="119" t="s">
        <v>37</v>
      </c>
      <c r="I16" s="128" t="s">
        <v>2806</v>
      </c>
      <c r="J16" s="158">
        <f>1426+38</f>
        <v>1464</v>
      </c>
      <c r="K16" s="74">
        <v>16</v>
      </c>
      <c r="L16" s="156" t="s">
        <v>2785</v>
      </c>
      <c r="M16" s="90">
        <f>8500+6140</f>
        <v>14640</v>
      </c>
      <c r="N16" s="90">
        <v>146</v>
      </c>
      <c r="O16" s="90" t="s">
        <v>2831</v>
      </c>
      <c r="P16" s="94" t="s">
        <v>160</v>
      </c>
      <c r="Q16" s="94">
        <v>8500067094</v>
      </c>
      <c r="R16" s="94">
        <v>5000104173</v>
      </c>
      <c r="S16" s="158">
        <f>1426+38</f>
        <v>1464</v>
      </c>
      <c r="T16" s="90" t="s">
        <v>87</v>
      </c>
      <c r="U16" s="90">
        <v>8500067093</v>
      </c>
      <c r="V16" s="90">
        <v>5000143773</v>
      </c>
      <c r="W16" s="109">
        <v>45328</v>
      </c>
      <c r="X16" s="106">
        <v>1464</v>
      </c>
      <c r="Y16" s="106">
        <v>14640</v>
      </c>
      <c r="Z16" s="106" t="s">
        <v>1840</v>
      </c>
      <c r="AA16" s="106">
        <f t="shared" si="1"/>
        <v>0</v>
      </c>
      <c r="AB16" s="106">
        <f t="shared" si="2"/>
        <v>0</v>
      </c>
      <c r="AC16" s="94" t="s">
        <v>2634</v>
      </c>
      <c r="AD16" s="94"/>
      <c r="AE16" s="94"/>
      <c r="AF16" s="94"/>
      <c r="AG16" s="94"/>
      <c r="AH16" s="263"/>
    </row>
    <row r="17" spans="1:34" ht="26.25" customHeight="1">
      <c r="A17" s="90"/>
      <c r="B17" s="88"/>
      <c r="C17" s="2"/>
      <c r="D17" s="2"/>
      <c r="E17" s="94">
        <v>10</v>
      </c>
      <c r="F17" s="74">
        <v>1152</v>
      </c>
      <c r="G17" s="45">
        <f t="shared" si="0"/>
        <v>11520</v>
      </c>
      <c r="H17" s="119" t="s">
        <v>146</v>
      </c>
      <c r="I17" s="128">
        <v>45322</v>
      </c>
      <c r="J17" s="158">
        <v>1152</v>
      </c>
      <c r="K17" s="74">
        <v>16</v>
      </c>
      <c r="L17" s="156">
        <v>45324</v>
      </c>
      <c r="M17" s="90">
        <v>11520</v>
      </c>
      <c r="N17" s="90">
        <v>115</v>
      </c>
      <c r="O17" s="90"/>
      <c r="P17" s="94" t="s">
        <v>160</v>
      </c>
      <c r="Q17" s="94">
        <v>8500067094</v>
      </c>
      <c r="R17" s="94">
        <v>5000135304</v>
      </c>
      <c r="S17" s="158">
        <v>1152</v>
      </c>
      <c r="T17" s="90" t="s">
        <v>87</v>
      </c>
      <c r="U17" s="90">
        <v>8500067093</v>
      </c>
      <c r="V17" s="90">
        <v>5000143773</v>
      </c>
      <c r="W17" s="109">
        <v>45325</v>
      </c>
      <c r="X17" s="106">
        <v>1152</v>
      </c>
      <c r="Y17" s="106">
        <v>11520</v>
      </c>
      <c r="Z17" s="106" t="s">
        <v>826</v>
      </c>
      <c r="AA17" s="106">
        <f t="shared" si="1"/>
        <v>0</v>
      </c>
      <c r="AB17" s="106">
        <f t="shared" si="2"/>
        <v>0</v>
      </c>
      <c r="AC17" s="94" t="s">
        <v>2634</v>
      </c>
      <c r="AD17" s="94"/>
      <c r="AE17" s="94"/>
      <c r="AF17" s="94"/>
      <c r="AG17" s="94"/>
      <c r="AH17" s="263"/>
    </row>
    <row r="18" spans="1:34" ht="26.25" customHeight="1">
      <c r="A18" s="90" t="s">
        <v>635</v>
      </c>
      <c r="B18" s="88">
        <v>6000028345</v>
      </c>
      <c r="C18" s="2" t="s">
        <v>636</v>
      </c>
      <c r="D18" s="2" t="s">
        <v>244</v>
      </c>
      <c r="E18" s="94"/>
      <c r="F18" s="74">
        <v>7</v>
      </c>
      <c r="G18" s="45">
        <v>7</v>
      </c>
      <c r="H18" s="119" t="s">
        <v>46</v>
      </c>
      <c r="I18" s="128">
        <v>45321</v>
      </c>
      <c r="J18" s="74">
        <v>7</v>
      </c>
      <c r="K18" s="74">
        <v>1</v>
      </c>
      <c r="L18" s="156">
        <v>45323</v>
      </c>
      <c r="M18" s="90">
        <v>7</v>
      </c>
      <c r="N18" s="90"/>
      <c r="O18" s="90"/>
      <c r="P18" s="94" t="s">
        <v>160</v>
      </c>
      <c r="Q18" s="94">
        <v>8500067096</v>
      </c>
      <c r="R18" s="94">
        <v>5000126783</v>
      </c>
      <c r="S18" s="74">
        <v>7</v>
      </c>
      <c r="T18" s="90" t="s">
        <v>87</v>
      </c>
      <c r="U18" s="90">
        <v>8500067095</v>
      </c>
      <c r="V18" s="90">
        <v>5000139654</v>
      </c>
      <c r="W18" s="109">
        <v>45376</v>
      </c>
      <c r="X18" s="106">
        <v>7</v>
      </c>
      <c r="Y18" s="106">
        <v>7</v>
      </c>
      <c r="Z18" s="106" t="s">
        <v>3231</v>
      </c>
      <c r="AA18" s="106">
        <f t="shared" si="1"/>
        <v>0</v>
      </c>
      <c r="AB18" s="106">
        <f t="shared" si="2"/>
        <v>0</v>
      </c>
      <c r="AC18" s="94"/>
      <c r="AD18" s="94"/>
      <c r="AE18" s="94"/>
      <c r="AF18" s="94"/>
      <c r="AG18" s="94"/>
      <c r="AH18" s="263"/>
    </row>
    <row r="19" spans="1:34" ht="26.25" customHeight="1">
      <c r="A19" s="90"/>
      <c r="B19" s="88"/>
      <c r="C19" s="2"/>
      <c r="D19" s="2"/>
      <c r="E19" s="94"/>
      <c r="F19" s="74">
        <v>7</v>
      </c>
      <c r="G19" s="45">
        <v>7</v>
      </c>
      <c r="H19" s="119" t="s">
        <v>37</v>
      </c>
      <c r="I19" s="128">
        <v>45321</v>
      </c>
      <c r="J19" s="74">
        <v>7</v>
      </c>
      <c r="K19" s="74"/>
      <c r="L19" s="156">
        <v>45327</v>
      </c>
      <c r="M19" s="90">
        <v>7</v>
      </c>
      <c r="N19" s="90"/>
      <c r="O19" s="90"/>
      <c r="P19" s="94" t="s">
        <v>160</v>
      </c>
      <c r="Q19" s="94">
        <v>8500067096</v>
      </c>
      <c r="R19" s="94">
        <v>5000126783</v>
      </c>
      <c r="S19" s="74">
        <v>7</v>
      </c>
      <c r="T19" s="90" t="s">
        <v>87</v>
      </c>
      <c r="U19" s="90">
        <v>8500067095</v>
      </c>
      <c r="V19" s="90">
        <v>5000154355</v>
      </c>
      <c r="W19" s="109">
        <v>45376</v>
      </c>
      <c r="X19" s="106">
        <v>7</v>
      </c>
      <c r="Y19" s="106">
        <v>7</v>
      </c>
      <c r="Z19" s="106" t="s">
        <v>3231</v>
      </c>
      <c r="AA19" s="106">
        <f t="shared" si="1"/>
        <v>0</v>
      </c>
      <c r="AB19" s="106">
        <f t="shared" si="2"/>
        <v>0</v>
      </c>
      <c r="AC19" s="94"/>
      <c r="AD19" s="94"/>
      <c r="AE19" s="94"/>
      <c r="AF19" s="94"/>
      <c r="AG19" s="94"/>
      <c r="AH19" s="263"/>
    </row>
    <row r="20" spans="1:34" ht="26.25" customHeight="1">
      <c r="A20" s="90"/>
      <c r="B20" s="88"/>
      <c r="C20" s="2"/>
      <c r="D20" s="2"/>
      <c r="E20" s="94"/>
      <c r="F20" s="74">
        <v>6</v>
      </c>
      <c r="G20" s="45">
        <v>6</v>
      </c>
      <c r="H20" s="119" t="s">
        <v>146</v>
      </c>
      <c r="I20" s="128">
        <v>45321</v>
      </c>
      <c r="J20" s="74">
        <v>6</v>
      </c>
      <c r="K20" s="74">
        <v>2</v>
      </c>
      <c r="L20" s="156">
        <v>45324</v>
      </c>
      <c r="M20" s="90">
        <v>6</v>
      </c>
      <c r="N20" s="90"/>
      <c r="O20" s="90"/>
      <c r="P20" s="94" t="s">
        <v>160</v>
      </c>
      <c r="Q20" s="94">
        <v>8500067096</v>
      </c>
      <c r="R20" s="94">
        <v>5000126783</v>
      </c>
      <c r="S20" s="74">
        <v>6</v>
      </c>
      <c r="T20" s="90" t="s">
        <v>87</v>
      </c>
      <c r="U20" s="90">
        <v>8500067095</v>
      </c>
      <c r="V20" s="90">
        <v>5000143775</v>
      </c>
      <c r="W20" s="109">
        <v>45376</v>
      </c>
      <c r="X20" s="106">
        <v>6</v>
      </c>
      <c r="Y20" s="106">
        <v>6</v>
      </c>
      <c r="Z20" s="106" t="s">
        <v>3231</v>
      </c>
      <c r="AA20" s="106">
        <f t="shared" si="1"/>
        <v>0</v>
      </c>
      <c r="AB20" s="106">
        <f t="shared" si="2"/>
        <v>0</v>
      </c>
      <c r="AC20" s="94"/>
      <c r="AD20" s="94"/>
      <c r="AE20" s="94"/>
      <c r="AF20" s="94"/>
      <c r="AG20" s="94"/>
      <c r="AH20" s="263"/>
    </row>
    <row r="21" spans="1:34" ht="19.5" customHeight="1">
      <c r="A21" s="90" t="s">
        <v>635</v>
      </c>
      <c r="B21" s="88">
        <v>6000028346</v>
      </c>
      <c r="C21" s="2" t="s">
        <v>636</v>
      </c>
      <c r="D21" s="2" t="s">
        <v>2725</v>
      </c>
      <c r="E21" s="94">
        <v>10</v>
      </c>
      <c r="F21" s="74">
        <v>1248</v>
      </c>
      <c r="G21" s="45">
        <f t="shared" si="0"/>
        <v>12480</v>
      </c>
      <c r="H21" s="119" t="s">
        <v>46</v>
      </c>
      <c r="I21" s="128">
        <v>45321</v>
      </c>
      <c r="J21" s="74">
        <v>1248</v>
      </c>
      <c r="K21" s="74">
        <f>15+1</f>
        <v>16</v>
      </c>
      <c r="L21" s="156" t="s">
        <v>2761</v>
      </c>
      <c r="M21" s="90">
        <f>8600+3880</f>
        <v>12480</v>
      </c>
      <c r="N21" s="90">
        <v>132</v>
      </c>
      <c r="O21" s="90" t="s">
        <v>1617</v>
      </c>
      <c r="P21" s="94" t="s">
        <v>160</v>
      </c>
      <c r="Q21" s="94">
        <v>8500067098</v>
      </c>
      <c r="R21" s="94">
        <v>5000128009</v>
      </c>
      <c r="S21" s="74">
        <v>1248</v>
      </c>
      <c r="T21" s="90" t="s">
        <v>87</v>
      </c>
      <c r="U21" s="90">
        <v>8500067097</v>
      </c>
      <c r="V21" s="90">
        <v>5000135557</v>
      </c>
      <c r="W21" s="109">
        <v>45341</v>
      </c>
      <c r="X21" s="106">
        <v>1248</v>
      </c>
      <c r="Y21" s="106">
        <v>12480</v>
      </c>
      <c r="Z21" s="106" t="s">
        <v>1841</v>
      </c>
      <c r="AA21" s="106">
        <f t="shared" si="1"/>
        <v>0</v>
      </c>
      <c r="AB21" s="106">
        <f t="shared" si="2"/>
        <v>0</v>
      </c>
      <c r="AC21" s="94"/>
      <c r="AD21" s="94"/>
      <c r="AE21" s="94"/>
      <c r="AF21" s="94"/>
      <c r="AG21" s="94"/>
      <c r="AH21" s="263"/>
    </row>
    <row r="22" spans="1:34" ht="19.5" customHeight="1">
      <c r="A22" s="90"/>
      <c r="B22" s="88"/>
      <c r="C22" s="2"/>
      <c r="D22" s="2"/>
      <c r="E22" s="94">
        <v>10</v>
      </c>
      <c r="F22" s="74">
        <v>1560</v>
      </c>
      <c r="G22" s="45">
        <f t="shared" si="0"/>
        <v>15600</v>
      </c>
      <c r="H22" s="119" t="s">
        <v>37</v>
      </c>
      <c r="I22" s="128">
        <v>45321</v>
      </c>
      <c r="J22" s="74">
        <v>1560</v>
      </c>
      <c r="K22" s="74">
        <f>18+2</f>
        <v>20</v>
      </c>
      <c r="L22" s="156" t="s">
        <v>2776</v>
      </c>
      <c r="M22" s="90">
        <f>7000+8600</f>
        <v>15600</v>
      </c>
      <c r="N22" s="90">
        <v>156</v>
      </c>
      <c r="O22" s="90" t="s">
        <v>2832</v>
      </c>
      <c r="P22" s="94" t="s">
        <v>160</v>
      </c>
      <c r="Q22" s="94">
        <v>8500067098</v>
      </c>
      <c r="R22" s="94">
        <v>5000127779</v>
      </c>
      <c r="S22" s="74">
        <v>1560</v>
      </c>
      <c r="T22" s="90" t="s">
        <v>87</v>
      </c>
      <c r="U22" s="90">
        <v>8500067097</v>
      </c>
      <c r="V22" s="90">
        <v>5000143806</v>
      </c>
      <c r="W22" s="109">
        <v>45333</v>
      </c>
      <c r="X22" s="106">
        <v>1560</v>
      </c>
      <c r="Y22" s="106">
        <v>15600</v>
      </c>
      <c r="Z22" s="106" t="s">
        <v>1840</v>
      </c>
      <c r="AA22" s="106">
        <f t="shared" si="1"/>
        <v>0</v>
      </c>
      <c r="AB22" s="106">
        <f t="shared" si="2"/>
        <v>0</v>
      </c>
      <c r="AC22" s="94"/>
      <c r="AD22" s="94"/>
      <c r="AE22" s="94"/>
      <c r="AF22" s="94"/>
      <c r="AG22" s="94"/>
      <c r="AH22" s="263"/>
    </row>
    <row r="23" spans="1:34" ht="19.5" customHeight="1">
      <c r="A23" s="90"/>
      <c r="B23" s="88"/>
      <c r="C23" s="2"/>
      <c r="D23" s="2"/>
      <c r="E23" s="94">
        <v>10</v>
      </c>
      <c r="F23" s="74">
        <v>1152</v>
      </c>
      <c r="G23" s="45">
        <f t="shared" si="0"/>
        <v>11520</v>
      </c>
      <c r="H23" s="119" t="s">
        <v>146</v>
      </c>
      <c r="I23" s="128">
        <v>45321</v>
      </c>
      <c r="J23" s="74">
        <v>1152</v>
      </c>
      <c r="K23" s="74">
        <v>13</v>
      </c>
      <c r="L23" s="156">
        <v>45323</v>
      </c>
      <c r="M23" s="90">
        <v>11520</v>
      </c>
      <c r="N23" s="90">
        <v>115</v>
      </c>
      <c r="O23" s="90"/>
      <c r="P23" s="94" t="s">
        <v>160</v>
      </c>
      <c r="Q23" s="94">
        <v>8500067098</v>
      </c>
      <c r="R23" s="94">
        <v>5000127779</v>
      </c>
      <c r="S23" s="74">
        <v>1152</v>
      </c>
      <c r="T23" s="90" t="s">
        <v>87</v>
      </c>
      <c r="U23" s="90">
        <v>8500067097</v>
      </c>
      <c r="V23" s="90">
        <v>5000139655</v>
      </c>
      <c r="W23" s="109">
        <v>45325</v>
      </c>
      <c r="X23" s="106">
        <f>910+242</f>
        <v>1152</v>
      </c>
      <c r="Y23" s="106">
        <v>11520</v>
      </c>
      <c r="Z23" s="106" t="s">
        <v>800</v>
      </c>
      <c r="AA23" s="106">
        <f t="shared" si="1"/>
        <v>0</v>
      </c>
      <c r="AB23" s="106">
        <f t="shared" si="2"/>
        <v>0</v>
      </c>
      <c r="AC23" s="94"/>
      <c r="AD23" s="94"/>
      <c r="AE23" s="94"/>
      <c r="AF23" s="94"/>
      <c r="AG23" s="94"/>
      <c r="AH23" s="263"/>
    </row>
    <row r="24" spans="1:34" ht="19.5" customHeight="1">
      <c r="A24" s="90" t="s">
        <v>635</v>
      </c>
      <c r="B24" s="88">
        <v>6000028346</v>
      </c>
      <c r="C24" s="2" t="s">
        <v>636</v>
      </c>
      <c r="D24" s="2" t="s">
        <v>244</v>
      </c>
      <c r="E24" s="94"/>
      <c r="F24" s="74">
        <v>7</v>
      </c>
      <c r="G24" s="45">
        <v>7</v>
      </c>
      <c r="H24" s="119" t="s">
        <v>46</v>
      </c>
      <c r="I24" s="128">
        <v>45321</v>
      </c>
      <c r="J24" s="74">
        <v>7</v>
      </c>
      <c r="K24" s="128"/>
      <c r="L24" s="156"/>
      <c r="M24" s="90">
        <v>7</v>
      </c>
      <c r="N24" s="90"/>
      <c r="O24" s="90"/>
      <c r="P24" s="94" t="s">
        <v>160</v>
      </c>
      <c r="Q24" s="94">
        <v>8500067100</v>
      </c>
      <c r="R24" s="94">
        <v>5000128031</v>
      </c>
      <c r="S24" s="74">
        <v>7</v>
      </c>
      <c r="T24" s="90"/>
      <c r="U24" s="90"/>
      <c r="V24" s="90"/>
      <c r="W24" s="109">
        <v>45371</v>
      </c>
      <c r="X24" s="106">
        <v>7</v>
      </c>
      <c r="Y24" s="106">
        <v>7</v>
      </c>
      <c r="Z24" s="106" t="s">
        <v>3231</v>
      </c>
      <c r="AA24" s="106">
        <f t="shared" si="1"/>
        <v>0</v>
      </c>
      <c r="AB24" s="106">
        <f t="shared" si="2"/>
        <v>0</v>
      </c>
      <c r="AC24" s="94"/>
      <c r="AD24" s="94"/>
      <c r="AE24" s="94"/>
      <c r="AF24" s="94"/>
      <c r="AG24" s="94"/>
      <c r="AH24" s="263"/>
    </row>
    <row r="25" spans="1:34" ht="19.5" customHeight="1">
      <c r="A25" s="90"/>
      <c r="B25" s="88"/>
      <c r="C25" s="2"/>
      <c r="D25" s="2"/>
      <c r="E25" s="94"/>
      <c r="F25" s="74">
        <v>7</v>
      </c>
      <c r="G25" s="45">
        <v>7</v>
      </c>
      <c r="H25" s="119" t="s">
        <v>37</v>
      </c>
      <c r="I25" s="128">
        <v>45321</v>
      </c>
      <c r="J25" s="74">
        <v>7</v>
      </c>
      <c r="K25" s="74"/>
      <c r="L25" s="156">
        <v>45325</v>
      </c>
      <c r="M25" s="90">
        <v>7</v>
      </c>
      <c r="N25" s="90"/>
      <c r="O25" s="90"/>
      <c r="P25" s="94" t="s">
        <v>160</v>
      </c>
      <c r="Q25" s="94">
        <v>8500067100</v>
      </c>
      <c r="R25" s="94">
        <v>5000128031</v>
      </c>
      <c r="S25" s="74">
        <v>7</v>
      </c>
      <c r="T25" s="90" t="s">
        <v>87</v>
      </c>
      <c r="U25" s="90">
        <v>8500067099</v>
      </c>
      <c r="V25" s="90">
        <v>5000149920</v>
      </c>
      <c r="W25" s="109">
        <v>45371</v>
      </c>
      <c r="X25" s="106">
        <v>7</v>
      </c>
      <c r="Y25" s="106">
        <v>7</v>
      </c>
      <c r="Z25" s="106" t="s">
        <v>3231</v>
      </c>
      <c r="AA25" s="106">
        <f t="shared" si="1"/>
        <v>0</v>
      </c>
      <c r="AB25" s="106">
        <f t="shared" si="2"/>
        <v>0</v>
      </c>
      <c r="AC25" s="94"/>
      <c r="AD25" s="94"/>
      <c r="AE25" s="94"/>
      <c r="AF25" s="94"/>
      <c r="AG25" s="94"/>
      <c r="AH25" s="263"/>
    </row>
    <row r="26" spans="1:34" ht="19.5" customHeight="1">
      <c r="A26" s="90"/>
      <c r="B26" s="88"/>
      <c r="C26" s="2"/>
      <c r="D26" s="2"/>
      <c r="E26" s="94"/>
      <c r="F26" s="74">
        <v>6</v>
      </c>
      <c r="G26" s="45">
        <v>6</v>
      </c>
      <c r="H26" s="119" t="s">
        <v>146</v>
      </c>
      <c r="I26" s="128">
        <v>45321</v>
      </c>
      <c r="J26" s="74">
        <v>6</v>
      </c>
      <c r="K26" s="74">
        <v>2</v>
      </c>
      <c r="L26" s="156">
        <v>45323</v>
      </c>
      <c r="M26" s="90">
        <v>6</v>
      </c>
      <c r="N26" s="90"/>
      <c r="O26" s="90"/>
      <c r="P26" s="94" t="s">
        <v>160</v>
      </c>
      <c r="Q26" s="94">
        <v>8500067100</v>
      </c>
      <c r="R26" s="94">
        <v>5000128031</v>
      </c>
      <c r="S26" s="74">
        <v>6</v>
      </c>
      <c r="T26" s="90" t="s">
        <v>87</v>
      </c>
      <c r="U26" s="90">
        <v>8500067099</v>
      </c>
      <c r="V26" s="90">
        <v>5000139656</v>
      </c>
      <c r="W26" s="109">
        <v>45371</v>
      </c>
      <c r="X26" s="106">
        <v>6</v>
      </c>
      <c r="Y26" s="106">
        <v>6</v>
      </c>
      <c r="Z26" s="106" t="s">
        <v>3231</v>
      </c>
      <c r="AA26" s="106">
        <f t="shared" si="1"/>
        <v>0</v>
      </c>
      <c r="AB26" s="106">
        <f t="shared" si="2"/>
        <v>0</v>
      </c>
      <c r="AC26" s="94"/>
      <c r="AD26" s="94"/>
      <c r="AE26" s="94"/>
      <c r="AF26" s="94"/>
      <c r="AG26" s="94"/>
      <c r="AH26" s="263"/>
    </row>
    <row r="27" spans="1:34" ht="19.5" customHeight="1">
      <c r="A27" s="90" t="s">
        <v>635</v>
      </c>
      <c r="B27" s="88">
        <v>6000028347</v>
      </c>
      <c r="C27" s="2" t="s">
        <v>636</v>
      </c>
      <c r="D27" s="2" t="s">
        <v>2726</v>
      </c>
      <c r="E27" s="94">
        <v>10</v>
      </c>
      <c r="F27" s="74">
        <v>1752</v>
      </c>
      <c r="G27" s="45">
        <f t="shared" si="0"/>
        <v>17520</v>
      </c>
      <c r="H27" s="119" t="s">
        <v>46</v>
      </c>
      <c r="I27" s="128">
        <v>45321</v>
      </c>
      <c r="J27" s="74">
        <v>1752</v>
      </c>
      <c r="K27" s="74">
        <f>20+8</f>
        <v>28</v>
      </c>
      <c r="L27" s="156">
        <v>45327</v>
      </c>
      <c r="M27" s="90">
        <v>17520</v>
      </c>
      <c r="N27" s="90">
        <v>175</v>
      </c>
      <c r="O27" s="90"/>
      <c r="P27" s="94" t="s">
        <v>160</v>
      </c>
      <c r="Q27" s="94">
        <v>8500067102</v>
      </c>
      <c r="R27" s="94">
        <v>5000127850</v>
      </c>
      <c r="S27" s="74">
        <v>1752</v>
      </c>
      <c r="T27" s="90" t="s">
        <v>87</v>
      </c>
      <c r="U27" s="90">
        <v>8500067101</v>
      </c>
      <c r="V27" s="90">
        <v>5000154330</v>
      </c>
      <c r="W27" s="109" t="s">
        <v>2947</v>
      </c>
      <c r="X27" s="106">
        <f>180+1572</f>
        <v>1752</v>
      </c>
      <c r="Y27" s="106">
        <f>1800+15720</f>
        <v>17520</v>
      </c>
      <c r="Z27" s="106" t="s">
        <v>2953</v>
      </c>
      <c r="AA27" s="106">
        <f t="shared" si="1"/>
        <v>0</v>
      </c>
      <c r="AB27" s="106">
        <f t="shared" si="2"/>
        <v>0</v>
      </c>
      <c r="AC27" s="94"/>
      <c r="AD27" s="111"/>
      <c r="AE27" s="94"/>
      <c r="AF27" s="94"/>
      <c r="AG27" s="94"/>
      <c r="AH27" s="263"/>
    </row>
    <row r="28" spans="1:34" ht="19.5" customHeight="1">
      <c r="A28" s="90"/>
      <c r="B28" s="88"/>
      <c r="C28" s="2"/>
      <c r="D28" s="2"/>
      <c r="E28" s="94">
        <v>10</v>
      </c>
      <c r="F28" s="74">
        <v>1440</v>
      </c>
      <c r="G28" s="45">
        <f t="shared" si="0"/>
        <v>14400</v>
      </c>
      <c r="H28" s="119" t="s">
        <v>37</v>
      </c>
      <c r="I28" s="128">
        <v>45321</v>
      </c>
      <c r="J28" s="74">
        <v>1440</v>
      </c>
      <c r="K28" s="74">
        <f>17+3</f>
        <v>20</v>
      </c>
      <c r="L28" s="156">
        <v>45327</v>
      </c>
      <c r="M28" s="90">
        <v>14400</v>
      </c>
      <c r="N28" s="90">
        <v>144</v>
      </c>
      <c r="O28" s="90"/>
      <c r="P28" s="94" t="s">
        <v>160</v>
      </c>
      <c r="Q28" s="94">
        <v>8500067102</v>
      </c>
      <c r="R28" s="94">
        <v>5000127850</v>
      </c>
      <c r="S28" s="74">
        <v>1440</v>
      </c>
      <c r="T28" s="90" t="s">
        <v>87</v>
      </c>
      <c r="U28" s="90">
        <v>8500067101</v>
      </c>
      <c r="V28" s="90">
        <v>5000154330</v>
      </c>
      <c r="W28" s="109">
        <v>45339</v>
      </c>
      <c r="X28" s="106">
        <v>1440</v>
      </c>
      <c r="Y28" s="106">
        <v>14400</v>
      </c>
      <c r="Z28" s="106" t="s">
        <v>1840</v>
      </c>
      <c r="AA28" s="106">
        <f t="shared" si="1"/>
        <v>0</v>
      </c>
      <c r="AB28" s="106">
        <f t="shared" si="2"/>
        <v>0</v>
      </c>
      <c r="AC28" s="94"/>
      <c r="AD28" s="94"/>
      <c r="AE28" s="94"/>
      <c r="AF28" s="94"/>
      <c r="AG28" s="94"/>
      <c r="AH28" s="263"/>
    </row>
    <row r="29" spans="1:34" ht="19.5" customHeight="1">
      <c r="A29" s="90"/>
      <c r="B29" s="88"/>
      <c r="C29" s="2"/>
      <c r="D29" s="2"/>
      <c r="E29" s="94">
        <v>10</v>
      </c>
      <c r="F29" s="261">
        <v>768</v>
      </c>
      <c r="G29" s="45">
        <f t="shared" si="0"/>
        <v>7680</v>
      </c>
      <c r="H29" s="119" t="s">
        <v>146</v>
      </c>
      <c r="I29" s="128">
        <v>45321</v>
      </c>
      <c r="J29" s="261">
        <v>768</v>
      </c>
      <c r="K29" s="74">
        <f>10+2</f>
        <v>12</v>
      </c>
      <c r="L29" s="156">
        <v>45325</v>
      </c>
      <c r="M29" s="90">
        <v>7680</v>
      </c>
      <c r="N29" s="90">
        <v>77</v>
      </c>
      <c r="O29" s="90"/>
      <c r="P29" s="94" t="s">
        <v>160</v>
      </c>
      <c r="Q29" s="94">
        <v>8500067102</v>
      </c>
      <c r="R29" s="94">
        <v>5000127850</v>
      </c>
      <c r="S29" s="261">
        <v>768</v>
      </c>
      <c r="T29" s="90" t="s">
        <v>87</v>
      </c>
      <c r="U29" s="90">
        <v>8500067101</v>
      </c>
      <c r="V29" s="90">
        <v>5000149922</v>
      </c>
      <c r="W29" s="109" t="s">
        <v>2992</v>
      </c>
      <c r="X29" s="106">
        <f>110+658</f>
        <v>768</v>
      </c>
      <c r="Y29" s="106">
        <f>1100+6580</f>
        <v>7680</v>
      </c>
      <c r="Z29" s="106" t="s">
        <v>2794</v>
      </c>
      <c r="AA29" s="106">
        <f t="shared" si="1"/>
        <v>0</v>
      </c>
      <c r="AB29" s="106">
        <f t="shared" si="2"/>
        <v>0</v>
      </c>
      <c r="AC29" s="94"/>
      <c r="AD29" s="94"/>
      <c r="AE29" s="94"/>
      <c r="AF29" s="94"/>
      <c r="AG29" s="94"/>
      <c r="AH29" s="263"/>
    </row>
    <row r="30" spans="1:34" ht="19.5" customHeight="1">
      <c r="A30" s="90" t="s">
        <v>635</v>
      </c>
      <c r="B30" s="88">
        <v>6000028347</v>
      </c>
      <c r="C30" s="2" t="s">
        <v>636</v>
      </c>
      <c r="D30" s="2" t="s">
        <v>244</v>
      </c>
      <c r="E30" s="94"/>
      <c r="F30" s="74">
        <v>7</v>
      </c>
      <c r="G30" s="45">
        <v>7</v>
      </c>
      <c r="H30" s="119" t="s">
        <v>46</v>
      </c>
      <c r="I30" s="128">
        <v>45321</v>
      </c>
      <c r="J30" s="74">
        <v>7</v>
      </c>
      <c r="K30" s="74">
        <v>2</v>
      </c>
      <c r="L30" s="156">
        <v>45327</v>
      </c>
      <c r="M30" s="90">
        <v>7</v>
      </c>
      <c r="N30" s="90"/>
      <c r="O30" s="90"/>
      <c r="P30" s="94" t="s">
        <v>160</v>
      </c>
      <c r="Q30" s="94">
        <v>8500067104</v>
      </c>
      <c r="R30" s="94">
        <v>5000127850</v>
      </c>
      <c r="S30" s="74">
        <v>7</v>
      </c>
      <c r="T30" s="90" t="s">
        <v>87</v>
      </c>
      <c r="U30" s="90">
        <v>8500067103</v>
      </c>
      <c r="V30" s="90">
        <v>5000154353</v>
      </c>
      <c r="W30" s="109">
        <v>45376</v>
      </c>
      <c r="X30" s="106">
        <v>7</v>
      </c>
      <c r="Y30" s="106">
        <v>7</v>
      </c>
      <c r="Z30" s="106" t="s">
        <v>3231</v>
      </c>
      <c r="AA30" s="106">
        <f t="shared" si="1"/>
        <v>0</v>
      </c>
      <c r="AB30" s="106">
        <f t="shared" si="2"/>
        <v>0</v>
      </c>
      <c r="AC30" s="94"/>
      <c r="AD30" s="94"/>
      <c r="AE30" s="94"/>
      <c r="AF30" s="94"/>
      <c r="AG30" s="94"/>
      <c r="AH30" s="263"/>
    </row>
    <row r="31" spans="1:34" ht="19.5" customHeight="1">
      <c r="A31" s="90"/>
      <c r="B31" s="88"/>
      <c r="C31" s="2"/>
      <c r="D31" s="2"/>
      <c r="E31" s="94"/>
      <c r="F31" s="74">
        <v>7</v>
      </c>
      <c r="G31" s="45">
        <v>7</v>
      </c>
      <c r="H31" s="119" t="s">
        <v>37</v>
      </c>
      <c r="I31" s="128">
        <v>45321</v>
      </c>
      <c r="J31" s="74">
        <v>7</v>
      </c>
      <c r="K31" s="74"/>
      <c r="L31" s="156">
        <v>45327</v>
      </c>
      <c r="M31" s="90">
        <v>7</v>
      </c>
      <c r="N31" s="90"/>
      <c r="O31" s="90"/>
      <c r="P31" s="94" t="s">
        <v>160</v>
      </c>
      <c r="Q31" s="94">
        <v>8500067104</v>
      </c>
      <c r="R31" s="94">
        <v>5000127851</v>
      </c>
      <c r="S31" s="74">
        <v>7</v>
      </c>
      <c r="T31" s="90" t="s">
        <v>87</v>
      </c>
      <c r="U31" s="90">
        <v>8500067103</v>
      </c>
      <c r="V31" s="90">
        <v>5000154353</v>
      </c>
      <c r="W31" s="109">
        <v>45376</v>
      </c>
      <c r="X31" s="106">
        <v>7</v>
      </c>
      <c r="Y31" s="106">
        <v>7</v>
      </c>
      <c r="Z31" s="106" t="s">
        <v>3231</v>
      </c>
      <c r="AA31" s="106">
        <f t="shared" si="1"/>
        <v>0</v>
      </c>
      <c r="AB31" s="106">
        <f t="shared" si="2"/>
        <v>0</v>
      </c>
      <c r="AC31" s="94"/>
      <c r="AD31" s="94"/>
      <c r="AE31" s="94"/>
      <c r="AF31" s="94"/>
      <c r="AG31" s="94"/>
      <c r="AH31" s="263"/>
    </row>
    <row r="32" spans="1:34" ht="19.5" customHeight="1">
      <c r="A32" s="90"/>
      <c r="B32" s="88"/>
      <c r="C32" s="2"/>
      <c r="D32" s="2"/>
      <c r="E32" s="94"/>
      <c r="F32" s="74">
        <v>6</v>
      </c>
      <c r="G32" s="45">
        <v>6</v>
      </c>
      <c r="H32" s="119" t="s">
        <v>146</v>
      </c>
      <c r="I32" s="128">
        <v>45321</v>
      </c>
      <c r="J32" s="74">
        <v>6</v>
      </c>
      <c r="K32" s="74">
        <v>2</v>
      </c>
      <c r="L32" s="156">
        <v>45325</v>
      </c>
      <c r="M32" s="90">
        <v>6</v>
      </c>
      <c r="N32" s="90"/>
      <c r="O32" s="90"/>
      <c r="P32" s="94" t="s">
        <v>160</v>
      </c>
      <c r="Q32" s="94">
        <v>8500067104</v>
      </c>
      <c r="R32" s="94">
        <v>5000127851</v>
      </c>
      <c r="S32" s="74">
        <v>6</v>
      </c>
      <c r="T32" s="90" t="s">
        <v>87</v>
      </c>
      <c r="U32" s="90">
        <v>8500067103</v>
      </c>
      <c r="V32" s="90">
        <v>5000149923</v>
      </c>
      <c r="W32" s="109">
        <v>45376</v>
      </c>
      <c r="X32" s="106">
        <v>6</v>
      </c>
      <c r="Y32" s="106">
        <v>6</v>
      </c>
      <c r="Z32" s="106" t="s">
        <v>3231</v>
      </c>
      <c r="AA32" s="106">
        <f t="shared" si="1"/>
        <v>0</v>
      </c>
      <c r="AB32" s="106">
        <f t="shared" si="2"/>
        <v>0</v>
      </c>
      <c r="AC32" s="94"/>
      <c r="AD32" s="94"/>
      <c r="AE32" s="94"/>
      <c r="AF32" s="94"/>
      <c r="AG32" s="94"/>
      <c r="AH32" s="263"/>
    </row>
    <row r="33" spans="1:34" ht="19.5" customHeight="1">
      <c r="A33" s="90" t="s">
        <v>635</v>
      </c>
      <c r="B33" s="88">
        <v>6000028348</v>
      </c>
      <c r="C33" s="2" t="s">
        <v>636</v>
      </c>
      <c r="D33" s="2" t="s">
        <v>2762</v>
      </c>
      <c r="E33" s="74">
        <v>10</v>
      </c>
      <c r="F33" s="74">
        <v>1464</v>
      </c>
      <c r="G33" s="45">
        <f t="shared" si="0"/>
        <v>14640</v>
      </c>
      <c r="H33" s="119" t="s">
        <v>46</v>
      </c>
      <c r="I33" s="128">
        <v>45324</v>
      </c>
      <c r="J33" s="74">
        <v>1464</v>
      </c>
      <c r="K33" s="74">
        <v>17</v>
      </c>
      <c r="L33" s="156">
        <v>45322</v>
      </c>
      <c r="M33" s="90">
        <v>14640</v>
      </c>
      <c r="N33" s="90">
        <v>146</v>
      </c>
      <c r="O33" s="90"/>
      <c r="P33" s="94" t="s">
        <v>160</v>
      </c>
      <c r="Q33" s="94">
        <v>8500067106</v>
      </c>
      <c r="R33" s="94">
        <v>5000143890</v>
      </c>
      <c r="S33" s="74">
        <v>1464</v>
      </c>
      <c r="T33" s="90" t="s">
        <v>761</v>
      </c>
      <c r="U33" s="90">
        <v>8500067105</v>
      </c>
      <c r="V33" s="90">
        <v>5000135294</v>
      </c>
      <c r="W33" s="109">
        <v>45357</v>
      </c>
      <c r="X33" s="106">
        <v>1464</v>
      </c>
      <c r="Y33" s="106">
        <v>14640</v>
      </c>
      <c r="Z33" s="106" t="s">
        <v>2991</v>
      </c>
      <c r="AA33" s="106">
        <f t="shared" si="1"/>
        <v>0</v>
      </c>
      <c r="AB33" s="106">
        <f t="shared" si="2"/>
        <v>0</v>
      </c>
      <c r="AC33" s="94"/>
      <c r="AD33" s="94"/>
      <c r="AE33" s="94"/>
      <c r="AF33" s="94"/>
      <c r="AG33" s="94"/>
      <c r="AH33" s="263"/>
    </row>
    <row r="34" spans="1:34" ht="25.5" customHeight="1">
      <c r="A34" s="260"/>
      <c r="B34" s="264"/>
      <c r="C34" s="192"/>
      <c r="D34" s="192"/>
      <c r="E34" s="74">
        <v>10</v>
      </c>
      <c r="F34" s="74">
        <v>1536</v>
      </c>
      <c r="G34" s="45">
        <f t="shared" si="0"/>
        <v>15360</v>
      </c>
      <c r="H34" s="119" t="s">
        <v>37</v>
      </c>
      <c r="I34" s="128" t="s">
        <v>2805</v>
      </c>
      <c r="J34" s="74">
        <v>1536</v>
      </c>
      <c r="K34" s="74">
        <f>18+6</f>
        <v>24</v>
      </c>
      <c r="L34" s="156">
        <v>45325</v>
      </c>
      <c r="M34" s="90">
        <v>15360</v>
      </c>
      <c r="N34" s="90">
        <v>154</v>
      </c>
      <c r="O34" s="90"/>
      <c r="P34" s="94" t="s">
        <v>160</v>
      </c>
      <c r="Q34" s="94">
        <v>8500067106</v>
      </c>
      <c r="R34" s="94">
        <v>5000143890</v>
      </c>
      <c r="S34" s="74">
        <v>1536</v>
      </c>
      <c r="T34" s="90" t="s">
        <v>761</v>
      </c>
      <c r="U34" s="90">
        <v>8500067105</v>
      </c>
      <c r="V34" s="90">
        <v>5000149924</v>
      </c>
      <c r="W34" s="109">
        <v>45345</v>
      </c>
      <c r="X34" s="106">
        <v>1536</v>
      </c>
      <c r="Y34" s="106">
        <v>15360</v>
      </c>
      <c r="Z34" s="106" t="s">
        <v>3235</v>
      </c>
      <c r="AA34" s="106">
        <f t="shared" si="1"/>
        <v>0</v>
      </c>
      <c r="AB34" s="106">
        <f t="shared" si="2"/>
        <v>0</v>
      </c>
      <c r="AC34" s="94"/>
      <c r="AD34" s="94"/>
      <c r="AE34" s="94"/>
      <c r="AF34" s="94"/>
      <c r="AG34" s="94"/>
      <c r="AH34" s="263"/>
    </row>
    <row r="35" spans="1:34" ht="25.5" customHeight="1">
      <c r="A35" s="260"/>
      <c r="B35" s="264"/>
      <c r="C35" s="192"/>
      <c r="D35" s="192"/>
      <c r="E35" s="74">
        <v>10</v>
      </c>
      <c r="F35" s="74">
        <v>960</v>
      </c>
      <c r="G35" s="45">
        <f t="shared" si="0"/>
        <v>9600</v>
      </c>
      <c r="H35" s="119" t="s">
        <v>146</v>
      </c>
      <c r="I35" s="128" t="s">
        <v>2785</v>
      </c>
      <c r="J35" s="158">
        <f>240+720</f>
        <v>960</v>
      </c>
      <c r="K35" s="74">
        <v>12</v>
      </c>
      <c r="L35" s="156">
        <v>45325</v>
      </c>
      <c r="M35" s="90">
        <v>9600</v>
      </c>
      <c r="N35" s="90">
        <v>96</v>
      </c>
      <c r="O35" s="90"/>
      <c r="P35" s="94" t="s">
        <v>160</v>
      </c>
      <c r="Q35" s="94">
        <v>8500067106</v>
      </c>
      <c r="R35" s="94">
        <v>5000143890</v>
      </c>
      <c r="S35" s="158">
        <f>240+720</f>
        <v>960</v>
      </c>
      <c r="T35" s="90" t="s">
        <v>761</v>
      </c>
      <c r="U35" s="90">
        <v>8500067105</v>
      </c>
      <c r="V35" s="90">
        <v>5000149924</v>
      </c>
      <c r="W35" s="109">
        <v>45360</v>
      </c>
      <c r="X35" s="106">
        <v>960</v>
      </c>
      <c r="Y35" s="106">
        <v>9600</v>
      </c>
      <c r="Z35" s="106" t="s">
        <v>1840</v>
      </c>
      <c r="AA35" s="106">
        <f t="shared" si="1"/>
        <v>0</v>
      </c>
      <c r="AB35" s="106">
        <f t="shared" si="2"/>
        <v>0</v>
      </c>
      <c r="AC35" s="94"/>
      <c r="AD35" s="94"/>
      <c r="AE35" s="94"/>
      <c r="AF35" s="94"/>
      <c r="AG35" s="94"/>
      <c r="AH35" s="263"/>
    </row>
    <row r="36" spans="1:34" ht="19.5" customHeight="1">
      <c r="A36" s="90" t="s">
        <v>635</v>
      </c>
      <c r="B36" s="88">
        <v>6000028348</v>
      </c>
      <c r="C36" s="2" t="s">
        <v>636</v>
      </c>
      <c r="D36" s="2" t="s">
        <v>244</v>
      </c>
      <c r="E36" s="74"/>
      <c r="F36" s="74">
        <v>7</v>
      </c>
      <c r="G36" s="45">
        <v>7</v>
      </c>
      <c r="H36" s="119" t="s">
        <v>46</v>
      </c>
      <c r="I36" s="128">
        <v>45324</v>
      </c>
      <c r="J36" s="74">
        <v>7</v>
      </c>
      <c r="K36" s="74"/>
      <c r="L36" s="156">
        <v>45323</v>
      </c>
      <c r="M36" s="90">
        <v>7</v>
      </c>
      <c r="N36" s="90"/>
      <c r="O36" s="90"/>
      <c r="P36" s="94" t="s">
        <v>160</v>
      </c>
      <c r="Q36" s="94">
        <v>8500067108</v>
      </c>
      <c r="R36" s="94">
        <v>5000211403</v>
      </c>
      <c r="S36" s="74">
        <v>7</v>
      </c>
      <c r="T36" s="90" t="s">
        <v>761</v>
      </c>
      <c r="U36" s="90">
        <v>8500067107</v>
      </c>
      <c r="V36" s="90">
        <v>5000139657</v>
      </c>
      <c r="W36" s="109"/>
      <c r="X36" s="106">
        <v>7</v>
      </c>
      <c r="Y36" s="106">
        <v>7</v>
      </c>
      <c r="Z36" s="106" t="s">
        <v>826</v>
      </c>
      <c r="AA36" s="106">
        <f t="shared" si="1"/>
        <v>0</v>
      </c>
      <c r="AB36" s="106">
        <f t="shared" si="2"/>
        <v>0</v>
      </c>
      <c r="AC36" s="94"/>
      <c r="AD36" s="94"/>
      <c r="AE36" s="94"/>
      <c r="AF36" s="94"/>
      <c r="AG36" s="94"/>
      <c r="AH36" s="263"/>
    </row>
    <row r="37" spans="1:34" ht="19.5" customHeight="1">
      <c r="A37" s="260"/>
      <c r="B37" s="264"/>
      <c r="C37" s="192"/>
      <c r="D37" s="192"/>
      <c r="E37" s="74"/>
      <c r="F37" s="261">
        <v>7</v>
      </c>
      <c r="G37" s="45">
        <v>7</v>
      </c>
      <c r="H37" s="119" t="s">
        <v>37</v>
      </c>
      <c r="I37" s="128">
        <v>45324</v>
      </c>
      <c r="J37" s="261">
        <v>7</v>
      </c>
      <c r="K37" s="74"/>
      <c r="L37" s="156">
        <v>45325</v>
      </c>
      <c r="M37" s="90">
        <v>7</v>
      </c>
      <c r="N37" s="90"/>
      <c r="O37" s="90"/>
      <c r="P37" s="94" t="s">
        <v>160</v>
      </c>
      <c r="Q37" s="94">
        <v>8500067108</v>
      </c>
      <c r="R37" s="94">
        <v>5000211403</v>
      </c>
      <c r="S37" s="261">
        <v>7</v>
      </c>
      <c r="T37" s="90" t="s">
        <v>761</v>
      </c>
      <c r="U37" s="90">
        <v>8500067107</v>
      </c>
      <c r="V37" s="90">
        <v>5000149925</v>
      </c>
      <c r="W37" s="109"/>
      <c r="X37" s="106">
        <v>7</v>
      </c>
      <c r="Y37" s="106">
        <v>7</v>
      </c>
      <c r="Z37" s="106" t="s">
        <v>826</v>
      </c>
      <c r="AA37" s="106">
        <f t="shared" si="1"/>
        <v>0</v>
      </c>
      <c r="AB37" s="106">
        <f t="shared" si="2"/>
        <v>0</v>
      </c>
      <c r="AC37" s="94"/>
      <c r="AD37" s="94"/>
      <c r="AE37" s="94"/>
      <c r="AF37" s="94"/>
      <c r="AG37" s="94"/>
      <c r="AH37" s="263"/>
    </row>
    <row r="38" spans="1:34" ht="18.75" customHeight="1">
      <c r="A38" s="260"/>
      <c r="B38" s="264"/>
      <c r="C38" s="192"/>
      <c r="D38" s="192"/>
      <c r="E38" s="74"/>
      <c r="F38" s="261">
        <v>6</v>
      </c>
      <c r="G38" s="45">
        <v>6</v>
      </c>
      <c r="H38" s="119" t="s">
        <v>146</v>
      </c>
      <c r="I38" s="128">
        <v>45324</v>
      </c>
      <c r="J38" s="261">
        <v>6</v>
      </c>
      <c r="K38" s="74"/>
      <c r="L38" s="156">
        <v>45325</v>
      </c>
      <c r="M38" s="90">
        <v>6</v>
      </c>
      <c r="N38" s="90"/>
      <c r="O38" s="90"/>
      <c r="P38" s="94" t="s">
        <v>160</v>
      </c>
      <c r="Q38" s="94">
        <v>8500067108</v>
      </c>
      <c r="R38" s="94">
        <v>5000211403</v>
      </c>
      <c r="S38" s="261">
        <v>6</v>
      </c>
      <c r="T38" s="90" t="s">
        <v>761</v>
      </c>
      <c r="U38" s="90">
        <v>8500067107</v>
      </c>
      <c r="V38" s="90">
        <v>5000149925</v>
      </c>
      <c r="W38" s="109"/>
      <c r="X38" s="106">
        <v>6</v>
      </c>
      <c r="Y38" s="106">
        <v>6</v>
      </c>
      <c r="Z38" s="106" t="s">
        <v>826</v>
      </c>
      <c r="AA38" s="106">
        <f t="shared" si="1"/>
        <v>0</v>
      </c>
      <c r="AB38" s="106">
        <f t="shared" si="2"/>
        <v>0</v>
      </c>
      <c r="AC38" s="94"/>
      <c r="AD38" s="94"/>
      <c r="AE38" s="94"/>
      <c r="AF38" s="94"/>
      <c r="AG38" s="94"/>
      <c r="AH38" s="263"/>
    </row>
    <row r="39" spans="1:34" ht="19.5" customHeight="1">
      <c r="A39" s="318" t="s">
        <v>2786</v>
      </c>
      <c r="B39" s="264">
        <v>6000028533</v>
      </c>
      <c r="C39" s="192" t="s">
        <v>719</v>
      </c>
      <c r="D39" s="192" t="s">
        <v>2787</v>
      </c>
      <c r="E39" s="74">
        <v>10</v>
      </c>
      <c r="F39" s="261">
        <v>336</v>
      </c>
      <c r="G39" s="45">
        <f t="shared" si="0"/>
        <v>3360</v>
      </c>
      <c r="H39" s="119" t="s">
        <v>37</v>
      </c>
      <c r="I39" s="262">
        <v>44962</v>
      </c>
      <c r="J39" s="74">
        <v>336</v>
      </c>
      <c r="K39" s="74">
        <v>8</v>
      </c>
      <c r="L39" s="156">
        <v>45341</v>
      </c>
      <c r="M39" s="90">
        <v>3360</v>
      </c>
      <c r="N39" s="90">
        <v>34</v>
      </c>
      <c r="O39" s="90" t="s">
        <v>791</v>
      </c>
      <c r="P39" s="94" t="s">
        <v>160</v>
      </c>
      <c r="Q39" s="94">
        <v>8500067481</v>
      </c>
      <c r="R39" s="94">
        <v>5000157181</v>
      </c>
      <c r="S39" s="74">
        <v>336</v>
      </c>
      <c r="T39" s="90" t="s">
        <v>761</v>
      </c>
      <c r="U39" s="90">
        <v>8500067480</v>
      </c>
      <c r="V39" s="90">
        <v>5000196853</v>
      </c>
      <c r="W39" s="109">
        <v>45360</v>
      </c>
      <c r="X39" s="106">
        <v>336</v>
      </c>
      <c r="Y39" s="106">
        <v>3360</v>
      </c>
      <c r="Z39" s="106" t="s">
        <v>1380</v>
      </c>
      <c r="AA39" s="106">
        <f t="shared" si="1"/>
        <v>0</v>
      </c>
      <c r="AB39" s="106">
        <f t="shared" si="2"/>
        <v>0</v>
      </c>
      <c r="AC39" s="94"/>
      <c r="AD39" s="94"/>
      <c r="AE39" s="94"/>
      <c r="AF39" s="94"/>
      <c r="AG39" s="94"/>
      <c r="AH39" s="263"/>
    </row>
    <row r="40" spans="1:34" ht="19.5" customHeight="1">
      <c r="A40" s="260"/>
      <c r="B40" s="264"/>
      <c r="C40" s="192"/>
      <c r="D40" s="192"/>
      <c r="E40" s="74">
        <v>10</v>
      </c>
      <c r="F40" s="261">
        <v>514</v>
      </c>
      <c r="G40" s="45">
        <f t="shared" si="0"/>
        <v>5140</v>
      </c>
      <c r="H40" s="119" t="s">
        <v>146</v>
      </c>
      <c r="I40" s="262">
        <v>44962</v>
      </c>
      <c r="J40" s="158">
        <v>514</v>
      </c>
      <c r="K40" s="74">
        <v>18</v>
      </c>
      <c r="L40" s="156">
        <v>45341</v>
      </c>
      <c r="M40" s="90">
        <v>5140</v>
      </c>
      <c r="N40" s="90">
        <v>51</v>
      </c>
      <c r="O40" s="90"/>
      <c r="P40" s="94" t="s">
        <v>160</v>
      </c>
      <c r="Q40" s="94">
        <v>8500067483</v>
      </c>
      <c r="R40" s="94">
        <v>5000157187</v>
      </c>
      <c r="S40" s="158">
        <v>514</v>
      </c>
      <c r="T40" s="90" t="s">
        <v>761</v>
      </c>
      <c r="U40" s="90">
        <v>8500067482</v>
      </c>
      <c r="V40" s="90">
        <v>5000196854</v>
      </c>
      <c r="W40" s="109">
        <v>45356</v>
      </c>
      <c r="X40" s="106">
        <v>514</v>
      </c>
      <c r="Y40" s="106">
        <v>5140</v>
      </c>
      <c r="Z40" s="106" t="s">
        <v>759</v>
      </c>
      <c r="AA40" s="106">
        <f t="shared" si="1"/>
        <v>0</v>
      </c>
      <c r="AB40" s="106">
        <f t="shared" si="2"/>
        <v>0</v>
      </c>
      <c r="AC40" s="94"/>
      <c r="AD40" s="94"/>
      <c r="AE40" s="94"/>
      <c r="AF40" s="94"/>
      <c r="AG40" s="94"/>
      <c r="AH40" s="263"/>
    </row>
    <row r="41" spans="1:34" ht="19.5" customHeight="1">
      <c r="A41" s="318" t="s">
        <v>2786</v>
      </c>
      <c r="B41" s="264">
        <v>6000028533</v>
      </c>
      <c r="C41" s="192" t="s">
        <v>2788</v>
      </c>
      <c r="D41" s="192"/>
      <c r="E41" s="74">
        <v>10</v>
      </c>
      <c r="F41" s="261">
        <v>100</v>
      </c>
      <c r="G41" s="45">
        <f t="shared" si="0"/>
        <v>1000</v>
      </c>
      <c r="H41" s="119" t="s">
        <v>37</v>
      </c>
      <c r="I41" s="262">
        <v>44962</v>
      </c>
      <c r="J41" s="158">
        <v>100</v>
      </c>
      <c r="K41" s="74">
        <v>7</v>
      </c>
      <c r="L41" s="156">
        <v>45328</v>
      </c>
      <c r="M41" s="90">
        <v>1000</v>
      </c>
      <c r="N41" s="90">
        <v>5</v>
      </c>
      <c r="O41" s="90" t="s">
        <v>739</v>
      </c>
      <c r="P41" s="94" t="s">
        <v>160</v>
      </c>
      <c r="Q41" s="94">
        <v>8500067491</v>
      </c>
      <c r="R41" s="94">
        <v>5000157180</v>
      </c>
      <c r="S41" s="158">
        <v>100</v>
      </c>
      <c r="T41" s="90" t="s">
        <v>152</v>
      </c>
      <c r="U41" s="90">
        <v>8500067488</v>
      </c>
      <c r="V41" s="90">
        <v>5000157296</v>
      </c>
      <c r="W41" s="109">
        <v>45363</v>
      </c>
      <c r="X41" s="106">
        <v>100</v>
      </c>
      <c r="Y41" s="106">
        <v>1000</v>
      </c>
      <c r="Z41" s="106" t="s">
        <v>800</v>
      </c>
      <c r="AA41" s="106">
        <f t="shared" si="1"/>
        <v>0</v>
      </c>
      <c r="AB41" s="106">
        <f t="shared" si="2"/>
        <v>0</v>
      </c>
      <c r="AC41" s="111"/>
      <c r="AD41" s="94"/>
      <c r="AE41" s="94"/>
      <c r="AF41" s="94"/>
      <c r="AG41" s="94"/>
      <c r="AH41" s="263"/>
    </row>
    <row r="42" spans="1:34" ht="24.75" customHeight="1">
      <c r="A42" s="260"/>
      <c r="B42" s="264"/>
      <c r="C42" s="192"/>
      <c r="D42" s="192"/>
      <c r="E42" s="74">
        <v>10</v>
      </c>
      <c r="F42" s="261">
        <v>100</v>
      </c>
      <c r="G42" s="45">
        <f t="shared" si="0"/>
        <v>1000</v>
      </c>
      <c r="H42" s="119" t="s">
        <v>146</v>
      </c>
      <c r="I42" s="128" t="s">
        <v>2956</v>
      </c>
      <c r="J42" s="158">
        <f>61+39</f>
        <v>100</v>
      </c>
      <c r="K42" s="74">
        <f>8+1</f>
        <v>9</v>
      </c>
      <c r="L42" s="156">
        <v>45328</v>
      </c>
      <c r="M42" s="90">
        <v>1000</v>
      </c>
      <c r="N42" s="90">
        <v>5</v>
      </c>
      <c r="O42" s="90" t="s">
        <v>1902</v>
      </c>
      <c r="P42" s="94" t="s">
        <v>160</v>
      </c>
      <c r="Q42" s="94">
        <v>8500067495</v>
      </c>
      <c r="R42" s="53" t="s">
        <v>2957</v>
      </c>
      <c r="S42" s="158">
        <f>61+39</f>
        <v>100</v>
      </c>
      <c r="T42" s="90" t="s">
        <v>152</v>
      </c>
      <c r="U42" s="90">
        <v>8500067493</v>
      </c>
      <c r="V42" s="90">
        <v>5000157295</v>
      </c>
      <c r="W42" s="109">
        <v>45363</v>
      </c>
      <c r="X42" s="106">
        <v>100</v>
      </c>
      <c r="Y42" s="106">
        <v>1000</v>
      </c>
      <c r="Z42" s="106" t="s">
        <v>800</v>
      </c>
      <c r="AA42" s="106">
        <f t="shared" si="1"/>
        <v>0</v>
      </c>
      <c r="AB42" s="106">
        <f t="shared" si="2"/>
        <v>0</v>
      </c>
      <c r="AC42" s="111" t="s">
        <v>3103</v>
      </c>
      <c r="AD42" s="94"/>
      <c r="AE42" s="94"/>
      <c r="AF42" s="94"/>
      <c r="AG42" s="94"/>
      <c r="AH42" s="263"/>
    </row>
    <row r="43" spans="1:34" ht="19.5" customHeight="1">
      <c r="A43" s="318" t="s">
        <v>2786</v>
      </c>
      <c r="B43" s="264">
        <v>6000028533</v>
      </c>
      <c r="C43" s="192" t="s">
        <v>1780</v>
      </c>
      <c r="D43" s="192"/>
      <c r="E43" s="74">
        <v>10</v>
      </c>
      <c r="F43" s="261">
        <v>672</v>
      </c>
      <c r="G43" s="45">
        <f t="shared" si="0"/>
        <v>6720</v>
      </c>
      <c r="H43" s="119" t="s">
        <v>46</v>
      </c>
      <c r="I43" s="128">
        <v>45327</v>
      </c>
      <c r="J43" s="74">
        <v>672</v>
      </c>
      <c r="K43" s="74">
        <v>16</v>
      </c>
      <c r="L43" s="156">
        <v>45328</v>
      </c>
      <c r="M43" s="90">
        <v>6720</v>
      </c>
      <c r="N43" s="90">
        <v>67</v>
      </c>
      <c r="O43" s="90" t="s">
        <v>1879</v>
      </c>
      <c r="P43" s="94" t="s">
        <v>160</v>
      </c>
      <c r="Q43" s="94">
        <v>8500067503</v>
      </c>
      <c r="R43" s="94">
        <v>5000157183</v>
      </c>
      <c r="S43" s="74">
        <v>672</v>
      </c>
      <c r="T43" s="90" t="s">
        <v>761</v>
      </c>
      <c r="U43" s="90">
        <v>8500067501</v>
      </c>
      <c r="V43" s="90">
        <v>5000157433</v>
      </c>
      <c r="W43" s="109">
        <v>45343</v>
      </c>
      <c r="X43" s="106">
        <v>672</v>
      </c>
      <c r="Y43" s="106">
        <v>6720</v>
      </c>
      <c r="Z43" s="106" t="s">
        <v>1980</v>
      </c>
      <c r="AA43" s="106">
        <f t="shared" si="1"/>
        <v>0</v>
      </c>
      <c r="AB43" s="106">
        <f t="shared" si="2"/>
        <v>0</v>
      </c>
      <c r="AC43" s="111"/>
      <c r="AD43" s="94"/>
      <c r="AE43" s="94"/>
      <c r="AF43" s="94"/>
      <c r="AG43" s="94"/>
      <c r="AH43" s="263"/>
    </row>
    <row r="44" spans="1:34" ht="19.5" customHeight="1">
      <c r="A44" s="260"/>
      <c r="B44" s="264"/>
      <c r="C44" s="192"/>
      <c r="D44" s="192"/>
      <c r="E44" s="74">
        <v>10</v>
      </c>
      <c r="F44" s="261">
        <v>618</v>
      </c>
      <c r="G44" s="45">
        <f t="shared" si="0"/>
        <v>6180</v>
      </c>
      <c r="H44" s="119" t="s">
        <v>37</v>
      </c>
      <c r="I44" s="128">
        <v>45327</v>
      </c>
      <c r="J44" s="74">
        <v>618</v>
      </c>
      <c r="K44" s="74">
        <v>16</v>
      </c>
      <c r="L44" s="156">
        <v>45328</v>
      </c>
      <c r="M44" s="90">
        <v>6180</v>
      </c>
      <c r="N44" s="90">
        <v>62</v>
      </c>
      <c r="O44" s="90" t="s">
        <v>1879</v>
      </c>
      <c r="P44" s="94" t="s">
        <v>160</v>
      </c>
      <c r="Q44" s="94">
        <v>8500067503</v>
      </c>
      <c r="R44" s="94">
        <v>5000157183</v>
      </c>
      <c r="S44" s="74">
        <v>618</v>
      </c>
      <c r="T44" s="90" t="s">
        <v>761</v>
      </c>
      <c r="U44" s="90">
        <v>8500067501</v>
      </c>
      <c r="V44" s="90">
        <v>5000157433</v>
      </c>
      <c r="W44" s="109">
        <v>45343</v>
      </c>
      <c r="X44" s="106">
        <v>618</v>
      </c>
      <c r="Y44" s="106">
        <v>6180</v>
      </c>
      <c r="Z44" s="106" t="s">
        <v>1980</v>
      </c>
      <c r="AA44" s="106">
        <f t="shared" si="1"/>
        <v>0</v>
      </c>
      <c r="AB44" s="106">
        <f t="shared" si="2"/>
        <v>0</v>
      </c>
      <c r="AC44" s="508"/>
      <c r="AD44" s="94"/>
      <c r="AE44" s="94"/>
      <c r="AF44" s="94"/>
      <c r="AG44" s="94"/>
      <c r="AH44" s="263"/>
    </row>
    <row r="45" spans="1:34" ht="19.5" customHeight="1">
      <c r="A45" s="260"/>
      <c r="B45" s="264"/>
      <c r="C45" s="192"/>
      <c r="D45" s="192"/>
      <c r="E45" s="74">
        <v>10</v>
      </c>
      <c r="F45" s="74">
        <v>560</v>
      </c>
      <c r="G45" s="45">
        <f t="shared" si="0"/>
        <v>5600</v>
      </c>
      <c r="H45" s="119" t="s">
        <v>146</v>
      </c>
      <c r="I45" s="128">
        <v>45327</v>
      </c>
      <c r="J45" s="74">
        <v>560</v>
      </c>
      <c r="K45" s="74">
        <v>13</v>
      </c>
      <c r="L45" s="156">
        <v>45328</v>
      </c>
      <c r="M45" s="90">
        <v>5600</v>
      </c>
      <c r="N45" s="90">
        <v>56</v>
      </c>
      <c r="O45" s="90" t="s">
        <v>917</v>
      </c>
      <c r="P45" s="94" t="s">
        <v>160</v>
      </c>
      <c r="Q45" s="94">
        <v>8500067507</v>
      </c>
      <c r="R45" s="94">
        <v>5000157186</v>
      </c>
      <c r="S45" s="74">
        <v>560</v>
      </c>
      <c r="T45" s="90" t="s">
        <v>761</v>
      </c>
      <c r="U45" s="90">
        <v>8500067504</v>
      </c>
      <c r="V45" s="90">
        <v>5000157434</v>
      </c>
      <c r="W45" s="109">
        <v>45355</v>
      </c>
      <c r="X45" s="106">
        <v>560</v>
      </c>
      <c r="Y45" s="106">
        <v>5600</v>
      </c>
      <c r="Z45" s="106" t="s">
        <v>1609</v>
      </c>
      <c r="AA45" s="106">
        <f t="shared" si="1"/>
        <v>0</v>
      </c>
      <c r="AB45" s="106">
        <f t="shared" si="2"/>
        <v>0</v>
      </c>
      <c r="AC45" s="509"/>
      <c r="AD45" s="94"/>
      <c r="AE45" s="94"/>
      <c r="AF45" s="94"/>
      <c r="AG45" s="94"/>
      <c r="AH45" s="263"/>
    </row>
    <row r="46" spans="1:34" ht="18.75" customHeight="1">
      <c r="A46" s="318" t="s">
        <v>2786</v>
      </c>
      <c r="B46" s="264">
        <v>6000028533</v>
      </c>
      <c r="C46" s="192" t="s">
        <v>2789</v>
      </c>
      <c r="D46" s="192"/>
      <c r="E46" s="74">
        <v>10</v>
      </c>
      <c r="F46" s="74">
        <v>100</v>
      </c>
      <c r="G46" s="45">
        <f t="shared" si="0"/>
        <v>1000</v>
      </c>
      <c r="H46" s="119" t="s">
        <v>37</v>
      </c>
      <c r="I46" s="128">
        <v>45327</v>
      </c>
      <c r="J46" s="74">
        <v>100</v>
      </c>
      <c r="K46" s="74">
        <v>6</v>
      </c>
      <c r="L46" s="156">
        <v>45328</v>
      </c>
      <c r="M46" s="90">
        <v>1000</v>
      </c>
      <c r="N46" s="90">
        <v>5</v>
      </c>
      <c r="O46" s="90" t="s">
        <v>853</v>
      </c>
      <c r="P46" s="94" t="s">
        <v>160</v>
      </c>
      <c r="Q46" s="94">
        <v>8500067513</v>
      </c>
      <c r="R46" s="94">
        <v>5000157185</v>
      </c>
      <c r="S46" s="74">
        <v>100</v>
      </c>
      <c r="T46" s="90" t="s">
        <v>152</v>
      </c>
      <c r="U46" s="90">
        <v>8500067511</v>
      </c>
      <c r="V46" s="90">
        <v>5000157294</v>
      </c>
      <c r="W46" s="109">
        <v>45363</v>
      </c>
      <c r="X46" s="106">
        <v>100</v>
      </c>
      <c r="Y46" s="106">
        <v>1000</v>
      </c>
      <c r="Z46" s="106" t="s">
        <v>800</v>
      </c>
      <c r="AA46" s="106">
        <f t="shared" si="1"/>
        <v>0</v>
      </c>
      <c r="AB46" s="106">
        <f t="shared" si="2"/>
        <v>0</v>
      </c>
      <c r="AC46" s="509"/>
      <c r="AD46" s="94"/>
      <c r="AE46" s="94"/>
      <c r="AF46" s="94"/>
      <c r="AG46" s="94"/>
      <c r="AH46" s="263"/>
    </row>
    <row r="47" spans="1:34" ht="19.5" customHeight="1">
      <c r="A47" s="260"/>
      <c r="B47" s="264"/>
      <c r="C47" s="192"/>
      <c r="D47" s="192"/>
      <c r="E47" s="74">
        <v>10</v>
      </c>
      <c r="F47" s="261">
        <v>100</v>
      </c>
      <c r="G47" s="45">
        <f t="shared" si="0"/>
        <v>1000</v>
      </c>
      <c r="H47" s="119" t="s">
        <v>146</v>
      </c>
      <c r="I47" s="128">
        <v>45327</v>
      </c>
      <c r="J47" s="74">
        <v>100</v>
      </c>
      <c r="K47" s="74">
        <v>10</v>
      </c>
      <c r="L47" s="156">
        <v>45328</v>
      </c>
      <c r="M47" s="90">
        <v>1000</v>
      </c>
      <c r="N47" s="90">
        <v>5</v>
      </c>
      <c r="O47" s="90" t="s">
        <v>853</v>
      </c>
      <c r="P47" s="94" t="s">
        <v>160</v>
      </c>
      <c r="Q47" s="94">
        <v>8500067521</v>
      </c>
      <c r="R47" s="94">
        <v>5000157184</v>
      </c>
      <c r="S47" s="74">
        <v>100</v>
      </c>
      <c r="T47" s="90" t="s">
        <v>152</v>
      </c>
      <c r="U47" s="90">
        <v>8500067518</v>
      </c>
      <c r="V47" s="90">
        <v>5000157293</v>
      </c>
      <c r="W47" s="109">
        <v>45363</v>
      </c>
      <c r="X47" s="106">
        <v>100</v>
      </c>
      <c r="Y47" s="106">
        <v>1000</v>
      </c>
      <c r="Z47" s="106" t="s">
        <v>800</v>
      </c>
      <c r="AA47" s="106">
        <f t="shared" si="1"/>
        <v>0</v>
      </c>
      <c r="AB47" s="106">
        <f t="shared" si="2"/>
        <v>0</v>
      </c>
      <c r="AC47" s="510"/>
      <c r="AD47" s="94"/>
      <c r="AE47" s="94"/>
      <c r="AF47" s="94"/>
      <c r="AG47" s="94"/>
      <c r="AH47" s="263"/>
    </row>
    <row r="48" spans="1:34" ht="19.5" customHeight="1">
      <c r="A48" s="318" t="s">
        <v>2790</v>
      </c>
      <c r="B48" s="264">
        <v>6000028147</v>
      </c>
      <c r="C48" s="192" t="s">
        <v>2791</v>
      </c>
      <c r="D48" s="192">
        <v>6000028147</v>
      </c>
      <c r="E48" s="74">
        <v>10</v>
      </c>
      <c r="F48" s="261">
        <v>300</v>
      </c>
      <c r="G48" s="45">
        <f t="shared" si="0"/>
        <v>3000</v>
      </c>
      <c r="H48" s="119" t="s">
        <v>37</v>
      </c>
      <c r="I48" s="128">
        <v>45327</v>
      </c>
      <c r="J48" s="74">
        <v>300</v>
      </c>
      <c r="K48" s="74">
        <v>9</v>
      </c>
      <c r="L48" s="156">
        <v>45327</v>
      </c>
      <c r="M48" s="90">
        <v>3000</v>
      </c>
      <c r="N48" s="90">
        <v>15</v>
      </c>
      <c r="O48" s="90" t="s">
        <v>824</v>
      </c>
      <c r="P48" s="94" t="s">
        <v>160</v>
      </c>
      <c r="Q48" s="94">
        <v>8500066857</v>
      </c>
      <c r="R48" s="94">
        <v>5000264060</v>
      </c>
      <c r="S48" s="74">
        <v>300</v>
      </c>
      <c r="T48" s="90" t="s">
        <v>152</v>
      </c>
      <c r="U48" s="90">
        <v>8500066856</v>
      </c>
      <c r="V48" s="90">
        <v>5000157290</v>
      </c>
      <c r="W48" s="109">
        <v>45370</v>
      </c>
      <c r="X48" s="106">
        <v>300</v>
      </c>
      <c r="Y48" s="106">
        <v>3000</v>
      </c>
      <c r="Z48" s="106" t="s">
        <v>197</v>
      </c>
      <c r="AA48" s="106">
        <f t="shared" si="1"/>
        <v>0</v>
      </c>
      <c r="AB48" s="106">
        <f t="shared" si="2"/>
        <v>0</v>
      </c>
      <c r="AC48" s="94"/>
      <c r="AD48" s="94"/>
      <c r="AE48" s="94"/>
      <c r="AF48" s="94"/>
      <c r="AG48" s="94"/>
      <c r="AH48" s="263"/>
    </row>
    <row r="49" spans="1:34" ht="18.75" customHeight="1">
      <c r="A49" s="318" t="s">
        <v>2790</v>
      </c>
      <c r="B49" s="264">
        <v>6000028147</v>
      </c>
      <c r="C49" s="192" t="s">
        <v>2792</v>
      </c>
      <c r="D49" s="192"/>
      <c r="E49" s="74">
        <v>10</v>
      </c>
      <c r="F49" s="74">
        <v>490</v>
      </c>
      <c r="G49" s="45">
        <f t="shared" si="0"/>
        <v>4900</v>
      </c>
      <c r="H49" s="119" t="s">
        <v>46</v>
      </c>
      <c r="I49" s="128">
        <v>45327</v>
      </c>
      <c r="J49" s="74">
        <v>490</v>
      </c>
      <c r="K49" s="74">
        <f>10+6</f>
        <v>16</v>
      </c>
      <c r="L49" s="156">
        <v>45350</v>
      </c>
      <c r="M49" s="90">
        <v>4900</v>
      </c>
      <c r="N49" s="90">
        <v>49</v>
      </c>
      <c r="O49" s="90" t="s">
        <v>1813</v>
      </c>
      <c r="P49" s="94" t="s">
        <v>160</v>
      </c>
      <c r="Q49" s="94">
        <v>8500066862</v>
      </c>
      <c r="R49" s="94">
        <v>5000264064</v>
      </c>
      <c r="S49" s="74">
        <v>490</v>
      </c>
      <c r="T49" s="90" t="s">
        <v>1558</v>
      </c>
      <c r="U49" s="90">
        <v>8500066861</v>
      </c>
      <c r="V49" s="90">
        <v>5000236375</v>
      </c>
      <c r="W49" s="109">
        <v>45366</v>
      </c>
      <c r="X49" s="106">
        <v>490</v>
      </c>
      <c r="Y49" s="106">
        <v>4900</v>
      </c>
      <c r="Z49" s="106" t="s">
        <v>800</v>
      </c>
      <c r="AA49" s="106">
        <f t="shared" si="1"/>
        <v>0</v>
      </c>
      <c r="AB49" s="106">
        <f t="shared" si="2"/>
        <v>0</v>
      </c>
      <c r="AC49" s="94"/>
      <c r="AD49" s="94"/>
      <c r="AE49" s="94"/>
      <c r="AF49" s="94"/>
      <c r="AG49" s="94"/>
      <c r="AH49" s="263"/>
    </row>
    <row r="50" spans="1:34" ht="19.5" customHeight="1">
      <c r="A50" s="318"/>
      <c r="B50" s="264"/>
      <c r="C50" s="192"/>
      <c r="D50" s="192"/>
      <c r="E50" s="74">
        <v>10</v>
      </c>
      <c r="F50" s="74">
        <v>300</v>
      </c>
      <c r="G50" s="45">
        <f t="shared" si="0"/>
        <v>3000</v>
      </c>
      <c r="H50" s="119" t="s">
        <v>37</v>
      </c>
      <c r="I50" s="128">
        <v>45327</v>
      </c>
      <c r="J50" s="74">
        <v>300</v>
      </c>
      <c r="K50" s="74">
        <v>9</v>
      </c>
      <c r="L50" s="156">
        <v>45350</v>
      </c>
      <c r="M50" s="90">
        <v>3000</v>
      </c>
      <c r="N50" s="90">
        <v>30</v>
      </c>
      <c r="O50" s="90" t="s">
        <v>1732</v>
      </c>
      <c r="P50" s="94" t="s">
        <v>160</v>
      </c>
      <c r="Q50" s="94">
        <v>8500066862</v>
      </c>
      <c r="R50" s="94">
        <v>5000264064</v>
      </c>
      <c r="S50" s="74">
        <v>300</v>
      </c>
      <c r="T50" s="90" t="s">
        <v>1558</v>
      </c>
      <c r="U50" s="90">
        <v>8500066861</v>
      </c>
      <c r="V50" s="90">
        <v>5000236375</v>
      </c>
      <c r="W50" s="109">
        <v>45366</v>
      </c>
      <c r="X50" s="106">
        <v>300</v>
      </c>
      <c r="Y50" s="106">
        <v>3000</v>
      </c>
      <c r="Z50" s="106" t="s">
        <v>800</v>
      </c>
      <c r="AA50" s="106">
        <f t="shared" si="1"/>
        <v>0</v>
      </c>
      <c r="AB50" s="106">
        <f t="shared" si="2"/>
        <v>0</v>
      </c>
      <c r="AC50" s="94"/>
      <c r="AD50" s="94"/>
      <c r="AE50" s="94"/>
      <c r="AF50" s="94"/>
      <c r="AG50" s="94"/>
      <c r="AH50" s="263"/>
    </row>
    <row r="51" spans="1:34" ht="19.5" customHeight="1">
      <c r="A51" s="318" t="s">
        <v>2809</v>
      </c>
      <c r="B51" s="264">
        <v>6000028477</v>
      </c>
      <c r="C51" s="192" t="s">
        <v>2807</v>
      </c>
      <c r="D51" s="192"/>
      <c r="E51" s="74">
        <v>10</v>
      </c>
      <c r="F51" s="74">
        <v>750</v>
      </c>
      <c r="G51" s="45">
        <f t="shared" si="0"/>
        <v>7500</v>
      </c>
      <c r="H51" s="119" t="s">
        <v>27</v>
      </c>
      <c r="I51" s="128" t="s">
        <v>2919</v>
      </c>
      <c r="J51" s="74">
        <f>660+90</f>
        <v>750</v>
      </c>
      <c r="K51" s="74">
        <v>10</v>
      </c>
      <c r="L51" s="156"/>
      <c r="M51" s="90">
        <f>6500+1000</f>
        <v>7500</v>
      </c>
      <c r="N51" s="90" t="s">
        <v>2943</v>
      </c>
      <c r="O51" s="90"/>
      <c r="P51" s="94" t="s">
        <v>28</v>
      </c>
      <c r="Q51" s="94">
        <v>8500067465</v>
      </c>
      <c r="R51" s="94">
        <v>5000202962</v>
      </c>
      <c r="S51" s="74">
        <f>660+90</f>
        <v>750</v>
      </c>
      <c r="T51" s="90"/>
      <c r="U51" s="90"/>
      <c r="V51" s="90"/>
      <c r="W51" s="109" t="s">
        <v>2977</v>
      </c>
      <c r="X51" s="106">
        <f>200+550</f>
        <v>750</v>
      </c>
      <c r="Y51" s="106">
        <f>2000+5500</f>
        <v>7500</v>
      </c>
      <c r="Z51" s="106" t="s">
        <v>1782</v>
      </c>
      <c r="AA51" s="106">
        <f t="shared" si="1"/>
        <v>0</v>
      </c>
      <c r="AB51" s="106">
        <f t="shared" si="2"/>
        <v>0</v>
      </c>
      <c r="AC51" s="94"/>
      <c r="AD51" s="94"/>
      <c r="AE51" s="94"/>
      <c r="AF51" s="94"/>
      <c r="AG51" s="94"/>
      <c r="AH51" s="263"/>
    </row>
    <row r="52" spans="1:34" ht="19.5" customHeight="1">
      <c r="A52" s="260"/>
      <c r="B52" s="264"/>
      <c r="C52" s="192"/>
      <c r="D52" s="192"/>
      <c r="E52" s="2">
        <v>10</v>
      </c>
      <c r="F52" s="74">
        <v>600</v>
      </c>
      <c r="G52" s="45">
        <f>F52*E52</f>
        <v>6000</v>
      </c>
      <c r="H52" s="119" t="s">
        <v>46</v>
      </c>
      <c r="I52" s="128">
        <v>45343</v>
      </c>
      <c r="J52" s="74">
        <v>600</v>
      </c>
      <c r="K52" s="74">
        <v>8</v>
      </c>
      <c r="L52" s="156"/>
      <c r="M52" s="90">
        <v>6000</v>
      </c>
      <c r="N52" s="90">
        <v>6000</v>
      </c>
      <c r="O52" s="90"/>
      <c r="P52" s="94" t="s">
        <v>28</v>
      </c>
      <c r="Q52" s="94">
        <v>8500067465</v>
      </c>
      <c r="R52" s="94">
        <v>5000203556</v>
      </c>
      <c r="S52" s="74">
        <v>600</v>
      </c>
      <c r="T52" s="90"/>
      <c r="U52" s="90"/>
      <c r="V52" s="90"/>
      <c r="W52" s="109">
        <v>45351</v>
      </c>
      <c r="X52" s="106">
        <v>600</v>
      </c>
      <c r="Y52" s="106">
        <v>6000</v>
      </c>
      <c r="Z52" s="106" t="s">
        <v>800</v>
      </c>
      <c r="AA52" s="106">
        <f t="shared" si="1"/>
        <v>0</v>
      </c>
      <c r="AB52" s="106">
        <f t="shared" si="2"/>
        <v>0</v>
      </c>
      <c r="AC52" s="94"/>
      <c r="AD52" s="94"/>
      <c r="AE52" s="94"/>
      <c r="AF52" s="94"/>
      <c r="AG52" s="94"/>
      <c r="AH52" s="263"/>
    </row>
    <row r="53" spans="1:34" ht="19.5" customHeight="1">
      <c r="A53" s="260"/>
      <c r="B53" s="264"/>
      <c r="C53" s="192"/>
      <c r="D53" s="192"/>
      <c r="E53" s="74"/>
      <c r="F53" s="74"/>
      <c r="G53" s="45" t="s">
        <v>2534</v>
      </c>
      <c r="H53" s="119" t="s">
        <v>27</v>
      </c>
      <c r="I53" s="132"/>
      <c r="J53" s="74"/>
      <c r="K53" s="74"/>
      <c r="L53" s="156" t="s">
        <v>2872</v>
      </c>
      <c r="M53" s="90">
        <f>6500+1000</f>
        <v>7500</v>
      </c>
      <c r="N53" s="90">
        <v>280</v>
      </c>
      <c r="O53" s="90"/>
      <c r="P53" s="94"/>
      <c r="Q53" s="94"/>
      <c r="R53" s="94"/>
      <c r="S53" s="94"/>
      <c r="T53" s="90" t="s">
        <v>2808</v>
      </c>
      <c r="U53" s="90">
        <v>8500067466</v>
      </c>
      <c r="V53" s="90">
        <v>5000161526</v>
      </c>
      <c r="W53" s="109"/>
      <c r="X53" s="106"/>
      <c r="Y53" s="106">
        <f>2000+5500</f>
        <v>7500</v>
      </c>
      <c r="Z53" s="106"/>
      <c r="AA53" s="106">
        <f t="shared" si="1"/>
        <v>0</v>
      </c>
      <c r="AB53" s="106">
        <f t="shared" si="2"/>
        <v>0</v>
      </c>
      <c r="AC53" s="94"/>
      <c r="AD53" s="94"/>
      <c r="AE53" s="94"/>
      <c r="AF53" s="94"/>
      <c r="AG53" s="94"/>
      <c r="AH53" s="263"/>
    </row>
    <row r="54" spans="1:34" ht="19.5" customHeight="1">
      <c r="A54" s="260"/>
      <c r="B54" s="264"/>
      <c r="C54" s="192"/>
      <c r="D54" s="192"/>
      <c r="E54" s="74"/>
      <c r="F54" s="74"/>
      <c r="G54" s="45" t="s">
        <v>2534</v>
      </c>
      <c r="H54" s="119" t="s">
        <v>46</v>
      </c>
      <c r="I54" s="128"/>
      <c r="J54" s="74"/>
      <c r="K54" s="74"/>
      <c r="L54" s="156">
        <v>45327</v>
      </c>
      <c r="M54" s="90">
        <v>6000</v>
      </c>
      <c r="N54" s="90">
        <v>140</v>
      </c>
      <c r="O54" s="90"/>
      <c r="P54" s="94"/>
      <c r="Q54" s="94"/>
      <c r="R54" s="94"/>
      <c r="S54" s="94"/>
      <c r="T54" s="90" t="s">
        <v>2808</v>
      </c>
      <c r="U54" s="90">
        <v>8500067466</v>
      </c>
      <c r="V54" s="90">
        <v>5000161526</v>
      </c>
      <c r="W54" s="109"/>
      <c r="X54" s="106"/>
      <c r="Y54" s="106">
        <v>6000</v>
      </c>
      <c r="Z54" s="106"/>
      <c r="AA54" s="106">
        <f t="shared" si="1"/>
        <v>0</v>
      </c>
      <c r="AB54" s="106">
        <f t="shared" si="2"/>
        <v>0</v>
      </c>
      <c r="AC54" s="94"/>
      <c r="AD54" s="94"/>
      <c r="AE54" s="94"/>
      <c r="AF54" s="94"/>
      <c r="AG54" s="94"/>
      <c r="AH54" s="263"/>
    </row>
    <row r="55" spans="1:34" ht="24" customHeight="1">
      <c r="A55" s="318" t="s">
        <v>279</v>
      </c>
      <c r="B55" s="264">
        <v>6000028933</v>
      </c>
      <c r="C55" s="192" t="s">
        <v>414</v>
      </c>
      <c r="D55" s="192" t="s">
        <v>2843</v>
      </c>
      <c r="E55" s="2">
        <v>10</v>
      </c>
      <c r="F55" s="74">
        <v>100</v>
      </c>
      <c r="G55" s="45">
        <f t="shared" ref="G55:G86" si="3">F55*E55</f>
        <v>1000</v>
      </c>
      <c r="H55" s="119" t="s">
        <v>243</v>
      </c>
      <c r="I55" s="128">
        <v>45345</v>
      </c>
      <c r="J55" s="74">
        <v>100</v>
      </c>
      <c r="K55" s="74">
        <f>10+1</f>
        <v>11</v>
      </c>
      <c r="L55" s="156">
        <v>45351</v>
      </c>
      <c r="M55" s="90">
        <v>1000</v>
      </c>
      <c r="N55" s="90">
        <v>25</v>
      </c>
      <c r="O55" s="90" t="s">
        <v>1569</v>
      </c>
      <c r="P55" s="94" t="s">
        <v>28</v>
      </c>
      <c r="Q55" s="94">
        <v>8500067832</v>
      </c>
      <c r="R55" s="94">
        <v>5000215918</v>
      </c>
      <c r="S55" s="74">
        <v>100</v>
      </c>
      <c r="T55" s="90" t="s">
        <v>87</v>
      </c>
      <c r="U55" s="90"/>
      <c r="V55" s="90"/>
      <c r="W55" s="109">
        <v>45358</v>
      </c>
      <c r="X55" s="106">
        <v>100</v>
      </c>
      <c r="Y55" s="106">
        <v>1000</v>
      </c>
      <c r="Z55" s="106" t="s">
        <v>803</v>
      </c>
      <c r="AA55" s="106">
        <f t="shared" si="1"/>
        <v>0</v>
      </c>
      <c r="AB55" s="106">
        <f t="shared" si="2"/>
        <v>0</v>
      </c>
      <c r="AC55" s="94"/>
      <c r="AD55" s="94"/>
      <c r="AE55" s="94"/>
      <c r="AF55" s="94"/>
      <c r="AG55" s="94"/>
      <c r="AH55" s="263"/>
    </row>
    <row r="56" spans="1:34" ht="19.5" customHeight="1">
      <c r="A56" s="318"/>
      <c r="B56" s="264"/>
      <c r="C56" s="192"/>
      <c r="D56" s="192"/>
      <c r="E56" s="2">
        <v>10</v>
      </c>
      <c r="F56" s="74">
        <v>600</v>
      </c>
      <c r="G56" s="45">
        <f t="shared" si="3"/>
        <v>6000</v>
      </c>
      <c r="H56" s="119" t="s">
        <v>27</v>
      </c>
      <c r="I56" s="128">
        <v>45345</v>
      </c>
      <c r="J56" s="74">
        <v>600</v>
      </c>
      <c r="K56" s="74">
        <f>10+8</f>
        <v>18</v>
      </c>
      <c r="L56" s="156">
        <v>45351</v>
      </c>
      <c r="M56" s="90">
        <v>6000</v>
      </c>
      <c r="N56" s="90">
        <v>75</v>
      </c>
      <c r="O56" s="90"/>
      <c r="P56" s="94" t="s">
        <v>28</v>
      </c>
      <c r="Q56" s="94">
        <v>8500067832</v>
      </c>
      <c r="R56" s="94">
        <v>5000215918</v>
      </c>
      <c r="S56" s="74">
        <v>600</v>
      </c>
      <c r="T56" s="90" t="s">
        <v>87</v>
      </c>
      <c r="U56" s="90">
        <v>8500067831</v>
      </c>
      <c r="V56" s="90">
        <v>5000240074</v>
      </c>
      <c r="W56" s="109">
        <v>45353</v>
      </c>
      <c r="X56" s="106">
        <v>600</v>
      </c>
      <c r="Y56" s="106">
        <v>6000</v>
      </c>
      <c r="Z56" s="106" t="s">
        <v>803</v>
      </c>
      <c r="AA56" s="106">
        <f t="shared" si="1"/>
        <v>0</v>
      </c>
      <c r="AB56" s="106">
        <f t="shared" si="2"/>
        <v>0</v>
      </c>
      <c r="AC56" s="94"/>
      <c r="AD56" s="94"/>
      <c r="AE56" s="94"/>
      <c r="AF56" s="94"/>
      <c r="AG56" s="94"/>
      <c r="AH56" s="263"/>
    </row>
    <row r="57" spans="1:34" ht="21" customHeight="1">
      <c r="A57" s="318"/>
      <c r="B57" s="264"/>
      <c r="C57" s="192"/>
      <c r="D57" s="192"/>
      <c r="E57" s="2">
        <v>10</v>
      </c>
      <c r="F57" s="74">
        <v>1050</v>
      </c>
      <c r="G57" s="45">
        <f t="shared" si="3"/>
        <v>10500</v>
      </c>
      <c r="H57" s="119" t="s">
        <v>46</v>
      </c>
      <c r="I57" s="128">
        <v>45345</v>
      </c>
      <c r="J57" s="74">
        <v>1050</v>
      </c>
      <c r="K57" s="74">
        <f>10+12</f>
        <v>22</v>
      </c>
      <c r="L57" s="156">
        <v>45351</v>
      </c>
      <c r="M57" s="90">
        <v>10500</v>
      </c>
      <c r="N57" s="90">
        <v>120</v>
      </c>
      <c r="O57" s="90"/>
      <c r="P57" s="94" t="s">
        <v>28</v>
      </c>
      <c r="Q57" s="94">
        <v>8500067832</v>
      </c>
      <c r="R57" s="94">
        <v>5000212429</v>
      </c>
      <c r="S57" s="74">
        <v>1050</v>
      </c>
      <c r="T57" s="90" t="s">
        <v>87</v>
      </c>
      <c r="U57" s="90">
        <v>8500067831</v>
      </c>
      <c r="V57" s="90">
        <v>5000240074</v>
      </c>
      <c r="W57" s="109">
        <v>45365</v>
      </c>
      <c r="X57" s="106">
        <v>1050</v>
      </c>
      <c r="Y57" s="106">
        <v>10500</v>
      </c>
      <c r="Z57" s="106" t="s">
        <v>1460</v>
      </c>
      <c r="AA57" s="106">
        <f t="shared" si="1"/>
        <v>0</v>
      </c>
      <c r="AB57" s="106">
        <f t="shared" si="2"/>
        <v>0</v>
      </c>
      <c r="AC57" s="94" t="s">
        <v>3192</v>
      </c>
      <c r="AD57" s="94"/>
      <c r="AE57" s="94"/>
      <c r="AF57" s="94"/>
      <c r="AG57" s="94"/>
      <c r="AH57" s="263"/>
    </row>
    <row r="58" spans="1:34" ht="19.5" customHeight="1">
      <c r="A58" s="318"/>
      <c r="B58" s="264"/>
      <c r="C58" s="192"/>
      <c r="D58" s="192"/>
      <c r="E58" s="2">
        <v>10</v>
      </c>
      <c r="F58" s="74">
        <v>630</v>
      </c>
      <c r="G58" s="45">
        <f t="shared" si="3"/>
        <v>6300</v>
      </c>
      <c r="H58" s="119" t="s">
        <v>37</v>
      </c>
      <c r="I58" s="128">
        <v>45345</v>
      </c>
      <c r="J58" s="74">
        <v>630</v>
      </c>
      <c r="K58" s="74">
        <f>10+6</f>
        <v>16</v>
      </c>
      <c r="L58" s="156">
        <v>45351</v>
      </c>
      <c r="M58" s="90">
        <v>6300</v>
      </c>
      <c r="N58" s="90">
        <v>78</v>
      </c>
      <c r="O58" s="90"/>
      <c r="P58" s="94" t="s">
        <v>28</v>
      </c>
      <c r="Q58" s="94">
        <v>8500067832</v>
      </c>
      <c r="R58" s="94">
        <v>5000212429</v>
      </c>
      <c r="S58" s="74">
        <v>630</v>
      </c>
      <c r="T58" s="90" t="s">
        <v>87</v>
      </c>
      <c r="U58" s="90">
        <v>8500067831</v>
      </c>
      <c r="V58" s="90">
        <v>5000240074</v>
      </c>
      <c r="W58" s="109">
        <v>45371</v>
      </c>
      <c r="X58" s="106">
        <v>630</v>
      </c>
      <c r="Y58" s="106">
        <v>6300</v>
      </c>
      <c r="Z58" s="106" t="s">
        <v>35</v>
      </c>
      <c r="AA58" s="106">
        <f t="shared" si="1"/>
        <v>0</v>
      </c>
      <c r="AB58" s="106">
        <f t="shared" si="2"/>
        <v>0</v>
      </c>
      <c r="AC58" s="94"/>
      <c r="AD58" s="94"/>
      <c r="AE58" s="94"/>
      <c r="AF58" s="94"/>
      <c r="AG58" s="94"/>
      <c r="AH58" s="263"/>
    </row>
    <row r="59" spans="1:34" ht="19.5" customHeight="1">
      <c r="A59" s="318"/>
      <c r="B59" s="264"/>
      <c r="C59" s="192"/>
      <c r="D59" s="192"/>
      <c r="E59" s="2">
        <v>10</v>
      </c>
      <c r="F59" s="74">
        <v>100</v>
      </c>
      <c r="G59" s="45">
        <f t="shared" si="3"/>
        <v>1000</v>
      </c>
      <c r="H59" s="119" t="s">
        <v>146</v>
      </c>
      <c r="I59" s="128">
        <v>45345</v>
      </c>
      <c r="J59" s="74">
        <v>100</v>
      </c>
      <c r="K59" s="74">
        <f>10+1</f>
        <v>11</v>
      </c>
      <c r="L59" s="156">
        <v>45351</v>
      </c>
      <c r="M59" s="90">
        <v>1000</v>
      </c>
      <c r="N59" s="90">
        <v>25</v>
      </c>
      <c r="O59" s="90" t="s">
        <v>2037</v>
      </c>
      <c r="P59" s="94" t="s">
        <v>28</v>
      </c>
      <c r="Q59" s="94">
        <v>8500067834</v>
      </c>
      <c r="R59" s="94">
        <v>5000215919</v>
      </c>
      <c r="S59" s="74">
        <v>100</v>
      </c>
      <c r="T59" s="90" t="s">
        <v>87</v>
      </c>
      <c r="U59" s="90"/>
      <c r="V59" s="90"/>
      <c r="W59" s="109">
        <v>45367</v>
      </c>
      <c r="X59" s="106">
        <v>100</v>
      </c>
      <c r="Y59" s="106">
        <v>1000</v>
      </c>
      <c r="Z59" s="106" t="s">
        <v>798</v>
      </c>
      <c r="AA59" s="106">
        <f t="shared" si="1"/>
        <v>0</v>
      </c>
      <c r="AB59" s="106">
        <f t="shared" si="2"/>
        <v>0</v>
      </c>
      <c r="AC59" s="94"/>
      <c r="AD59" s="94"/>
      <c r="AE59" s="94"/>
      <c r="AF59" s="94"/>
      <c r="AG59" s="94"/>
      <c r="AH59" s="263"/>
    </row>
    <row r="60" spans="1:34" ht="19.5" customHeight="1">
      <c r="A60" s="318" t="s">
        <v>279</v>
      </c>
      <c r="B60" s="264">
        <v>6000028935</v>
      </c>
      <c r="C60" s="192" t="s">
        <v>414</v>
      </c>
      <c r="D60" s="192" t="s">
        <v>2844</v>
      </c>
      <c r="E60" s="2">
        <v>10</v>
      </c>
      <c r="F60" s="74">
        <v>100</v>
      </c>
      <c r="G60" s="45">
        <f t="shared" si="3"/>
        <v>1000</v>
      </c>
      <c r="H60" s="119" t="s">
        <v>243</v>
      </c>
      <c r="I60" s="128">
        <v>45345</v>
      </c>
      <c r="J60" s="158">
        <v>100</v>
      </c>
      <c r="K60" s="74">
        <f>10+2</f>
        <v>12</v>
      </c>
      <c r="L60" s="156">
        <v>45351</v>
      </c>
      <c r="M60" s="90">
        <v>1000</v>
      </c>
      <c r="N60" s="90">
        <v>25</v>
      </c>
      <c r="O60" s="90" t="s">
        <v>1657</v>
      </c>
      <c r="P60" s="94" t="s">
        <v>28</v>
      </c>
      <c r="Q60" s="94">
        <v>8500067836</v>
      </c>
      <c r="R60" s="94">
        <v>5000216030</v>
      </c>
      <c r="S60" s="158">
        <v>100</v>
      </c>
      <c r="T60" s="90" t="s">
        <v>87</v>
      </c>
      <c r="U60" s="90"/>
      <c r="V60" s="90"/>
      <c r="W60" s="109">
        <v>45359</v>
      </c>
      <c r="X60" s="106">
        <v>100</v>
      </c>
      <c r="Y60" s="106">
        <v>1000</v>
      </c>
      <c r="Z60" s="106" t="s">
        <v>1472</v>
      </c>
      <c r="AA60" s="106">
        <f t="shared" si="1"/>
        <v>0</v>
      </c>
      <c r="AB60" s="106">
        <f t="shared" si="2"/>
        <v>0</v>
      </c>
      <c r="AC60" s="94"/>
      <c r="AD60" s="94"/>
      <c r="AE60" s="94"/>
      <c r="AF60" s="94"/>
      <c r="AG60" s="94"/>
      <c r="AH60" s="263"/>
    </row>
    <row r="61" spans="1:34" ht="19.5" customHeight="1">
      <c r="A61" s="318"/>
      <c r="B61" s="264"/>
      <c r="C61" s="192"/>
      <c r="D61" s="192"/>
      <c r="E61" s="2">
        <v>10</v>
      </c>
      <c r="F61" s="74">
        <v>600</v>
      </c>
      <c r="G61" s="45">
        <f t="shared" si="3"/>
        <v>6000</v>
      </c>
      <c r="H61" s="119" t="s">
        <v>27</v>
      </c>
      <c r="I61" s="128">
        <v>45344</v>
      </c>
      <c r="J61" s="74">
        <v>600</v>
      </c>
      <c r="K61" s="74">
        <f>10+10</f>
        <v>20</v>
      </c>
      <c r="L61" s="156">
        <v>45351</v>
      </c>
      <c r="M61" s="90">
        <v>6000</v>
      </c>
      <c r="N61" s="90">
        <v>75</v>
      </c>
      <c r="O61" s="90"/>
      <c r="P61" s="94" t="s">
        <v>28</v>
      </c>
      <c r="Q61" s="94">
        <v>8500067836</v>
      </c>
      <c r="R61" s="94">
        <v>5000211252</v>
      </c>
      <c r="S61" s="74">
        <v>600</v>
      </c>
      <c r="T61" s="90" t="s">
        <v>87</v>
      </c>
      <c r="U61" s="90">
        <v>8500068735</v>
      </c>
      <c r="V61" s="90">
        <v>5000240071</v>
      </c>
      <c r="W61" s="109">
        <v>45355</v>
      </c>
      <c r="X61" s="106">
        <v>600</v>
      </c>
      <c r="Y61" s="106">
        <v>6000</v>
      </c>
      <c r="Z61" s="106" t="s">
        <v>803</v>
      </c>
      <c r="AA61" s="106">
        <f t="shared" si="1"/>
        <v>0</v>
      </c>
      <c r="AB61" s="106">
        <f t="shared" si="2"/>
        <v>0</v>
      </c>
      <c r="AC61" s="94"/>
      <c r="AD61" s="94"/>
      <c r="AE61" s="94"/>
      <c r="AF61" s="94"/>
      <c r="AG61" s="94"/>
      <c r="AH61" s="263"/>
    </row>
    <row r="62" spans="1:34" ht="19.5" customHeight="1">
      <c r="A62" s="318"/>
      <c r="B62" s="264"/>
      <c r="C62" s="192"/>
      <c r="D62" s="192"/>
      <c r="E62" s="2">
        <v>10</v>
      </c>
      <c r="F62" s="74">
        <v>1050</v>
      </c>
      <c r="G62" s="45">
        <f t="shared" si="3"/>
        <v>10500</v>
      </c>
      <c r="H62" s="119" t="s">
        <v>46</v>
      </c>
      <c r="I62" s="128">
        <v>45344</v>
      </c>
      <c r="J62" s="74">
        <v>1050</v>
      </c>
      <c r="K62" s="74">
        <f>10+11</f>
        <v>21</v>
      </c>
      <c r="L62" s="156">
        <v>45351</v>
      </c>
      <c r="M62" s="90">
        <v>10500</v>
      </c>
      <c r="N62" s="90">
        <v>120</v>
      </c>
      <c r="O62" s="90"/>
      <c r="P62" s="94" t="s">
        <v>28</v>
      </c>
      <c r="Q62" s="94">
        <v>8500067836</v>
      </c>
      <c r="R62" s="94">
        <v>5000211252</v>
      </c>
      <c r="S62" s="74">
        <v>1050</v>
      </c>
      <c r="T62" s="90" t="s">
        <v>87</v>
      </c>
      <c r="U62" s="90">
        <v>8500068735</v>
      </c>
      <c r="V62" s="90">
        <v>5000240071</v>
      </c>
      <c r="W62" s="109">
        <v>45366</v>
      </c>
      <c r="X62" s="106">
        <v>1050</v>
      </c>
      <c r="Y62" s="106">
        <v>10500</v>
      </c>
      <c r="Z62" s="106" t="s">
        <v>1460</v>
      </c>
      <c r="AA62" s="106">
        <f t="shared" si="1"/>
        <v>0</v>
      </c>
      <c r="AB62" s="106">
        <f t="shared" si="2"/>
        <v>0</v>
      </c>
      <c r="AC62" s="94"/>
      <c r="AD62" s="94"/>
      <c r="AE62" s="94"/>
      <c r="AF62" s="94"/>
      <c r="AG62" s="94"/>
      <c r="AH62" s="263"/>
    </row>
    <row r="63" spans="1:34" ht="19.5" customHeight="1">
      <c r="A63" s="318"/>
      <c r="B63" s="264"/>
      <c r="C63" s="192"/>
      <c r="D63" s="192"/>
      <c r="E63" s="2">
        <v>10</v>
      </c>
      <c r="F63" s="74">
        <v>630</v>
      </c>
      <c r="G63" s="45">
        <f t="shared" si="3"/>
        <v>6300</v>
      </c>
      <c r="H63" s="119" t="s">
        <v>37</v>
      </c>
      <c r="I63" s="128">
        <v>45344</v>
      </c>
      <c r="J63" s="74">
        <v>630</v>
      </c>
      <c r="K63" s="74">
        <f>10+3</f>
        <v>13</v>
      </c>
      <c r="L63" s="156">
        <v>45351</v>
      </c>
      <c r="M63" s="90">
        <v>6300</v>
      </c>
      <c r="N63" s="90">
        <v>78</v>
      </c>
      <c r="O63" s="90"/>
      <c r="P63" s="94" t="s">
        <v>28</v>
      </c>
      <c r="Q63" s="94">
        <v>8500067836</v>
      </c>
      <c r="R63" s="94">
        <v>5000211252</v>
      </c>
      <c r="S63" s="74">
        <v>630</v>
      </c>
      <c r="T63" s="90" t="s">
        <v>87</v>
      </c>
      <c r="U63" s="90"/>
      <c r="V63" s="90"/>
      <c r="W63" s="109">
        <v>45372</v>
      </c>
      <c r="X63" s="106">
        <v>630</v>
      </c>
      <c r="Y63" s="106">
        <v>6300</v>
      </c>
      <c r="Z63" s="106" t="s">
        <v>35</v>
      </c>
      <c r="AA63" s="106">
        <f t="shared" si="1"/>
        <v>0</v>
      </c>
      <c r="AB63" s="106">
        <f t="shared" si="2"/>
        <v>0</v>
      </c>
      <c r="AC63" s="94"/>
      <c r="AD63" s="94"/>
      <c r="AE63" s="94"/>
      <c r="AF63" s="94"/>
      <c r="AG63" s="94"/>
      <c r="AH63" s="263"/>
    </row>
    <row r="64" spans="1:34" ht="19.5" customHeight="1">
      <c r="A64" s="318"/>
      <c r="B64" s="264"/>
      <c r="C64" s="192"/>
      <c r="D64" s="192"/>
      <c r="E64" s="2">
        <v>10</v>
      </c>
      <c r="F64" s="74">
        <v>100</v>
      </c>
      <c r="G64" s="45">
        <f t="shared" si="3"/>
        <v>1000</v>
      </c>
      <c r="H64" s="119" t="s">
        <v>146</v>
      </c>
      <c r="I64" s="128">
        <v>45345</v>
      </c>
      <c r="J64" s="158">
        <v>100</v>
      </c>
      <c r="K64" s="74">
        <f>10+1</f>
        <v>11</v>
      </c>
      <c r="L64" s="156">
        <v>45351</v>
      </c>
      <c r="M64" s="90">
        <v>1000</v>
      </c>
      <c r="N64" s="90">
        <v>25</v>
      </c>
      <c r="O64" s="90" t="s">
        <v>2037</v>
      </c>
      <c r="P64" s="94" t="s">
        <v>28</v>
      </c>
      <c r="Q64" s="94">
        <v>8500067838</v>
      </c>
      <c r="R64" s="94">
        <v>5000216031</v>
      </c>
      <c r="S64" s="158">
        <v>100</v>
      </c>
      <c r="T64" s="90" t="s">
        <v>87</v>
      </c>
      <c r="U64" s="90"/>
      <c r="V64" s="90"/>
      <c r="W64" s="109">
        <v>45367</v>
      </c>
      <c r="X64" s="106">
        <v>100</v>
      </c>
      <c r="Y64" s="106">
        <v>1000</v>
      </c>
      <c r="Z64" s="106" t="s">
        <v>798</v>
      </c>
      <c r="AA64" s="106">
        <f t="shared" si="1"/>
        <v>0</v>
      </c>
      <c r="AB64" s="106">
        <f t="shared" si="2"/>
        <v>0</v>
      </c>
      <c r="AC64" s="111"/>
      <c r="AD64" s="94"/>
      <c r="AE64" s="94"/>
      <c r="AF64" s="94"/>
      <c r="AG64" s="94"/>
      <c r="AH64" s="263"/>
    </row>
    <row r="65" spans="1:34" ht="19.5" customHeight="1">
      <c r="A65" s="318" t="s">
        <v>279</v>
      </c>
      <c r="B65" s="264">
        <v>6000028937</v>
      </c>
      <c r="C65" s="192" t="s">
        <v>907</v>
      </c>
      <c r="D65" s="192" t="s">
        <v>2845</v>
      </c>
      <c r="E65" s="2">
        <v>10</v>
      </c>
      <c r="F65" s="74">
        <v>280</v>
      </c>
      <c r="G65" s="45">
        <f t="shared" si="3"/>
        <v>2800</v>
      </c>
      <c r="H65" s="119" t="s">
        <v>27</v>
      </c>
      <c r="I65" s="128">
        <v>45342</v>
      </c>
      <c r="J65" s="158">
        <v>280</v>
      </c>
      <c r="K65" s="74">
        <f>10+5</f>
        <v>15</v>
      </c>
      <c r="L65" s="156">
        <v>45343</v>
      </c>
      <c r="M65" s="90">
        <v>2800</v>
      </c>
      <c r="N65" s="90">
        <v>43</v>
      </c>
      <c r="O65" s="90"/>
      <c r="P65" s="94" t="s">
        <v>28</v>
      </c>
      <c r="Q65" s="94">
        <v>8500068105</v>
      </c>
      <c r="R65" s="94">
        <v>5000198482</v>
      </c>
      <c r="S65" s="158">
        <v>280</v>
      </c>
      <c r="T65" s="90" t="s">
        <v>87</v>
      </c>
      <c r="U65" s="90">
        <v>8500068102</v>
      </c>
      <c r="V65" s="90">
        <v>5000206250</v>
      </c>
      <c r="W65" s="109">
        <v>45343</v>
      </c>
      <c r="X65" s="106">
        <v>280</v>
      </c>
      <c r="Y65" s="106">
        <v>2800</v>
      </c>
      <c r="Z65" s="106" t="s">
        <v>849</v>
      </c>
      <c r="AA65" s="106">
        <f t="shared" si="1"/>
        <v>0</v>
      </c>
      <c r="AB65" s="106">
        <f t="shared" si="2"/>
        <v>0</v>
      </c>
      <c r="AC65" s="111"/>
      <c r="AD65" s="94"/>
      <c r="AE65" s="94"/>
      <c r="AF65" s="94"/>
      <c r="AG65" s="94"/>
      <c r="AH65" s="263"/>
    </row>
    <row r="66" spans="1:34" ht="19.5" customHeight="1">
      <c r="A66" s="318"/>
      <c r="B66" s="264"/>
      <c r="C66" s="192"/>
      <c r="D66" s="192"/>
      <c r="E66" s="2">
        <v>10</v>
      </c>
      <c r="F66" s="74">
        <v>1730</v>
      </c>
      <c r="G66" s="45">
        <f t="shared" si="3"/>
        <v>17300</v>
      </c>
      <c r="H66" s="119" t="s">
        <v>46</v>
      </c>
      <c r="I66" s="128">
        <v>45342</v>
      </c>
      <c r="J66" s="74">
        <v>1730</v>
      </c>
      <c r="K66" s="74">
        <f>10+20</f>
        <v>30</v>
      </c>
      <c r="L66" s="156">
        <v>45343</v>
      </c>
      <c r="M66" s="90">
        <v>17300</v>
      </c>
      <c r="N66" s="90">
        <v>188</v>
      </c>
      <c r="O66" s="90"/>
      <c r="P66" s="94" t="s">
        <v>28</v>
      </c>
      <c r="Q66" s="94">
        <v>8500068105</v>
      </c>
      <c r="R66" s="94">
        <v>5000201593</v>
      </c>
      <c r="S66" s="74">
        <v>1730</v>
      </c>
      <c r="T66" s="90" t="s">
        <v>87</v>
      </c>
      <c r="U66" s="90">
        <v>8500068102</v>
      </c>
      <c r="V66" s="90">
        <v>5000206613</v>
      </c>
      <c r="W66" s="109">
        <v>45350</v>
      </c>
      <c r="X66" s="106">
        <v>1730</v>
      </c>
      <c r="Y66" s="106">
        <v>17300</v>
      </c>
      <c r="Z66" s="106" t="s">
        <v>758</v>
      </c>
      <c r="AA66" s="106">
        <f t="shared" si="1"/>
        <v>0</v>
      </c>
      <c r="AB66" s="106">
        <f t="shared" si="2"/>
        <v>0</v>
      </c>
      <c r="AC66" s="111"/>
      <c r="AD66" s="94"/>
      <c r="AE66" s="94"/>
      <c r="AF66" s="94"/>
      <c r="AG66" s="94"/>
      <c r="AH66" s="263"/>
    </row>
    <row r="67" spans="1:34" ht="19.5" customHeight="1">
      <c r="A67" s="318"/>
      <c r="B67" s="264"/>
      <c r="C67" s="192"/>
      <c r="D67" s="192"/>
      <c r="E67" s="2">
        <v>10</v>
      </c>
      <c r="F67" s="74">
        <v>1092</v>
      </c>
      <c r="G67" s="45">
        <f t="shared" si="3"/>
        <v>10920</v>
      </c>
      <c r="H67" s="119" t="s">
        <v>37</v>
      </c>
      <c r="I67" s="128">
        <v>45342</v>
      </c>
      <c r="J67" s="158">
        <v>1092</v>
      </c>
      <c r="K67" s="74">
        <f>10+8</f>
        <v>18</v>
      </c>
      <c r="L67" s="156">
        <v>45343</v>
      </c>
      <c r="M67" s="90">
        <v>10920</v>
      </c>
      <c r="N67" s="90">
        <v>124</v>
      </c>
      <c r="O67" s="90"/>
      <c r="P67" s="94" t="s">
        <v>28</v>
      </c>
      <c r="Q67" s="94">
        <v>8500068105</v>
      </c>
      <c r="R67" s="94">
        <v>5000198482</v>
      </c>
      <c r="S67" s="158">
        <v>1092</v>
      </c>
      <c r="T67" s="90" t="s">
        <v>87</v>
      </c>
      <c r="U67" s="90">
        <v>8500068102</v>
      </c>
      <c r="V67" s="90">
        <v>5000206250</v>
      </c>
      <c r="W67" s="109">
        <v>45349</v>
      </c>
      <c r="X67" s="106">
        <v>1092</v>
      </c>
      <c r="Y67" s="106">
        <v>10920</v>
      </c>
      <c r="Z67" s="106" t="s">
        <v>35</v>
      </c>
      <c r="AA67" s="106">
        <f t="shared" si="1"/>
        <v>0</v>
      </c>
      <c r="AB67" s="106">
        <f t="shared" si="2"/>
        <v>0</v>
      </c>
      <c r="AC67" s="94"/>
      <c r="AD67" s="94"/>
      <c r="AE67" s="94"/>
      <c r="AF67" s="94"/>
      <c r="AG67" s="94"/>
      <c r="AH67" s="263"/>
    </row>
    <row r="68" spans="1:34" ht="19.5" customHeight="1">
      <c r="A68" s="318"/>
      <c r="B68" s="264"/>
      <c r="C68" s="192"/>
      <c r="D68" s="192"/>
      <c r="E68" s="2">
        <v>10</v>
      </c>
      <c r="F68" s="74">
        <v>238</v>
      </c>
      <c r="G68" s="45">
        <f t="shared" si="3"/>
        <v>2380</v>
      </c>
      <c r="H68" s="119" t="s">
        <v>146</v>
      </c>
      <c r="I68" s="128">
        <v>45342</v>
      </c>
      <c r="J68" s="158">
        <v>238</v>
      </c>
      <c r="K68" s="74">
        <f>10+4</f>
        <v>14</v>
      </c>
      <c r="L68" s="156">
        <v>45344</v>
      </c>
      <c r="M68" s="90">
        <v>2380</v>
      </c>
      <c r="N68" s="90">
        <v>39</v>
      </c>
      <c r="O68" s="90" t="s">
        <v>792</v>
      </c>
      <c r="P68" s="94" t="s">
        <v>28</v>
      </c>
      <c r="Q68" s="94">
        <v>8500068105</v>
      </c>
      <c r="R68" s="94">
        <v>5000198482</v>
      </c>
      <c r="S68" s="158">
        <v>238</v>
      </c>
      <c r="T68" s="90" t="s">
        <v>87</v>
      </c>
      <c r="U68" s="90">
        <v>8500068102</v>
      </c>
      <c r="V68" s="90">
        <v>5000211378</v>
      </c>
      <c r="W68" s="109">
        <v>45358</v>
      </c>
      <c r="X68" s="106">
        <v>238</v>
      </c>
      <c r="Y68" s="106">
        <v>2380</v>
      </c>
      <c r="Z68" s="106" t="s">
        <v>798</v>
      </c>
      <c r="AA68" s="106">
        <f t="shared" si="1"/>
        <v>0</v>
      </c>
      <c r="AB68" s="106">
        <f t="shared" si="2"/>
        <v>0</v>
      </c>
      <c r="AC68" s="94"/>
      <c r="AD68" s="94"/>
      <c r="AE68" s="94"/>
      <c r="AF68" s="94"/>
      <c r="AG68" s="94"/>
      <c r="AH68" s="263"/>
    </row>
    <row r="69" spans="1:34" ht="19.5" customHeight="1">
      <c r="A69" s="318" t="s">
        <v>279</v>
      </c>
      <c r="B69" s="264">
        <v>6000028938</v>
      </c>
      <c r="C69" s="192" t="s">
        <v>907</v>
      </c>
      <c r="D69" s="192" t="s">
        <v>2846</v>
      </c>
      <c r="E69" s="2">
        <v>10</v>
      </c>
      <c r="F69" s="74">
        <v>280</v>
      </c>
      <c r="G69" s="45">
        <f t="shared" si="3"/>
        <v>2800</v>
      </c>
      <c r="H69" s="119" t="s">
        <v>27</v>
      </c>
      <c r="I69" s="128">
        <v>45344</v>
      </c>
      <c r="J69" s="158">
        <v>280</v>
      </c>
      <c r="K69" s="74">
        <f>10+6</f>
        <v>16</v>
      </c>
      <c r="L69" s="156">
        <v>45343</v>
      </c>
      <c r="M69" s="90">
        <v>2800</v>
      </c>
      <c r="N69" s="90">
        <v>43</v>
      </c>
      <c r="O69" s="90" t="s">
        <v>1569</v>
      </c>
      <c r="P69" s="94" t="s">
        <v>28</v>
      </c>
      <c r="Q69" s="94">
        <v>8500068110</v>
      </c>
      <c r="R69" s="94">
        <v>5000208493</v>
      </c>
      <c r="S69" s="158">
        <v>280</v>
      </c>
      <c r="T69" s="90" t="s">
        <v>87</v>
      </c>
      <c r="U69" s="90">
        <v>8500068107</v>
      </c>
      <c r="V69" s="90">
        <v>5000206564</v>
      </c>
      <c r="W69" s="109">
        <v>45344</v>
      </c>
      <c r="X69" s="106">
        <v>280</v>
      </c>
      <c r="Y69" s="106">
        <v>2800</v>
      </c>
      <c r="Z69" s="106" t="s">
        <v>849</v>
      </c>
      <c r="AA69" s="106">
        <f t="shared" si="1"/>
        <v>0</v>
      </c>
      <c r="AB69" s="106">
        <f t="shared" si="2"/>
        <v>0</v>
      </c>
      <c r="AC69" s="94"/>
      <c r="AD69" s="94"/>
      <c r="AE69" s="94"/>
      <c r="AF69" s="94"/>
      <c r="AG69" s="94"/>
      <c r="AH69" s="263"/>
    </row>
    <row r="70" spans="1:34" ht="21.75" customHeight="1">
      <c r="A70" s="318"/>
      <c r="B70" s="264"/>
      <c r="C70" s="192"/>
      <c r="D70" s="192"/>
      <c r="E70" s="2">
        <v>10</v>
      </c>
      <c r="F70" s="74">
        <v>1730</v>
      </c>
      <c r="G70" s="45">
        <f t="shared" si="3"/>
        <v>17300</v>
      </c>
      <c r="H70" s="119" t="s">
        <v>46</v>
      </c>
      <c r="I70" s="128">
        <v>45345</v>
      </c>
      <c r="J70" s="158">
        <v>1730</v>
      </c>
      <c r="K70" s="74">
        <f>10+17</f>
        <v>27</v>
      </c>
      <c r="L70" s="156">
        <v>45344</v>
      </c>
      <c r="M70" s="90">
        <v>17300</v>
      </c>
      <c r="N70" s="90">
        <v>88</v>
      </c>
      <c r="O70" s="90" t="s">
        <v>2298</v>
      </c>
      <c r="P70" s="94" t="s">
        <v>28</v>
      </c>
      <c r="Q70" s="94">
        <v>8500068110</v>
      </c>
      <c r="R70" s="94">
        <v>5000212294</v>
      </c>
      <c r="S70" s="158">
        <v>1730</v>
      </c>
      <c r="T70" s="90" t="s">
        <v>87</v>
      </c>
      <c r="U70" s="90">
        <v>8500068107</v>
      </c>
      <c r="V70" s="90">
        <v>5000211352</v>
      </c>
      <c r="W70" s="109">
        <v>45352</v>
      </c>
      <c r="X70" s="106">
        <v>1730</v>
      </c>
      <c r="Y70" s="106">
        <v>17300</v>
      </c>
      <c r="Z70" s="106" t="s">
        <v>758</v>
      </c>
      <c r="AA70" s="106">
        <f t="shared" si="1"/>
        <v>0</v>
      </c>
      <c r="AB70" s="106">
        <f t="shared" si="2"/>
        <v>0</v>
      </c>
      <c r="AC70" s="94"/>
      <c r="AD70" s="94"/>
      <c r="AE70" s="94"/>
      <c r="AF70" s="94"/>
      <c r="AG70" s="94"/>
      <c r="AH70" s="263"/>
    </row>
    <row r="71" spans="1:34" ht="19.5" customHeight="1">
      <c r="A71" s="318"/>
      <c r="B71" s="264"/>
      <c r="C71" s="192"/>
      <c r="D71" s="192"/>
      <c r="E71" s="2">
        <v>10</v>
      </c>
      <c r="F71" s="74">
        <v>1092</v>
      </c>
      <c r="G71" s="45">
        <f t="shared" si="3"/>
        <v>10920</v>
      </c>
      <c r="H71" s="119" t="s">
        <v>37</v>
      </c>
      <c r="I71" s="128">
        <v>45344</v>
      </c>
      <c r="J71" s="74">
        <v>1092</v>
      </c>
      <c r="K71" s="74">
        <f>10+11</f>
        <v>21</v>
      </c>
      <c r="L71" s="156">
        <v>45343</v>
      </c>
      <c r="M71" s="90">
        <v>10920</v>
      </c>
      <c r="N71" s="90">
        <v>124</v>
      </c>
      <c r="O71" s="90"/>
      <c r="P71" s="94" t="s">
        <v>28</v>
      </c>
      <c r="Q71" s="94">
        <v>8500068110</v>
      </c>
      <c r="R71" s="94">
        <v>5000208493</v>
      </c>
      <c r="S71" s="74">
        <v>1092</v>
      </c>
      <c r="T71" s="90" t="s">
        <v>87</v>
      </c>
      <c r="U71" s="90">
        <v>8500068107</v>
      </c>
      <c r="V71" s="90">
        <v>5000206564</v>
      </c>
      <c r="W71" s="109">
        <v>45351</v>
      </c>
      <c r="X71" s="106">
        <v>1092</v>
      </c>
      <c r="Y71" s="106">
        <v>10920</v>
      </c>
      <c r="Z71" s="106" t="s">
        <v>35</v>
      </c>
      <c r="AA71" s="106">
        <f t="shared" si="1"/>
        <v>0</v>
      </c>
      <c r="AB71" s="106">
        <f t="shared" si="2"/>
        <v>0</v>
      </c>
      <c r="AC71" s="94"/>
      <c r="AD71" s="94"/>
      <c r="AE71" s="94"/>
      <c r="AF71" s="94"/>
      <c r="AG71" s="94"/>
      <c r="AH71" s="263"/>
    </row>
    <row r="72" spans="1:34" ht="19.5" customHeight="1">
      <c r="A72" s="318"/>
      <c r="B72" s="264"/>
      <c r="C72" s="192"/>
      <c r="D72" s="192"/>
      <c r="E72" s="2">
        <v>10</v>
      </c>
      <c r="F72" s="74">
        <v>238</v>
      </c>
      <c r="G72" s="45">
        <f t="shared" si="3"/>
        <v>2380</v>
      </c>
      <c r="H72" s="119" t="s">
        <v>146</v>
      </c>
      <c r="I72" s="128">
        <v>45345</v>
      </c>
      <c r="J72" s="74">
        <v>238</v>
      </c>
      <c r="K72" s="74">
        <f>10+2</f>
        <v>12</v>
      </c>
      <c r="L72" s="156">
        <v>45344</v>
      </c>
      <c r="M72" s="90">
        <v>2380</v>
      </c>
      <c r="N72" s="90">
        <v>39</v>
      </c>
      <c r="O72" s="90" t="s">
        <v>1370</v>
      </c>
      <c r="P72" s="94" t="s">
        <v>28</v>
      </c>
      <c r="Q72" s="94">
        <v>8500068110</v>
      </c>
      <c r="R72" s="94">
        <v>5000215910</v>
      </c>
      <c r="S72" s="74">
        <v>238</v>
      </c>
      <c r="T72" s="90" t="s">
        <v>87</v>
      </c>
      <c r="U72" s="90">
        <v>8500068107</v>
      </c>
      <c r="V72" s="90">
        <v>5000211352</v>
      </c>
      <c r="W72" s="109">
        <v>45358</v>
      </c>
      <c r="X72" s="106">
        <v>238</v>
      </c>
      <c r="Y72" s="106">
        <v>2380</v>
      </c>
      <c r="Z72" s="106" t="s">
        <v>798</v>
      </c>
      <c r="AA72" s="106">
        <f t="shared" si="1"/>
        <v>0</v>
      </c>
      <c r="AB72" s="106">
        <f t="shared" si="2"/>
        <v>0</v>
      </c>
      <c r="AC72" s="94"/>
      <c r="AD72" s="94"/>
      <c r="AE72" s="94"/>
      <c r="AF72" s="94"/>
      <c r="AG72" s="94"/>
      <c r="AH72" s="263"/>
    </row>
    <row r="73" spans="1:34" ht="31.5" customHeight="1">
      <c r="A73" s="318" t="s">
        <v>279</v>
      </c>
      <c r="B73" s="264">
        <v>6000028939</v>
      </c>
      <c r="C73" s="192" t="s">
        <v>907</v>
      </c>
      <c r="D73" s="192" t="s">
        <v>2847</v>
      </c>
      <c r="E73" s="2">
        <v>10</v>
      </c>
      <c r="F73" s="74">
        <v>280</v>
      </c>
      <c r="G73" s="45">
        <f t="shared" si="3"/>
        <v>2800</v>
      </c>
      <c r="H73" s="119" t="s">
        <v>27</v>
      </c>
      <c r="I73" s="128">
        <v>45344</v>
      </c>
      <c r="J73" s="74">
        <v>280</v>
      </c>
      <c r="K73" s="74">
        <f>10+4</f>
        <v>14</v>
      </c>
      <c r="L73" s="156">
        <v>45343</v>
      </c>
      <c r="M73" s="90">
        <v>2800</v>
      </c>
      <c r="N73" s="90">
        <v>43</v>
      </c>
      <c r="O73" s="90" t="s">
        <v>1569</v>
      </c>
      <c r="P73" s="94" t="s">
        <v>28</v>
      </c>
      <c r="Q73" s="94">
        <v>8500068113</v>
      </c>
      <c r="R73" s="94">
        <v>5000208465</v>
      </c>
      <c r="S73" s="74">
        <v>280</v>
      </c>
      <c r="T73" s="90" t="s">
        <v>87</v>
      </c>
      <c r="U73" s="90">
        <v>8500068112</v>
      </c>
      <c r="V73" s="90">
        <v>5000206568</v>
      </c>
      <c r="W73" s="109">
        <v>45345</v>
      </c>
      <c r="X73" s="106">
        <v>280</v>
      </c>
      <c r="Y73" s="106">
        <v>2800</v>
      </c>
      <c r="Z73" s="106" t="s">
        <v>849</v>
      </c>
      <c r="AA73" s="106">
        <f t="shared" si="1"/>
        <v>0</v>
      </c>
      <c r="AB73" s="106">
        <f t="shared" si="2"/>
        <v>0</v>
      </c>
      <c r="AC73" s="94"/>
      <c r="AD73" s="94"/>
      <c r="AE73" s="94"/>
      <c r="AF73" s="94"/>
      <c r="AG73" s="94"/>
      <c r="AH73" s="263"/>
    </row>
    <row r="74" spans="1:34" ht="19.5" customHeight="1">
      <c r="A74" s="318"/>
      <c r="B74" s="264"/>
      <c r="C74" s="192"/>
      <c r="D74" s="192"/>
      <c r="E74" s="2">
        <v>10</v>
      </c>
      <c r="F74" s="74">
        <v>1730</v>
      </c>
      <c r="G74" s="45">
        <f t="shared" si="3"/>
        <v>17300</v>
      </c>
      <c r="H74" s="119" t="s">
        <v>46</v>
      </c>
      <c r="I74" s="128">
        <v>45345</v>
      </c>
      <c r="J74" s="74">
        <v>1730</v>
      </c>
      <c r="K74" s="74">
        <f>10+20</f>
        <v>30</v>
      </c>
      <c r="L74" s="156">
        <v>45345</v>
      </c>
      <c r="M74" s="90">
        <v>17300</v>
      </c>
      <c r="N74" s="90">
        <v>188</v>
      </c>
      <c r="O74" s="90" t="s">
        <v>2066</v>
      </c>
      <c r="P74" s="94" t="s">
        <v>28</v>
      </c>
      <c r="Q74" s="94">
        <v>8500068113</v>
      </c>
      <c r="R74" s="94">
        <v>5000212293</v>
      </c>
      <c r="S74" s="74">
        <v>1730</v>
      </c>
      <c r="T74" s="90" t="s">
        <v>87</v>
      </c>
      <c r="U74" s="90">
        <v>8500068112</v>
      </c>
      <c r="V74" s="90">
        <v>5000216056</v>
      </c>
      <c r="W74" s="109">
        <v>45355</v>
      </c>
      <c r="X74" s="106">
        <v>1730</v>
      </c>
      <c r="Y74" s="106">
        <v>17300</v>
      </c>
      <c r="Z74" s="106" t="s">
        <v>758</v>
      </c>
      <c r="AA74" s="106">
        <f t="shared" si="1"/>
        <v>0</v>
      </c>
      <c r="AB74" s="106">
        <f t="shared" si="2"/>
        <v>0</v>
      </c>
      <c r="AC74" s="94"/>
      <c r="AD74" s="94"/>
      <c r="AE74" s="94"/>
      <c r="AF74" s="94"/>
      <c r="AG74" s="94"/>
      <c r="AH74" s="263"/>
    </row>
    <row r="75" spans="1:34" ht="19.5" customHeight="1">
      <c r="A75" s="318"/>
      <c r="B75" s="264"/>
      <c r="C75" s="192"/>
      <c r="D75" s="192"/>
      <c r="E75" s="2">
        <v>10</v>
      </c>
      <c r="F75" s="74">
        <v>1092</v>
      </c>
      <c r="G75" s="45">
        <f t="shared" si="3"/>
        <v>10920</v>
      </c>
      <c r="H75" s="119" t="s">
        <v>37</v>
      </c>
      <c r="I75" s="128">
        <v>45344</v>
      </c>
      <c r="J75" s="74">
        <v>1092</v>
      </c>
      <c r="K75" s="74">
        <f>10+13</f>
        <v>23</v>
      </c>
      <c r="L75" s="156">
        <v>45345</v>
      </c>
      <c r="M75" s="90">
        <v>10920</v>
      </c>
      <c r="N75" s="90">
        <v>124</v>
      </c>
      <c r="O75" s="90"/>
      <c r="P75" s="94" t="s">
        <v>28</v>
      </c>
      <c r="Q75" s="94">
        <v>8500068113</v>
      </c>
      <c r="R75" s="94">
        <v>5000208465</v>
      </c>
      <c r="S75" s="74">
        <v>1092</v>
      </c>
      <c r="T75" s="90" t="s">
        <v>87</v>
      </c>
      <c r="U75" s="90">
        <v>8500068112</v>
      </c>
      <c r="V75" s="90">
        <v>5000216056</v>
      </c>
      <c r="W75" s="109">
        <v>45352</v>
      </c>
      <c r="X75" s="106">
        <v>1092</v>
      </c>
      <c r="Y75" s="106">
        <v>10920</v>
      </c>
      <c r="Z75" s="106" t="s">
        <v>35</v>
      </c>
      <c r="AA75" s="106">
        <f t="shared" si="1"/>
        <v>0</v>
      </c>
      <c r="AB75" s="106">
        <f t="shared" si="2"/>
        <v>0</v>
      </c>
      <c r="AC75" s="94"/>
      <c r="AD75" s="94"/>
      <c r="AE75" s="94"/>
      <c r="AF75" s="94"/>
      <c r="AG75" s="94"/>
      <c r="AH75" s="263"/>
    </row>
    <row r="76" spans="1:34" ht="22.5" customHeight="1">
      <c r="A76" s="318"/>
      <c r="B76" s="264"/>
      <c r="C76" s="192"/>
      <c r="D76" s="192"/>
      <c r="E76" s="2">
        <v>10</v>
      </c>
      <c r="F76" s="74">
        <v>238</v>
      </c>
      <c r="G76" s="45">
        <f t="shared" si="3"/>
        <v>2380</v>
      </c>
      <c r="H76" s="119" t="s">
        <v>146</v>
      </c>
      <c r="I76" s="128">
        <v>45345</v>
      </c>
      <c r="J76" s="74">
        <v>238</v>
      </c>
      <c r="K76" s="74">
        <f>10+2</f>
        <v>12</v>
      </c>
      <c r="L76" s="156">
        <v>45344</v>
      </c>
      <c r="M76" s="90">
        <v>2380</v>
      </c>
      <c r="N76" s="90">
        <v>39</v>
      </c>
      <c r="O76" s="90" t="s">
        <v>1370</v>
      </c>
      <c r="P76" s="94" t="s">
        <v>28</v>
      </c>
      <c r="Q76" s="94">
        <v>8500068113</v>
      </c>
      <c r="R76" s="94">
        <v>5000215829</v>
      </c>
      <c r="S76" s="74">
        <v>238</v>
      </c>
      <c r="T76" s="90" t="s">
        <v>87</v>
      </c>
      <c r="U76" s="90">
        <v>8500068112</v>
      </c>
      <c r="V76" s="90">
        <v>5000211385</v>
      </c>
      <c r="W76" s="109">
        <v>45359</v>
      </c>
      <c r="X76" s="106">
        <v>238</v>
      </c>
      <c r="Y76" s="106">
        <v>2380</v>
      </c>
      <c r="Z76" s="106" t="s">
        <v>798</v>
      </c>
      <c r="AA76" s="106">
        <f t="shared" si="1"/>
        <v>0</v>
      </c>
      <c r="AB76" s="106">
        <f t="shared" si="2"/>
        <v>0</v>
      </c>
      <c r="AC76" s="94"/>
      <c r="AD76" s="94"/>
      <c r="AE76" s="94"/>
      <c r="AF76" s="94"/>
      <c r="AG76" s="94"/>
      <c r="AH76" s="263"/>
    </row>
    <row r="77" spans="1:34" ht="27.75" customHeight="1">
      <c r="A77" s="318" t="s">
        <v>279</v>
      </c>
      <c r="B77" s="264">
        <v>6000028940</v>
      </c>
      <c r="C77" s="192" t="s">
        <v>907</v>
      </c>
      <c r="D77" s="192" t="s">
        <v>2848</v>
      </c>
      <c r="E77" s="2">
        <v>10</v>
      </c>
      <c r="F77" s="74">
        <v>280</v>
      </c>
      <c r="G77" s="45">
        <f t="shared" si="3"/>
        <v>2800</v>
      </c>
      <c r="H77" s="119" t="s">
        <v>27</v>
      </c>
      <c r="I77" s="128">
        <v>45344</v>
      </c>
      <c r="J77" s="74">
        <v>280</v>
      </c>
      <c r="K77" s="74">
        <f>10+5</f>
        <v>15</v>
      </c>
      <c r="L77" s="156">
        <v>45343</v>
      </c>
      <c r="M77" s="90">
        <v>2800</v>
      </c>
      <c r="N77" s="90">
        <v>43</v>
      </c>
      <c r="O77" s="90" t="s">
        <v>1746</v>
      </c>
      <c r="P77" s="94" t="s">
        <v>28</v>
      </c>
      <c r="Q77" s="94">
        <v>8500068115</v>
      </c>
      <c r="R77" s="94">
        <v>5000211120</v>
      </c>
      <c r="S77" s="74">
        <v>280</v>
      </c>
      <c r="T77" s="90" t="s">
        <v>87</v>
      </c>
      <c r="U77" s="90">
        <v>8500068114</v>
      </c>
      <c r="V77" s="90">
        <v>5000206611</v>
      </c>
      <c r="W77" s="109">
        <v>45345</v>
      </c>
      <c r="X77" s="106">
        <v>280</v>
      </c>
      <c r="Y77" s="106">
        <v>2800</v>
      </c>
      <c r="Z77" s="106" t="s">
        <v>849</v>
      </c>
      <c r="AA77" s="106">
        <f t="shared" ref="AA77:AA140" si="4">J77-X77</f>
        <v>0</v>
      </c>
      <c r="AB77" s="106">
        <f t="shared" ref="AB77:AB140" si="5">M77-Y77</f>
        <v>0</v>
      </c>
      <c r="AC77" s="94"/>
      <c r="AD77" s="94"/>
      <c r="AE77" s="94"/>
      <c r="AF77" s="94"/>
      <c r="AG77" s="94"/>
      <c r="AH77" s="263"/>
    </row>
    <row r="78" spans="1:34" ht="19.5" customHeight="1">
      <c r="A78" s="318"/>
      <c r="B78" s="264"/>
      <c r="C78" s="192"/>
      <c r="D78" s="192"/>
      <c r="E78" s="2">
        <v>10</v>
      </c>
      <c r="F78" s="74">
        <v>1730</v>
      </c>
      <c r="G78" s="45">
        <f t="shared" si="3"/>
        <v>17300</v>
      </c>
      <c r="H78" s="119" t="s">
        <v>46</v>
      </c>
      <c r="I78" s="128">
        <v>45345</v>
      </c>
      <c r="J78" s="74">
        <v>1730</v>
      </c>
      <c r="K78" s="74">
        <f>10+18</f>
        <v>28</v>
      </c>
      <c r="L78" s="156">
        <v>45350</v>
      </c>
      <c r="M78" s="90">
        <v>17300</v>
      </c>
      <c r="N78" s="90">
        <v>188</v>
      </c>
      <c r="O78" s="90" t="s">
        <v>1439</v>
      </c>
      <c r="P78" s="94" t="s">
        <v>28</v>
      </c>
      <c r="Q78" s="94">
        <v>8500068115</v>
      </c>
      <c r="R78" s="94">
        <v>5000212415</v>
      </c>
      <c r="S78" s="74">
        <v>1730</v>
      </c>
      <c r="T78" s="90" t="s">
        <v>87</v>
      </c>
      <c r="U78" s="90">
        <v>8500068114</v>
      </c>
      <c r="V78" s="90">
        <v>5000236377</v>
      </c>
      <c r="W78" s="109">
        <v>45356</v>
      </c>
      <c r="X78" s="106">
        <v>1730</v>
      </c>
      <c r="Y78" s="106">
        <v>17300</v>
      </c>
      <c r="Z78" s="106" t="s">
        <v>758</v>
      </c>
      <c r="AA78" s="106">
        <f t="shared" si="4"/>
        <v>0</v>
      </c>
      <c r="AB78" s="106">
        <f t="shared" si="5"/>
        <v>0</v>
      </c>
      <c r="AC78" s="94"/>
      <c r="AD78" s="94"/>
      <c r="AE78" s="94"/>
      <c r="AF78" s="94"/>
      <c r="AG78" s="94"/>
      <c r="AH78" s="263"/>
    </row>
    <row r="79" spans="1:34" ht="19.5" customHeight="1">
      <c r="A79" s="318"/>
      <c r="B79" s="264"/>
      <c r="C79" s="192"/>
      <c r="D79" s="192"/>
      <c r="E79" s="2">
        <v>10</v>
      </c>
      <c r="F79" s="74">
        <v>1092</v>
      </c>
      <c r="G79" s="45">
        <f t="shared" si="3"/>
        <v>10920</v>
      </c>
      <c r="H79" s="119" t="s">
        <v>37</v>
      </c>
      <c r="I79" s="128">
        <v>45344</v>
      </c>
      <c r="J79" s="74">
        <v>1092</v>
      </c>
      <c r="K79" s="74">
        <f>10+13</f>
        <v>23</v>
      </c>
      <c r="L79" s="156">
        <v>45350</v>
      </c>
      <c r="M79" s="90">
        <v>10920</v>
      </c>
      <c r="N79" s="90">
        <v>124</v>
      </c>
      <c r="O79" s="90" t="s">
        <v>1439</v>
      </c>
      <c r="P79" s="94" t="s">
        <v>28</v>
      </c>
      <c r="Q79" s="94">
        <v>8500068115</v>
      </c>
      <c r="R79" s="94">
        <v>5000211120</v>
      </c>
      <c r="S79" s="74">
        <v>1092</v>
      </c>
      <c r="T79" s="90" t="s">
        <v>87</v>
      </c>
      <c r="U79" s="90">
        <v>8500068114</v>
      </c>
      <c r="V79" s="90">
        <v>5000236377</v>
      </c>
      <c r="W79" s="109">
        <v>45353</v>
      </c>
      <c r="X79" s="106">
        <v>1092</v>
      </c>
      <c r="Y79" s="106">
        <v>10920</v>
      </c>
      <c r="Z79" s="106" t="s">
        <v>35</v>
      </c>
      <c r="AA79" s="106">
        <f t="shared" si="4"/>
        <v>0</v>
      </c>
      <c r="AB79" s="106">
        <f t="shared" si="5"/>
        <v>0</v>
      </c>
      <c r="AC79" s="94"/>
      <c r="AD79" s="94"/>
      <c r="AE79" s="94"/>
      <c r="AF79" s="94"/>
      <c r="AG79" s="94"/>
      <c r="AH79" s="263"/>
    </row>
    <row r="80" spans="1:34" ht="19.5" customHeight="1">
      <c r="A80" s="318"/>
      <c r="B80" s="264"/>
      <c r="C80" s="192"/>
      <c r="D80" s="192"/>
      <c r="E80" s="2">
        <v>10</v>
      </c>
      <c r="F80" s="74">
        <v>238</v>
      </c>
      <c r="G80" s="45">
        <f t="shared" si="3"/>
        <v>2380</v>
      </c>
      <c r="H80" s="119" t="s">
        <v>146</v>
      </c>
      <c r="I80" s="128">
        <v>45342</v>
      </c>
      <c r="J80" s="74">
        <v>238</v>
      </c>
      <c r="K80" s="74">
        <f>10+1</f>
        <v>11</v>
      </c>
      <c r="L80" s="156">
        <v>45344</v>
      </c>
      <c r="M80" s="90">
        <v>2380</v>
      </c>
      <c r="N80" s="90">
        <v>39</v>
      </c>
      <c r="O80" s="90" t="s">
        <v>1362</v>
      </c>
      <c r="P80" s="94" t="s">
        <v>28</v>
      </c>
      <c r="Q80" s="94">
        <v>8500068115</v>
      </c>
      <c r="R80" s="94">
        <v>5000201819</v>
      </c>
      <c r="S80" s="74">
        <v>238</v>
      </c>
      <c r="T80" s="90" t="s">
        <v>87</v>
      </c>
      <c r="U80" s="90">
        <v>8500068114</v>
      </c>
      <c r="V80" s="90">
        <v>5000211389</v>
      </c>
      <c r="W80" s="109">
        <v>45359</v>
      </c>
      <c r="X80" s="106">
        <v>238</v>
      </c>
      <c r="Y80" s="106">
        <v>2380</v>
      </c>
      <c r="Z80" s="106" t="s">
        <v>798</v>
      </c>
      <c r="AA80" s="106">
        <f t="shared" si="4"/>
        <v>0</v>
      </c>
      <c r="AB80" s="106">
        <f t="shared" si="5"/>
        <v>0</v>
      </c>
      <c r="AC80" s="94"/>
      <c r="AD80" s="94"/>
      <c r="AE80" s="94"/>
      <c r="AF80" s="94"/>
      <c r="AG80" s="94"/>
      <c r="AH80" s="263"/>
    </row>
    <row r="81" spans="1:34" ht="33.75" customHeight="1">
      <c r="A81" s="318" t="s">
        <v>279</v>
      </c>
      <c r="B81" s="264">
        <v>6000028941</v>
      </c>
      <c r="C81" s="192" t="s">
        <v>414</v>
      </c>
      <c r="D81" s="192" t="s">
        <v>2849</v>
      </c>
      <c r="E81" s="2">
        <v>10</v>
      </c>
      <c r="F81" s="74">
        <v>100</v>
      </c>
      <c r="G81" s="45">
        <f t="shared" si="3"/>
        <v>1000</v>
      </c>
      <c r="H81" s="119" t="s">
        <v>243</v>
      </c>
      <c r="I81" s="128">
        <v>45345</v>
      </c>
      <c r="J81" s="74">
        <v>100</v>
      </c>
      <c r="K81" s="74">
        <f>10+2</f>
        <v>12</v>
      </c>
      <c r="L81" s="156">
        <v>45351</v>
      </c>
      <c r="M81" s="90">
        <v>1000</v>
      </c>
      <c r="N81" s="90">
        <v>25</v>
      </c>
      <c r="P81" s="94" t="s">
        <v>28</v>
      </c>
      <c r="Q81" s="94">
        <v>8500067820</v>
      </c>
      <c r="R81" s="94">
        <v>5000215914</v>
      </c>
      <c r="S81" s="74">
        <v>100</v>
      </c>
      <c r="T81" s="90" t="s">
        <v>87</v>
      </c>
      <c r="U81" s="90">
        <v>8500067819</v>
      </c>
      <c r="V81" s="90"/>
      <c r="W81" s="109">
        <v>45358</v>
      </c>
      <c r="X81" s="106">
        <v>100</v>
      </c>
      <c r="Y81" s="106">
        <v>1000</v>
      </c>
      <c r="Z81" s="106" t="s">
        <v>803</v>
      </c>
      <c r="AA81" s="106">
        <f t="shared" si="4"/>
        <v>0</v>
      </c>
      <c r="AB81" s="106">
        <f t="shared" si="5"/>
        <v>0</v>
      </c>
      <c r="AC81" s="94"/>
      <c r="AD81" s="94"/>
      <c r="AE81" s="94"/>
      <c r="AF81" s="94"/>
      <c r="AG81" s="94"/>
      <c r="AH81" s="263"/>
    </row>
    <row r="82" spans="1:34" ht="28.5" customHeight="1">
      <c r="A82" s="318"/>
      <c r="B82" s="264"/>
      <c r="C82" s="192"/>
      <c r="D82" s="192"/>
      <c r="E82" s="2">
        <v>10</v>
      </c>
      <c r="F82" s="74">
        <v>600</v>
      </c>
      <c r="G82" s="45">
        <f t="shared" si="3"/>
        <v>6000</v>
      </c>
      <c r="H82" s="119" t="s">
        <v>27</v>
      </c>
      <c r="I82" s="128">
        <v>45344</v>
      </c>
      <c r="J82" s="74">
        <v>600</v>
      </c>
      <c r="K82" s="74">
        <f>10+10</f>
        <v>20</v>
      </c>
      <c r="L82" s="156">
        <v>45351</v>
      </c>
      <c r="M82" s="90">
        <v>6000</v>
      </c>
      <c r="N82" s="90">
        <v>75</v>
      </c>
      <c r="O82" s="90"/>
      <c r="P82" s="94" t="s">
        <v>28</v>
      </c>
      <c r="Q82" s="94">
        <v>8500067820</v>
      </c>
      <c r="R82" s="94">
        <v>5000211127</v>
      </c>
      <c r="S82" s="74">
        <v>600</v>
      </c>
      <c r="T82" s="90" t="s">
        <v>87</v>
      </c>
      <c r="U82" s="90">
        <v>8500067819</v>
      </c>
      <c r="V82" s="90">
        <v>5000244656</v>
      </c>
      <c r="W82" s="127">
        <v>45352</v>
      </c>
      <c r="X82" s="106">
        <v>600</v>
      </c>
      <c r="Y82" s="106">
        <v>6000</v>
      </c>
      <c r="Z82" s="106" t="s">
        <v>803</v>
      </c>
      <c r="AA82" s="106">
        <f t="shared" si="4"/>
        <v>0</v>
      </c>
      <c r="AB82" s="106">
        <f t="shared" si="5"/>
        <v>0</v>
      </c>
      <c r="AC82" s="94"/>
      <c r="AD82" s="94"/>
      <c r="AE82" s="94"/>
      <c r="AF82" s="94"/>
      <c r="AG82" s="94"/>
      <c r="AH82" s="263"/>
    </row>
    <row r="83" spans="1:34" ht="19.5" customHeight="1">
      <c r="A83" s="318"/>
      <c r="B83" s="264"/>
      <c r="C83" s="192"/>
      <c r="D83" s="192"/>
      <c r="E83" s="2">
        <v>10</v>
      </c>
      <c r="F83" s="74">
        <v>1090</v>
      </c>
      <c r="G83" s="45">
        <f t="shared" si="3"/>
        <v>10900</v>
      </c>
      <c r="H83" s="119" t="s">
        <v>46</v>
      </c>
      <c r="I83" s="128">
        <v>45344</v>
      </c>
      <c r="J83" s="74">
        <v>1090</v>
      </c>
      <c r="K83" s="74">
        <f>10+13</f>
        <v>23</v>
      </c>
      <c r="L83" s="156">
        <v>45351</v>
      </c>
      <c r="M83" s="90">
        <v>10900</v>
      </c>
      <c r="N83" s="90">
        <v>124</v>
      </c>
      <c r="O83" s="90"/>
      <c r="P83" s="94" t="s">
        <v>28</v>
      </c>
      <c r="Q83" s="94">
        <v>8500067820</v>
      </c>
      <c r="R83" s="94">
        <v>5000211127</v>
      </c>
      <c r="S83" s="74">
        <v>1090</v>
      </c>
      <c r="T83" s="90" t="s">
        <v>87</v>
      </c>
      <c r="U83" s="90">
        <v>8500067819</v>
      </c>
      <c r="V83" s="90">
        <v>5000244656</v>
      </c>
      <c r="W83" s="127">
        <v>45360</v>
      </c>
      <c r="X83" s="106">
        <v>1090</v>
      </c>
      <c r="Y83" s="106">
        <v>10900</v>
      </c>
      <c r="Z83" s="106" t="s">
        <v>1460</v>
      </c>
      <c r="AA83" s="106">
        <f t="shared" si="4"/>
        <v>0</v>
      </c>
      <c r="AB83" s="106">
        <f t="shared" si="5"/>
        <v>0</v>
      </c>
      <c r="AC83" s="94"/>
      <c r="AD83" s="94"/>
      <c r="AE83" s="94"/>
      <c r="AF83" s="94"/>
      <c r="AG83" s="94"/>
      <c r="AH83" s="263"/>
    </row>
    <row r="84" spans="1:34" ht="19.5" customHeight="1">
      <c r="A84" s="318"/>
      <c r="B84" s="264"/>
      <c r="C84" s="192"/>
      <c r="D84" s="192"/>
      <c r="E84" s="2">
        <v>10</v>
      </c>
      <c r="F84" s="74">
        <v>630</v>
      </c>
      <c r="G84" s="45">
        <f t="shared" si="3"/>
        <v>6300</v>
      </c>
      <c r="H84" s="119" t="s">
        <v>37</v>
      </c>
      <c r="I84" s="128">
        <v>45344</v>
      </c>
      <c r="J84" s="74">
        <v>630</v>
      </c>
      <c r="K84" s="74">
        <f>10+7</f>
        <v>17</v>
      </c>
      <c r="L84" s="156">
        <v>45351</v>
      </c>
      <c r="M84" s="90">
        <v>6300</v>
      </c>
      <c r="N84" s="90">
        <v>78</v>
      </c>
      <c r="O84" s="90"/>
      <c r="P84" s="94" t="s">
        <v>28</v>
      </c>
      <c r="Q84" s="94">
        <v>8500067820</v>
      </c>
      <c r="R84" s="94">
        <v>5000211190</v>
      </c>
      <c r="S84" s="74">
        <v>630</v>
      </c>
      <c r="T84" s="90" t="s">
        <v>87</v>
      </c>
      <c r="U84" s="90">
        <v>8500067819</v>
      </c>
      <c r="V84" s="90">
        <v>5000244656</v>
      </c>
      <c r="W84" s="109">
        <v>45369</v>
      </c>
      <c r="X84" s="106">
        <v>630</v>
      </c>
      <c r="Y84" s="106">
        <v>6300</v>
      </c>
      <c r="Z84" s="106" t="s">
        <v>35</v>
      </c>
      <c r="AA84" s="106">
        <f t="shared" si="4"/>
        <v>0</v>
      </c>
      <c r="AB84" s="106">
        <f t="shared" si="5"/>
        <v>0</v>
      </c>
      <c r="AC84" s="94"/>
      <c r="AD84" s="94"/>
      <c r="AE84" s="94"/>
      <c r="AF84" s="94"/>
      <c r="AG84" s="94"/>
      <c r="AH84" s="263"/>
    </row>
    <row r="85" spans="1:34" ht="25.5" customHeight="1">
      <c r="A85" s="318"/>
      <c r="B85" s="264"/>
      <c r="C85" s="192"/>
      <c r="D85" s="192"/>
      <c r="E85" s="2">
        <v>10</v>
      </c>
      <c r="F85" s="74">
        <v>100</v>
      </c>
      <c r="G85" s="45">
        <f t="shared" si="3"/>
        <v>1000</v>
      </c>
      <c r="H85" s="119" t="s">
        <v>146</v>
      </c>
      <c r="I85" s="128">
        <v>45345</v>
      </c>
      <c r="J85" s="74">
        <v>100</v>
      </c>
      <c r="K85" s="74">
        <f>10+1</f>
        <v>11</v>
      </c>
      <c r="L85" s="156">
        <v>45351</v>
      </c>
      <c r="M85" s="90">
        <v>1000</v>
      </c>
      <c r="N85" s="90">
        <v>25</v>
      </c>
      <c r="O85" s="90" t="s">
        <v>2037</v>
      </c>
      <c r="P85" s="94" t="s">
        <v>28</v>
      </c>
      <c r="Q85" s="94">
        <v>8500067822</v>
      </c>
      <c r="R85" s="94">
        <v>5000215915</v>
      </c>
      <c r="S85" s="74">
        <v>100</v>
      </c>
      <c r="T85" s="90" t="s">
        <v>87</v>
      </c>
      <c r="U85" s="90">
        <v>8500067819</v>
      </c>
      <c r="V85" s="90">
        <v>5000244656</v>
      </c>
      <c r="W85" s="109">
        <v>45367</v>
      </c>
      <c r="X85" s="106">
        <v>100</v>
      </c>
      <c r="Y85" s="106">
        <v>1000</v>
      </c>
      <c r="Z85" s="106" t="s">
        <v>1958</v>
      </c>
      <c r="AA85" s="106">
        <f t="shared" si="4"/>
        <v>0</v>
      </c>
      <c r="AB85" s="106">
        <f t="shared" si="5"/>
        <v>0</v>
      </c>
      <c r="AC85" s="94"/>
      <c r="AD85" s="94"/>
      <c r="AE85" s="94"/>
      <c r="AF85" s="94"/>
      <c r="AG85" s="94"/>
      <c r="AH85" s="263"/>
    </row>
    <row r="86" spans="1:34" ht="26.25" customHeight="1">
      <c r="A86" s="318" t="s">
        <v>279</v>
      </c>
      <c r="B86" s="264">
        <v>6000028942</v>
      </c>
      <c r="C86" s="192" t="s">
        <v>414</v>
      </c>
      <c r="D86" s="192" t="s">
        <v>2850</v>
      </c>
      <c r="E86" s="2">
        <v>10</v>
      </c>
      <c r="F86" s="74">
        <v>100</v>
      </c>
      <c r="G86" s="45">
        <f t="shared" si="3"/>
        <v>1000</v>
      </c>
      <c r="H86" s="119" t="s">
        <v>243</v>
      </c>
      <c r="I86" s="128">
        <v>45345</v>
      </c>
      <c r="J86" s="74">
        <v>100</v>
      </c>
      <c r="K86" s="74">
        <f>10+3</f>
        <v>13</v>
      </c>
      <c r="L86" s="156">
        <v>45351</v>
      </c>
      <c r="M86" s="90">
        <v>1000</v>
      </c>
      <c r="N86" s="90">
        <v>25</v>
      </c>
      <c r="O86" s="90" t="s">
        <v>1613</v>
      </c>
      <c r="P86" s="94" t="s">
        <v>28</v>
      </c>
      <c r="Q86" s="94">
        <v>8500067824</v>
      </c>
      <c r="R86" s="94">
        <v>5000215916</v>
      </c>
      <c r="S86" s="74">
        <v>100</v>
      </c>
      <c r="T86" s="90" t="s">
        <v>87</v>
      </c>
      <c r="U86" s="90">
        <v>8500067823</v>
      </c>
      <c r="V86" s="90">
        <v>5000250749</v>
      </c>
      <c r="W86" s="109">
        <v>45359</v>
      </c>
      <c r="X86" s="106">
        <v>100</v>
      </c>
      <c r="Y86" s="106">
        <v>1000</v>
      </c>
      <c r="Z86" s="106" t="s">
        <v>1472</v>
      </c>
      <c r="AA86" s="106">
        <f t="shared" si="4"/>
        <v>0</v>
      </c>
      <c r="AB86" s="106">
        <f t="shared" si="5"/>
        <v>0</v>
      </c>
      <c r="AC86" s="94"/>
      <c r="AD86" s="94"/>
      <c r="AE86" s="94"/>
      <c r="AF86" s="94"/>
      <c r="AG86" s="94"/>
      <c r="AH86" s="263"/>
    </row>
    <row r="87" spans="1:34" ht="26.25" customHeight="1">
      <c r="A87" s="318"/>
      <c r="B87" s="264"/>
      <c r="C87" s="192"/>
      <c r="D87" s="192"/>
      <c r="E87" s="2">
        <v>10</v>
      </c>
      <c r="F87" s="74">
        <v>600</v>
      </c>
      <c r="G87" s="45">
        <f t="shared" ref="G87:G114" si="6">F87*E87</f>
        <v>6000</v>
      </c>
      <c r="H87" s="119" t="s">
        <v>27</v>
      </c>
      <c r="I87" s="128">
        <v>45344</v>
      </c>
      <c r="J87" s="74">
        <v>600</v>
      </c>
      <c r="K87" s="74">
        <f>10+10</f>
        <v>20</v>
      </c>
      <c r="L87" s="156">
        <v>45351</v>
      </c>
      <c r="M87" s="90">
        <v>6000</v>
      </c>
      <c r="N87" s="90">
        <v>75</v>
      </c>
      <c r="O87" s="90"/>
      <c r="P87" s="94" t="s">
        <v>28</v>
      </c>
      <c r="Q87" s="94">
        <v>8500067824</v>
      </c>
      <c r="R87" s="94">
        <v>5000211224</v>
      </c>
      <c r="S87" s="74">
        <v>600</v>
      </c>
      <c r="T87" s="90" t="s">
        <v>87</v>
      </c>
      <c r="U87" s="90">
        <v>8500067823</v>
      </c>
      <c r="V87" s="90">
        <v>5000240107</v>
      </c>
      <c r="W87" s="109">
        <v>45353</v>
      </c>
      <c r="X87" s="106">
        <v>600</v>
      </c>
      <c r="Y87" s="106">
        <v>6000</v>
      </c>
      <c r="Z87" s="106" t="s">
        <v>803</v>
      </c>
      <c r="AA87" s="106">
        <f t="shared" si="4"/>
        <v>0</v>
      </c>
      <c r="AB87" s="106">
        <f t="shared" si="5"/>
        <v>0</v>
      </c>
      <c r="AC87" s="94"/>
      <c r="AD87" s="94"/>
      <c r="AE87" s="94"/>
      <c r="AF87" s="94"/>
      <c r="AG87" s="94"/>
      <c r="AH87" s="263"/>
    </row>
    <row r="88" spans="1:34" ht="26.25" customHeight="1">
      <c r="A88" s="318"/>
      <c r="B88" s="264"/>
      <c r="C88" s="192"/>
      <c r="D88" s="192"/>
      <c r="E88" s="2">
        <v>10</v>
      </c>
      <c r="F88" s="74">
        <v>1090</v>
      </c>
      <c r="G88" s="45">
        <f t="shared" si="6"/>
        <v>10900</v>
      </c>
      <c r="H88" s="119" t="s">
        <v>46</v>
      </c>
      <c r="I88" s="128">
        <v>45345</v>
      </c>
      <c r="J88" s="74">
        <v>1090</v>
      </c>
      <c r="K88" s="74">
        <f>10+10</f>
        <v>20</v>
      </c>
      <c r="L88" s="156">
        <v>45353</v>
      </c>
      <c r="M88" s="90">
        <v>10900</v>
      </c>
      <c r="N88" s="90">
        <v>124</v>
      </c>
      <c r="O88" s="90"/>
      <c r="P88" s="94" t="s">
        <v>28</v>
      </c>
      <c r="Q88" s="94">
        <v>8500067824</v>
      </c>
      <c r="R88" s="94">
        <v>5000212420</v>
      </c>
      <c r="S88" s="74">
        <v>1090</v>
      </c>
      <c r="T88" s="90" t="s">
        <v>87</v>
      </c>
      <c r="U88" s="90">
        <v>8500067823</v>
      </c>
      <c r="V88" s="90">
        <v>5000250749</v>
      </c>
      <c r="W88" s="109">
        <v>45367</v>
      </c>
      <c r="X88" s="106">
        <v>1090</v>
      </c>
      <c r="Y88" s="106">
        <v>10900</v>
      </c>
      <c r="Z88" s="106" t="s">
        <v>1460</v>
      </c>
      <c r="AA88" s="106">
        <f t="shared" si="4"/>
        <v>0</v>
      </c>
      <c r="AB88" s="106">
        <f t="shared" si="5"/>
        <v>0</v>
      </c>
      <c r="AC88" s="94" t="s">
        <v>3193</v>
      </c>
      <c r="AD88" s="94"/>
      <c r="AE88" s="94"/>
      <c r="AF88" s="94"/>
      <c r="AG88" s="94"/>
      <c r="AH88" s="263"/>
    </row>
    <row r="89" spans="1:34" ht="26.25" customHeight="1">
      <c r="A89" s="318"/>
      <c r="B89" s="264"/>
      <c r="C89" s="192"/>
      <c r="D89" s="192"/>
      <c r="E89" s="2">
        <v>10</v>
      </c>
      <c r="F89" s="74">
        <v>630</v>
      </c>
      <c r="G89" s="45">
        <f t="shared" si="6"/>
        <v>6300</v>
      </c>
      <c r="H89" s="119" t="s">
        <v>37</v>
      </c>
      <c r="I89" s="128">
        <v>45344</v>
      </c>
      <c r="J89" s="74">
        <v>630</v>
      </c>
      <c r="K89" s="74">
        <f>10+7</f>
        <v>17</v>
      </c>
      <c r="L89" s="156">
        <v>45351</v>
      </c>
      <c r="M89" s="90">
        <v>6300</v>
      </c>
      <c r="N89" s="90">
        <v>78</v>
      </c>
      <c r="O89" s="90"/>
      <c r="P89" s="94" t="s">
        <v>28</v>
      </c>
      <c r="Q89" s="94">
        <v>8500067824</v>
      </c>
      <c r="R89" s="94">
        <v>5000211224</v>
      </c>
      <c r="S89" s="74">
        <v>630</v>
      </c>
      <c r="T89" s="90" t="s">
        <v>87</v>
      </c>
      <c r="U89" s="90">
        <v>8500067823</v>
      </c>
      <c r="V89" s="90">
        <v>5000250749</v>
      </c>
      <c r="W89" s="109">
        <v>45374</v>
      </c>
      <c r="X89" s="106">
        <v>630</v>
      </c>
      <c r="Y89" s="106">
        <v>6300</v>
      </c>
      <c r="Z89" s="106" t="s">
        <v>35</v>
      </c>
      <c r="AA89" s="106">
        <f t="shared" si="4"/>
        <v>0</v>
      </c>
      <c r="AB89" s="106">
        <f t="shared" si="5"/>
        <v>0</v>
      </c>
      <c r="AC89" s="94"/>
      <c r="AD89" s="94"/>
      <c r="AE89" s="94"/>
      <c r="AF89" s="94"/>
      <c r="AG89" s="94"/>
      <c r="AH89" s="263"/>
    </row>
    <row r="90" spans="1:34" ht="26.25" customHeight="1">
      <c r="A90" s="318"/>
      <c r="B90" s="264"/>
      <c r="C90" s="192"/>
      <c r="D90" s="192"/>
      <c r="E90" s="2">
        <v>10</v>
      </c>
      <c r="F90" s="74">
        <v>100</v>
      </c>
      <c r="G90" s="45">
        <f t="shared" si="6"/>
        <v>1000</v>
      </c>
      <c r="H90" s="119" t="s">
        <v>146</v>
      </c>
      <c r="I90" s="128">
        <v>45345</v>
      </c>
      <c r="J90" s="74">
        <v>100</v>
      </c>
      <c r="K90" s="74">
        <f>10+2</f>
        <v>12</v>
      </c>
      <c r="L90" s="156">
        <v>45351</v>
      </c>
      <c r="M90" s="90">
        <v>1000</v>
      </c>
      <c r="N90" s="90">
        <v>25</v>
      </c>
      <c r="O90" s="90" t="s">
        <v>2037</v>
      </c>
      <c r="P90" s="94" t="s">
        <v>28</v>
      </c>
      <c r="Q90" s="94">
        <v>8500067826</v>
      </c>
      <c r="R90" s="94">
        <v>5000215917</v>
      </c>
      <c r="S90" s="74">
        <v>100</v>
      </c>
      <c r="T90" s="90" t="s">
        <v>87</v>
      </c>
      <c r="U90" s="90">
        <v>8500067825</v>
      </c>
      <c r="V90" s="90">
        <v>5000250749</v>
      </c>
      <c r="W90" s="109">
        <v>45369</v>
      </c>
      <c r="X90" s="106">
        <v>100</v>
      </c>
      <c r="Y90" s="106">
        <v>1000</v>
      </c>
      <c r="Z90" s="106" t="s">
        <v>798</v>
      </c>
      <c r="AA90" s="106">
        <f t="shared" si="4"/>
        <v>0</v>
      </c>
      <c r="AB90" s="106">
        <f t="shared" si="5"/>
        <v>0</v>
      </c>
      <c r="AC90" s="94"/>
      <c r="AD90" s="94"/>
      <c r="AE90" s="94"/>
      <c r="AF90" s="94"/>
      <c r="AG90" s="94"/>
      <c r="AH90" s="263"/>
    </row>
    <row r="91" spans="1:34" ht="26.25" customHeight="1">
      <c r="A91" s="318" t="s">
        <v>279</v>
      </c>
      <c r="B91" s="264">
        <v>6000028943</v>
      </c>
      <c r="C91" s="192" t="s">
        <v>414</v>
      </c>
      <c r="D91" s="192" t="s">
        <v>2851</v>
      </c>
      <c r="E91" s="2">
        <v>10</v>
      </c>
      <c r="F91" s="74">
        <v>100</v>
      </c>
      <c r="G91" s="45">
        <f t="shared" si="6"/>
        <v>1000</v>
      </c>
      <c r="H91" s="119" t="s">
        <v>243</v>
      </c>
      <c r="I91" s="128">
        <v>45345</v>
      </c>
      <c r="J91" s="74">
        <v>100</v>
      </c>
      <c r="K91" s="74">
        <f>10+3</f>
        <v>13</v>
      </c>
      <c r="L91" s="156">
        <v>45351</v>
      </c>
      <c r="M91" s="90">
        <v>1000</v>
      </c>
      <c r="N91" s="90">
        <v>25</v>
      </c>
      <c r="O91" s="90" t="s">
        <v>1657</v>
      </c>
      <c r="P91" s="94" t="s">
        <v>28</v>
      </c>
      <c r="Q91" s="94">
        <v>8500067828</v>
      </c>
      <c r="R91" s="94">
        <v>5000216032</v>
      </c>
      <c r="S91" s="74">
        <v>100</v>
      </c>
      <c r="T91" s="90" t="s">
        <v>87</v>
      </c>
      <c r="U91" s="90">
        <v>8500067827</v>
      </c>
      <c r="V91" s="90">
        <v>5000244627</v>
      </c>
      <c r="W91" s="109">
        <v>45360</v>
      </c>
      <c r="X91" s="106">
        <v>100</v>
      </c>
      <c r="Y91" s="106">
        <v>1000</v>
      </c>
      <c r="Z91" s="106" t="s">
        <v>1472</v>
      </c>
      <c r="AA91" s="106">
        <f t="shared" si="4"/>
        <v>0</v>
      </c>
      <c r="AB91" s="106">
        <f t="shared" si="5"/>
        <v>0</v>
      </c>
      <c r="AC91" s="94" t="s">
        <v>3198</v>
      </c>
      <c r="AD91" s="94"/>
      <c r="AE91" s="94"/>
      <c r="AF91" s="94"/>
      <c r="AG91" s="94"/>
      <c r="AH91" s="263"/>
    </row>
    <row r="92" spans="1:34" ht="26.25" customHeight="1">
      <c r="A92" s="318"/>
      <c r="B92" s="264"/>
      <c r="C92" s="192"/>
      <c r="D92" s="192"/>
      <c r="E92" s="2">
        <v>10</v>
      </c>
      <c r="F92" s="74">
        <v>600</v>
      </c>
      <c r="G92" s="45">
        <f t="shared" si="6"/>
        <v>6000</v>
      </c>
      <c r="H92" s="119" t="s">
        <v>27</v>
      </c>
      <c r="I92" s="128">
        <v>45345</v>
      </c>
      <c r="J92" s="74">
        <v>600</v>
      </c>
      <c r="K92" s="74">
        <f>10+6</f>
        <v>16</v>
      </c>
      <c r="L92" s="156">
        <v>45351</v>
      </c>
      <c r="M92" s="90">
        <v>6000</v>
      </c>
      <c r="N92" s="90">
        <v>75</v>
      </c>
      <c r="O92" s="90" t="s">
        <v>1743</v>
      </c>
      <c r="P92" s="94" t="s">
        <v>28</v>
      </c>
      <c r="Q92" s="94">
        <v>8500067828</v>
      </c>
      <c r="R92" s="94">
        <v>5000212436</v>
      </c>
      <c r="S92" s="74">
        <v>600</v>
      </c>
      <c r="T92" s="90" t="s">
        <v>87</v>
      </c>
      <c r="U92" s="90">
        <v>8500067827</v>
      </c>
      <c r="V92" s="90">
        <v>5000244627</v>
      </c>
      <c r="W92" s="109">
        <v>45356</v>
      </c>
      <c r="X92" s="106">
        <v>600</v>
      </c>
      <c r="Y92" s="106">
        <v>6000</v>
      </c>
      <c r="Z92" s="106" t="s">
        <v>803</v>
      </c>
      <c r="AA92" s="106">
        <f t="shared" si="4"/>
        <v>0</v>
      </c>
      <c r="AB92" s="106">
        <f t="shared" si="5"/>
        <v>0</v>
      </c>
      <c r="AC92" s="94"/>
      <c r="AD92" s="94"/>
      <c r="AE92" s="94"/>
      <c r="AF92" s="94"/>
      <c r="AG92" s="94"/>
      <c r="AH92" s="263"/>
    </row>
    <row r="93" spans="1:34" ht="26.25" customHeight="1">
      <c r="A93" s="318"/>
      <c r="B93" s="264"/>
      <c r="C93" s="192"/>
      <c r="D93" s="192"/>
      <c r="E93" s="2">
        <v>10</v>
      </c>
      <c r="F93" s="74">
        <v>1090</v>
      </c>
      <c r="G93" s="45">
        <f t="shared" si="6"/>
        <v>10900</v>
      </c>
      <c r="H93" s="119" t="s">
        <v>46</v>
      </c>
      <c r="I93" s="128">
        <v>45345</v>
      </c>
      <c r="J93" s="74">
        <v>1090</v>
      </c>
      <c r="K93" s="74">
        <f>10+13</f>
        <v>23</v>
      </c>
      <c r="L93" s="156">
        <v>45351</v>
      </c>
      <c r="M93" s="90">
        <v>10900</v>
      </c>
      <c r="N93" s="90">
        <v>124</v>
      </c>
      <c r="O93" s="90"/>
      <c r="P93" s="94" t="s">
        <v>28</v>
      </c>
      <c r="Q93" s="94">
        <v>8500067828</v>
      </c>
      <c r="R93" s="94">
        <v>5000216032</v>
      </c>
      <c r="S93" s="74">
        <v>1090</v>
      </c>
      <c r="T93" s="90" t="s">
        <v>87</v>
      </c>
      <c r="U93" s="90">
        <v>8500067827</v>
      </c>
      <c r="V93" s="90">
        <v>5000244627</v>
      </c>
      <c r="W93" s="109">
        <v>45369</v>
      </c>
      <c r="X93" s="106">
        <v>1090</v>
      </c>
      <c r="Y93" s="106">
        <v>10900</v>
      </c>
      <c r="Z93" s="106" t="s">
        <v>1460</v>
      </c>
      <c r="AA93" s="106">
        <f t="shared" si="4"/>
        <v>0</v>
      </c>
      <c r="AB93" s="106">
        <f t="shared" si="5"/>
        <v>0</v>
      </c>
      <c r="AC93" s="94" t="s">
        <v>3214</v>
      </c>
      <c r="AD93" s="94"/>
      <c r="AE93" s="94"/>
      <c r="AF93" s="94"/>
      <c r="AG93" s="94"/>
      <c r="AH93" s="263"/>
    </row>
    <row r="94" spans="1:34" ht="26.25" customHeight="1">
      <c r="A94" s="318"/>
      <c r="B94" s="264"/>
      <c r="C94" s="192"/>
      <c r="D94" s="192"/>
      <c r="E94" s="2">
        <v>10</v>
      </c>
      <c r="F94" s="74">
        <v>630</v>
      </c>
      <c r="G94" s="45">
        <f t="shared" si="6"/>
        <v>6300</v>
      </c>
      <c r="H94" s="119" t="s">
        <v>37</v>
      </c>
      <c r="I94" s="128">
        <v>45344</v>
      </c>
      <c r="J94" s="74">
        <v>630</v>
      </c>
      <c r="K94" s="74">
        <f>10+6</f>
        <v>16</v>
      </c>
      <c r="L94" s="156">
        <v>45351</v>
      </c>
      <c r="M94" s="90">
        <v>6300</v>
      </c>
      <c r="N94" s="90">
        <v>78</v>
      </c>
      <c r="O94" s="90"/>
      <c r="P94" s="94" t="s">
        <v>28</v>
      </c>
      <c r="Q94" s="94">
        <v>8500067828</v>
      </c>
      <c r="R94" s="94">
        <v>5000211313</v>
      </c>
      <c r="S94" s="74">
        <v>630</v>
      </c>
      <c r="T94" s="90" t="s">
        <v>87</v>
      </c>
      <c r="U94" s="90">
        <v>8500067827</v>
      </c>
      <c r="V94" s="90">
        <v>5000244627</v>
      </c>
      <c r="W94" s="109">
        <v>45374</v>
      </c>
      <c r="X94" s="106">
        <v>630</v>
      </c>
      <c r="Y94" s="106">
        <v>6300</v>
      </c>
      <c r="Z94" s="106" t="s">
        <v>35</v>
      </c>
      <c r="AA94" s="106">
        <f t="shared" si="4"/>
        <v>0</v>
      </c>
      <c r="AB94" s="106">
        <f t="shared" si="5"/>
        <v>0</v>
      </c>
      <c r="AC94" s="94"/>
      <c r="AD94" s="94"/>
      <c r="AE94" s="94"/>
      <c r="AF94" s="94"/>
      <c r="AG94" s="94"/>
      <c r="AH94" s="263"/>
    </row>
    <row r="95" spans="1:34" ht="26.25" customHeight="1">
      <c r="A95" s="318"/>
      <c r="B95" s="264"/>
      <c r="C95" s="192"/>
      <c r="D95" s="192"/>
      <c r="E95" s="2">
        <v>10</v>
      </c>
      <c r="F95" s="74">
        <v>100</v>
      </c>
      <c r="G95" s="45">
        <f t="shared" si="6"/>
        <v>1000</v>
      </c>
      <c r="H95" s="119" t="s">
        <v>146</v>
      </c>
      <c r="I95" s="128">
        <v>45345</v>
      </c>
      <c r="J95" s="74">
        <v>100</v>
      </c>
      <c r="K95" s="74">
        <f>10+2</f>
        <v>12</v>
      </c>
      <c r="L95" s="156">
        <v>45351</v>
      </c>
      <c r="M95" s="90">
        <v>1000</v>
      </c>
      <c r="N95" s="90">
        <v>25</v>
      </c>
      <c r="O95" s="90" t="s">
        <v>2037</v>
      </c>
      <c r="P95" s="94" t="s">
        <v>28</v>
      </c>
      <c r="Q95" s="94">
        <v>8500067830</v>
      </c>
      <c r="R95" s="94">
        <v>5000216035</v>
      </c>
      <c r="S95" s="74">
        <v>100</v>
      </c>
      <c r="T95" s="90" t="s">
        <v>87</v>
      </c>
      <c r="U95" s="90">
        <v>8500067827</v>
      </c>
      <c r="V95" s="90">
        <v>5000244627</v>
      </c>
      <c r="W95" s="109">
        <v>45369</v>
      </c>
      <c r="X95" s="106">
        <v>100</v>
      </c>
      <c r="Y95" s="106">
        <v>1000</v>
      </c>
      <c r="Z95" s="106" t="s">
        <v>798</v>
      </c>
      <c r="AA95" s="106">
        <f t="shared" si="4"/>
        <v>0</v>
      </c>
      <c r="AB95" s="106">
        <f t="shared" si="5"/>
        <v>0</v>
      </c>
      <c r="AC95" s="94"/>
      <c r="AD95" s="94"/>
      <c r="AE95" s="94"/>
      <c r="AF95" s="94"/>
      <c r="AG95" s="94"/>
      <c r="AH95" s="263"/>
    </row>
    <row r="96" spans="1:34" ht="26.25" customHeight="1">
      <c r="A96" s="318" t="s">
        <v>279</v>
      </c>
      <c r="B96" s="264">
        <v>6000028944</v>
      </c>
      <c r="C96" s="192" t="s">
        <v>907</v>
      </c>
      <c r="D96" s="192" t="s">
        <v>2852</v>
      </c>
      <c r="E96" s="2">
        <v>10</v>
      </c>
      <c r="F96" s="74">
        <v>280</v>
      </c>
      <c r="G96" s="45">
        <f t="shared" si="6"/>
        <v>2800</v>
      </c>
      <c r="H96" s="119" t="s">
        <v>27</v>
      </c>
      <c r="I96" s="128">
        <v>45344</v>
      </c>
      <c r="J96" s="74">
        <v>280</v>
      </c>
      <c r="K96" s="74">
        <f>10+5</f>
        <v>15</v>
      </c>
      <c r="L96" s="156">
        <v>45344</v>
      </c>
      <c r="M96" s="90">
        <v>2800</v>
      </c>
      <c r="N96" s="90">
        <v>43</v>
      </c>
      <c r="O96" s="90" t="s">
        <v>1574</v>
      </c>
      <c r="P96" s="94" t="s">
        <v>28</v>
      </c>
      <c r="Q96" s="94">
        <v>8500068117</v>
      </c>
      <c r="R96" s="94">
        <v>5000211253</v>
      </c>
      <c r="S96" s="74">
        <v>280</v>
      </c>
      <c r="T96" s="90" t="s">
        <v>87</v>
      </c>
      <c r="U96" s="90">
        <v>8500068116</v>
      </c>
      <c r="V96" s="90">
        <v>5000211333</v>
      </c>
      <c r="W96" s="109">
        <v>45346</v>
      </c>
      <c r="X96" s="106">
        <v>280</v>
      </c>
      <c r="Y96" s="106">
        <v>2800</v>
      </c>
      <c r="Z96" s="106" t="s">
        <v>849</v>
      </c>
      <c r="AA96" s="106">
        <f t="shared" si="4"/>
        <v>0</v>
      </c>
      <c r="AB96" s="106">
        <f t="shared" si="5"/>
        <v>0</v>
      </c>
      <c r="AC96" s="94"/>
      <c r="AD96" s="94"/>
      <c r="AE96" s="94"/>
      <c r="AF96" s="94"/>
      <c r="AG96" s="94"/>
      <c r="AH96" s="263"/>
    </row>
    <row r="97" spans="1:34" ht="26.25" customHeight="1">
      <c r="A97" s="318"/>
      <c r="B97" s="264"/>
      <c r="C97" s="192"/>
      <c r="D97" s="192"/>
      <c r="E97" s="2">
        <v>10</v>
      </c>
      <c r="F97" s="74">
        <v>1730</v>
      </c>
      <c r="G97" s="45">
        <f t="shared" si="6"/>
        <v>17300</v>
      </c>
      <c r="H97" s="119" t="s">
        <v>46</v>
      </c>
      <c r="I97" s="128">
        <v>45344</v>
      </c>
      <c r="J97" s="74">
        <v>1730</v>
      </c>
      <c r="K97" s="74">
        <f>10+18</f>
        <v>28</v>
      </c>
      <c r="L97" s="156">
        <v>45351</v>
      </c>
      <c r="M97" s="90">
        <v>17300</v>
      </c>
      <c r="N97" s="90">
        <v>188</v>
      </c>
      <c r="O97" s="90" t="s">
        <v>2041</v>
      </c>
      <c r="P97" s="94" t="s">
        <v>28</v>
      </c>
      <c r="Q97" s="94">
        <v>8500068117</v>
      </c>
      <c r="R97" s="94">
        <v>5000211253</v>
      </c>
      <c r="S97" s="74">
        <v>1730</v>
      </c>
      <c r="T97" s="90" t="s">
        <v>87</v>
      </c>
      <c r="U97" s="90">
        <v>8500068116</v>
      </c>
      <c r="V97" s="90">
        <v>5000231644</v>
      </c>
      <c r="W97" s="109" t="s">
        <v>3111</v>
      </c>
      <c r="X97" s="106">
        <f>93+1637</f>
        <v>1730</v>
      </c>
      <c r="Y97" s="106">
        <f>930+16370</f>
        <v>17300</v>
      </c>
      <c r="Z97" s="106" t="s">
        <v>2504</v>
      </c>
      <c r="AA97" s="106">
        <f t="shared" si="4"/>
        <v>0</v>
      </c>
      <c r="AB97" s="106">
        <f>M97-Y97</f>
        <v>0</v>
      </c>
      <c r="AC97" s="94"/>
      <c r="AD97" s="94"/>
      <c r="AE97" s="94"/>
      <c r="AF97" s="94"/>
      <c r="AG97" s="94"/>
      <c r="AH97" s="263"/>
    </row>
    <row r="98" spans="1:34" ht="27" customHeight="1">
      <c r="A98" s="318"/>
      <c r="B98" s="264"/>
      <c r="C98" s="192"/>
      <c r="D98" s="192"/>
      <c r="E98" s="2">
        <v>10</v>
      </c>
      <c r="F98" s="74">
        <v>1092</v>
      </c>
      <c r="G98" s="45">
        <f t="shared" si="6"/>
        <v>10920</v>
      </c>
      <c r="H98" s="119" t="s">
        <v>37</v>
      </c>
      <c r="I98" s="128">
        <v>45345</v>
      </c>
      <c r="J98" s="74">
        <v>1092</v>
      </c>
      <c r="K98" s="74">
        <f>10+18</f>
        <v>28</v>
      </c>
      <c r="L98" s="156">
        <v>45349</v>
      </c>
      <c r="M98" s="90">
        <v>10920</v>
      </c>
      <c r="N98" s="90">
        <v>124</v>
      </c>
      <c r="O98" s="90" t="s">
        <v>1743</v>
      </c>
      <c r="P98" s="94" t="s">
        <v>28</v>
      </c>
      <c r="Q98" s="94">
        <v>8500068117</v>
      </c>
      <c r="R98" s="94">
        <v>5000215911</v>
      </c>
      <c r="S98" s="74">
        <v>1092</v>
      </c>
      <c r="T98" s="90" t="s">
        <v>87</v>
      </c>
      <c r="U98" s="90">
        <v>8500068116</v>
      </c>
      <c r="V98" s="90">
        <v>5000231644</v>
      </c>
      <c r="W98" s="109">
        <v>45355</v>
      </c>
      <c r="X98" s="106">
        <v>1092</v>
      </c>
      <c r="Y98" s="106">
        <v>10920</v>
      </c>
      <c r="Z98" s="106" t="s">
        <v>35</v>
      </c>
      <c r="AA98" s="106">
        <f t="shared" si="4"/>
        <v>0</v>
      </c>
      <c r="AB98" s="106">
        <f t="shared" si="5"/>
        <v>0</v>
      </c>
      <c r="AC98" s="94"/>
      <c r="AD98" s="94"/>
      <c r="AE98" s="94"/>
      <c r="AF98" s="94"/>
      <c r="AG98" s="94"/>
      <c r="AH98" s="263"/>
    </row>
    <row r="99" spans="1:34" ht="26.25" customHeight="1">
      <c r="A99" s="318"/>
      <c r="B99" s="264"/>
      <c r="C99" s="192"/>
      <c r="D99" s="192"/>
      <c r="E99" s="2">
        <v>10</v>
      </c>
      <c r="F99" s="74">
        <v>238</v>
      </c>
      <c r="G99" s="45">
        <f t="shared" si="6"/>
        <v>2380</v>
      </c>
      <c r="H99" s="119" t="s">
        <v>146</v>
      </c>
      <c r="I99" s="128">
        <v>45342</v>
      </c>
      <c r="J99" s="74">
        <v>238</v>
      </c>
      <c r="K99" s="74">
        <f>10+2</f>
        <v>12</v>
      </c>
      <c r="L99" s="156">
        <v>45345</v>
      </c>
      <c r="M99" s="90">
        <v>2380</v>
      </c>
      <c r="N99" s="90">
        <v>39</v>
      </c>
      <c r="O99" s="90" t="s">
        <v>1662</v>
      </c>
      <c r="P99" s="94" t="s">
        <v>28</v>
      </c>
      <c r="Q99" s="94">
        <v>8500068117</v>
      </c>
      <c r="R99" s="94">
        <v>5000201721</v>
      </c>
      <c r="S99" s="74">
        <v>238</v>
      </c>
      <c r="T99" s="90" t="s">
        <v>87</v>
      </c>
      <c r="U99" s="90">
        <v>8500068116</v>
      </c>
      <c r="V99" s="90">
        <v>5000216071</v>
      </c>
      <c r="W99" s="109">
        <v>45360</v>
      </c>
      <c r="X99" s="106">
        <v>238</v>
      </c>
      <c r="Y99" s="106">
        <v>2380</v>
      </c>
      <c r="Z99" s="106" t="s">
        <v>798</v>
      </c>
      <c r="AA99" s="106">
        <f t="shared" si="4"/>
        <v>0</v>
      </c>
      <c r="AB99" s="106">
        <f t="shared" si="5"/>
        <v>0</v>
      </c>
      <c r="AC99" s="94"/>
      <c r="AD99" s="94"/>
      <c r="AE99" s="94"/>
      <c r="AF99" s="94"/>
      <c r="AG99" s="94"/>
      <c r="AH99" s="263"/>
    </row>
    <row r="100" spans="1:34" ht="26.25" customHeight="1">
      <c r="A100" s="318" t="s">
        <v>279</v>
      </c>
      <c r="B100" s="264">
        <v>6000028945</v>
      </c>
      <c r="C100" s="192" t="s">
        <v>907</v>
      </c>
      <c r="D100" s="192" t="s">
        <v>2853</v>
      </c>
      <c r="E100" s="2">
        <v>10</v>
      </c>
      <c r="F100" s="74">
        <v>280</v>
      </c>
      <c r="G100" s="45">
        <f t="shared" si="6"/>
        <v>2800</v>
      </c>
      <c r="H100" s="119" t="s">
        <v>27</v>
      </c>
      <c r="I100" s="128" t="s">
        <v>2935</v>
      </c>
      <c r="J100" s="74">
        <f>253+27</f>
        <v>280</v>
      </c>
      <c r="K100" s="74">
        <f>2+10+11</f>
        <v>23</v>
      </c>
      <c r="L100" s="156">
        <v>45344</v>
      </c>
      <c r="M100" s="90">
        <v>2800</v>
      </c>
      <c r="N100" s="90">
        <v>43</v>
      </c>
      <c r="O100" s="90" t="s">
        <v>888</v>
      </c>
      <c r="P100" s="94" t="s">
        <v>28</v>
      </c>
      <c r="Q100" s="94">
        <v>8500068119</v>
      </c>
      <c r="R100" s="94">
        <v>5000211253</v>
      </c>
      <c r="S100" s="74">
        <f>253+27</f>
        <v>280</v>
      </c>
      <c r="T100" s="90" t="s">
        <v>87</v>
      </c>
      <c r="U100" s="90">
        <v>8500068118</v>
      </c>
      <c r="V100" s="90">
        <v>5000211334</v>
      </c>
      <c r="W100" s="109">
        <v>45346</v>
      </c>
      <c r="X100" s="106">
        <v>280</v>
      </c>
      <c r="Y100" s="106">
        <v>2800</v>
      </c>
      <c r="Z100" s="106" t="s">
        <v>849</v>
      </c>
      <c r="AA100" s="106">
        <f t="shared" si="4"/>
        <v>0</v>
      </c>
      <c r="AB100" s="106">
        <f t="shared" si="5"/>
        <v>0</v>
      </c>
      <c r="AC100" s="94"/>
      <c r="AD100" s="94"/>
      <c r="AE100" s="94"/>
      <c r="AF100" s="94"/>
      <c r="AG100" s="94"/>
      <c r="AH100" s="263"/>
    </row>
    <row r="101" spans="1:34" ht="25.5" customHeight="1">
      <c r="A101" s="318"/>
      <c r="B101" s="264"/>
      <c r="C101" s="192"/>
      <c r="D101" s="192"/>
      <c r="E101" s="2">
        <v>10</v>
      </c>
      <c r="F101" s="74">
        <v>1730</v>
      </c>
      <c r="G101" s="45">
        <f t="shared" si="6"/>
        <v>17300</v>
      </c>
      <c r="H101" s="119" t="s">
        <v>46</v>
      </c>
      <c r="I101" s="128">
        <v>45344</v>
      </c>
      <c r="J101" s="74">
        <v>1730</v>
      </c>
      <c r="K101" s="74">
        <f>10+19</f>
        <v>29</v>
      </c>
      <c r="L101" s="156">
        <v>45349</v>
      </c>
      <c r="M101" s="90">
        <v>17300</v>
      </c>
      <c r="N101" s="90">
        <v>188</v>
      </c>
      <c r="O101" s="90" t="s">
        <v>1743</v>
      </c>
      <c r="P101" s="94" t="s">
        <v>28</v>
      </c>
      <c r="Q101" s="94">
        <v>8500068119</v>
      </c>
      <c r="R101" s="94">
        <v>5000211255</v>
      </c>
      <c r="S101" s="74">
        <v>1730</v>
      </c>
      <c r="T101" s="90" t="s">
        <v>761</v>
      </c>
      <c r="U101" s="90">
        <v>8500068118</v>
      </c>
      <c r="V101" s="90">
        <v>5000231645</v>
      </c>
      <c r="W101" s="109">
        <v>45367</v>
      </c>
      <c r="X101" s="106">
        <v>1730</v>
      </c>
      <c r="Y101" s="106">
        <v>17300</v>
      </c>
      <c r="Z101" s="106" t="s">
        <v>758</v>
      </c>
      <c r="AA101" s="106">
        <f t="shared" si="4"/>
        <v>0</v>
      </c>
      <c r="AB101" s="106">
        <f t="shared" si="5"/>
        <v>0</v>
      </c>
      <c r="AC101" s="94"/>
      <c r="AD101" s="94"/>
      <c r="AE101" s="94"/>
      <c r="AF101" s="94"/>
      <c r="AG101" s="94"/>
      <c r="AH101" s="263"/>
    </row>
    <row r="102" spans="1:34" ht="26.25" customHeight="1">
      <c r="A102" s="318"/>
      <c r="B102" s="264"/>
      <c r="C102" s="192"/>
      <c r="D102" s="192"/>
      <c r="E102" s="2">
        <v>10</v>
      </c>
      <c r="F102" s="74">
        <v>1092</v>
      </c>
      <c r="G102" s="45">
        <f t="shared" si="6"/>
        <v>10920</v>
      </c>
      <c r="H102" s="119" t="s">
        <v>37</v>
      </c>
      <c r="I102" s="128">
        <v>45345</v>
      </c>
      <c r="J102" s="74">
        <v>1092</v>
      </c>
      <c r="K102" s="74">
        <f>10+14</f>
        <v>24</v>
      </c>
      <c r="L102" s="156">
        <v>45350</v>
      </c>
      <c r="M102" s="90">
        <v>10920</v>
      </c>
      <c r="N102" s="90">
        <v>124</v>
      </c>
      <c r="O102" s="90" t="s">
        <v>1439</v>
      </c>
      <c r="P102" s="94" t="s">
        <v>28</v>
      </c>
      <c r="Q102" s="94">
        <v>8500068119</v>
      </c>
      <c r="R102" s="94">
        <v>5000215912</v>
      </c>
      <c r="S102" s="74">
        <v>1092</v>
      </c>
      <c r="T102" s="90" t="s">
        <v>761</v>
      </c>
      <c r="U102" s="90">
        <v>8500068118</v>
      </c>
      <c r="V102" s="90">
        <v>5000236378</v>
      </c>
      <c r="W102" s="109">
        <v>45356</v>
      </c>
      <c r="X102" s="106">
        <v>1092</v>
      </c>
      <c r="Y102" s="106">
        <v>10920</v>
      </c>
      <c r="Z102" s="106" t="s">
        <v>35</v>
      </c>
      <c r="AA102" s="106">
        <f t="shared" si="4"/>
        <v>0</v>
      </c>
      <c r="AB102" s="106">
        <f t="shared" si="5"/>
        <v>0</v>
      </c>
      <c r="AC102" s="94"/>
      <c r="AD102" s="94"/>
      <c r="AE102" s="94"/>
      <c r="AF102" s="94"/>
      <c r="AG102" s="94"/>
      <c r="AH102" s="263"/>
    </row>
    <row r="103" spans="1:34" ht="26.25" customHeight="1">
      <c r="A103" s="318"/>
      <c r="B103" s="264"/>
      <c r="C103" s="192"/>
      <c r="D103" s="192"/>
      <c r="E103" s="2">
        <v>10</v>
      </c>
      <c r="F103" s="74">
        <v>238</v>
      </c>
      <c r="G103" s="45">
        <f t="shared" si="6"/>
        <v>2380</v>
      </c>
      <c r="H103" s="119" t="s">
        <v>146</v>
      </c>
      <c r="I103" s="128">
        <v>45342</v>
      </c>
      <c r="J103" s="74">
        <v>238</v>
      </c>
      <c r="K103" s="74">
        <f>10+3</f>
        <v>13</v>
      </c>
      <c r="L103" s="156">
        <v>45345</v>
      </c>
      <c r="M103" s="90">
        <v>2380</v>
      </c>
      <c r="N103" s="90">
        <v>39</v>
      </c>
      <c r="O103" s="90" t="s">
        <v>1574</v>
      </c>
      <c r="P103" s="94" t="s">
        <v>28</v>
      </c>
      <c r="Q103" s="94">
        <v>8500068119</v>
      </c>
      <c r="R103" s="94">
        <v>5000201722</v>
      </c>
      <c r="S103" s="74">
        <v>238</v>
      </c>
      <c r="T103" s="90" t="s">
        <v>87</v>
      </c>
      <c r="U103" s="90">
        <v>8500068118</v>
      </c>
      <c r="V103" s="90">
        <v>5000216074</v>
      </c>
      <c r="W103" s="109">
        <v>45360</v>
      </c>
      <c r="X103" s="106">
        <v>238</v>
      </c>
      <c r="Y103" s="106">
        <v>2380</v>
      </c>
      <c r="Z103" s="106" t="s">
        <v>798</v>
      </c>
      <c r="AA103" s="106">
        <f t="shared" si="4"/>
        <v>0</v>
      </c>
      <c r="AB103" s="106">
        <f t="shared" si="5"/>
        <v>0</v>
      </c>
      <c r="AC103" s="94"/>
      <c r="AD103" s="94"/>
      <c r="AE103" s="94"/>
      <c r="AF103" s="94"/>
      <c r="AG103" s="94"/>
      <c r="AH103" s="263"/>
    </row>
    <row r="104" spans="1:34" ht="26.25" customHeight="1">
      <c r="A104" s="318" t="s">
        <v>279</v>
      </c>
      <c r="B104" s="264">
        <v>6000028946</v>
      </c>
      <c r="C104" s="192" t="s">
        <v>907</v>
      </c>
      <c r="D104" s="192" t="s">
        <v>2854</v>
      </c>
      <c r="E104" s="2">
        <v>10</v>
      </c>
      <c r="F104" s="74">
        <v>280</v>
      </c>
      <c r="G104" s="45">
        <f t="shared" si="6"/>
        <v>2800</v>
      </c>
      <c r="H104" s="119" t="s">
        <v>27</v>
      </c>
      <c r="I104" s="128">
        <v>45344</v>
      </c>
      <c r="J104" s="74">
        <v>280</v>
      </c>
      <c r="K104" s="74">
        <f>10+4</f>
        <v>14</v>
      </c>
      <c r="L104" s="156">
        <v>45344</v>
      </c>
      <c r="M104" s="90">
        <v>2800</v>
      </c>
      <c r="N104" s="90">
        <v>43</v>
      </c>
      <c r="O104" s="90" t="s">
        <v>1556</v>
      </c>
      <c r="P104" s="94" t="s">
        <v>28</v>
      </c>
      <c r="Q104" s="94">
        <v>8500068127</v>
      </c>
      <c r="R104" s="94">
        <v>5000211256</v>
      </c>
      <c r="S104" s="74">
        <v>280</v>
      </c>
      <c r="T104" s="90" t="s">
        <v>87</v>
      </c>
      <c r="U104" s="90">
        <v>8500068126</v>
      </c>
      <c r="V104" s="90">
        <v>5000211337</v>
      </c>
      <c r="W104" s="109">
        <v>45346</v>
      </c>
      <c r="X104" s="106">
        <v>280</v>
      </c>
      <c r="Y104" s="106">
        <v>2800</v>
      </c>
      <c r="Z104" s="106" t="s">
        <v>849</v>
      </c>
      <c r="AA104" s="106">
        <f t="shared" si="4"/>
        <v>0</v>
      </c>
      <c r="AB104" s="106">
        <f t="shared" si="5"/>
        <v>0</v>
      </c>
      <c r="AC104" s="94"/>
      <c r="AD104" s="94"/>
      <c r="AE104" s="94"/>
      <c r="AF104" s="94"/>
      <c r="AG104" s="94"/>
      <c r="AH104" s="263"/>
    </row>
    <row r="105" spans="1:34" ht="26.25" customHeight="1">
      <c r="A105" s="318"/>
      <c r="B105" s="264"/>
      <c r="C105" s="192"/>
      <c r="D105" s="192"/>
      <c r="E105" s="2">
        <v>10</v>
      </c>
      <c r="F105" s="74">
        <v>1730</v>
      </c>
      <c r="G105" s="45">
        <f t="shared" si="6"/>
        <v>17300</v>
      </c>
      <c r="H105" s="119" t="s">
        <v>46</v>
      </c>
      <c r="I105" s="128">
        <v>45345</v>
      </c>
      <c r="J105" s="74">
        <v>1730</v>
      </c>
      <c r="K105" s="74">
        <f>10+29</f>
        <v>39</v>
      </c>
      <c r="L105" s="156">
        <v>45350</v>
      </c>
      <c r="M105" s="90">
        <v>17300</v>
      </c>
      <c r="N105" s="90">
        <v>188</v>
      </c>
      <c r="O105" s="90" t="s">
        <v>1439</v>
      </c>
      <c r="P105" s="94" t="s">
        <v>28</v>
      </c>
      <c r="Q105" s="94">
        <v>8500068127</v>
      </c>
      <c r="R105" s="94">
        <v>5000212412</v>
      </c>
      <c r="S105" s="74">
        <v>1730</v>
      </c>
      <c r="T105" s="90" t="s">
        <v>87</v>
      </c>
      <c r="U105" s="90">
        <v>8500068126</v>
      </c>
      <c r="V105" s="90">
        <v>5000236379</v>
      </c>
      <c r="W105" s="109">
        <v>45366</v>
      </c>
      <c r="X105" s="106">
        <v>1730</v>
      </c>
      <c r="Y105" s="106">
        <v>17300</v>
      </c>
      <c r="Z105" s="106" t="s">
        <v>758</v>
      </c>
      <c r="AA105" s="106">
        <f t="shared" si="4"/>
        <v>0</v>
      </c>
      <c r="AB105" s="106">
        <f t="shared" si="5"/>
        <v>0</v>
      </c>
      <c r="AC105" s="94"/>
      <c r="AD105" s="94"/>
      <c r="AE105" s="94"/>
      <c r="AF105" s="94"/>
      <c r="AG105" s="94"/>
      <c r="AH105" s="263"/>
    </row>
    <row r="106" spans="1:34" ht="26.25" customHeight="1">
      <c r="A106" s="318"/>
      <c r="B106" s="264"/>
      <c r="C106" s="192"/>
      <c r="D106" s="192"/>
      <c r="E106" s="2">
        <v>10</v>
      </c>
      <c r="F106" s="74">
        <v>1092</v>
      </c>
      <c r="G106" s="45">
        <f t="shared" si="6"/>
        <v>10920</v>
      </c>
      <c r="H106" s="119" t="s">
        <v>37</v>
      </c>
      <c r="I106" s="128">
        <v>45345</v>
      </c>
      <c r="J106" s="74">
        <v>1092</v>
      </c>
      <c r="K106" s="74">
        <f>10+14</f>
        <v>24</v>
      </c>
      <c r="L106" s="156">
        <v>45351</v>
      </c>
      <c r="M106" s="90">
        <v>10920</v>
      </c>
      <c r="N106" s="90">
        <v>124</v>
      </c>
      <c r="O106" s="90"/>
      <c r="P106" s="94" t="s">
        <v>28</v>
      </c>
      <c r="Q106" s="94">
        <v>8500068127</v>
      </c>
      <c r="R106" s="94">
        <v>5000215913</v>
      </c>
      <c r="S106" s="74">
        <v>1092</v>
      </c>
      <c r="T106" s="90" t="s">
        <v>87</v>
      </c>
      <c r="U106" s="90">
        <v>8500068126</v>
      </c>
      <c r="V106" s="90">
        <v>5000240114</v>
      </c>
      <c r="W106" s="109">
        <v>45329</v>
      </c>
      <c r="X106" s="106">
        <v>1092</v>
      </c>
      <c r="Y106" s="106">
        <v>10920</v>
      </c>
      <c r="Z106" s="106" t="s">
        <v>35</v>
      </c>
      <c r="AA106" s="106">
        <f t="shared" si="4"/>
        <v>0</v>
      </c>
      <c r="AB106" s="106">
        <f t="shared" si="5"/>
        <v>0</v>
      </c>
      <c r="AC106" s="94"/>
      <c r="AD106" s="94"/>
      <c r="AE106" s="94"/>
      <c r="AF106" s="94"/>
      <c r="AG106" s="94"/>
      <c r="AH106" s="263"/>
    </row>
    <row r="107" spans="1:34" ht="26.25" customHeight="1">
      <c r="A107" s="318"/>
      <c r="B107" s="264"/>
      <c r="C107" s="192"/>
      <c r="D107" s="192"/>
      <c r="E107" s="2">
        <v>10</v>
      </c>
      <c r="F107" s="74">
        <v>238</v>
      </c>
      <c r="G107" s="45">
        <f t="shared" si="6"/>
        <v>2380</v>
      </c>
      <c r="H107" s="119" t="s">
        <v>146</v>
      </c>
      <c r="I107" s="128">
        <v>45342</v>
      </c>
      <c r="J107" s="74">
        <v>238</v>
      </c>
      <c r="K107" s="74">
        <f>10+2</f>
        <v>12</v>
      </c>
      <c r="L107" s="156">
        <v>45345</v>
      </c>
      <c r="M107" s="90">
        <v>2380</v>
      </c>
      <c r="N107" s="90">
        <v>39</v>
      </c>
      <c r="O107" s="90" t="s">
        <v>1662</v>
      </c>
      <c r="P107" s="94" t="s">
        <v>28</v>
      </c>
      <c r="Q107" s="94">
        <v>8500068127</v>
      </c>
      <c r="R107" s="94">
        <v>5000201818</v>
      </c>
      <c r="S107" s="74">
        <v>238</v>
      </c>
      <c r="T107" s="90" t="s">
        <v>87</v>
      </c>
      <c r="U107" s="90">
        <v>8500068126</v>
      </c>
      <c r="V107" s="90">
        <v>5000216075</v>
      </c>
      <c r="W107" s="109">
        <v>45360</v>
      </c>
      <c r="X107" s="106">
        <v>238</v>
      </c>
      <c r="Y107" s="106">
        <v>2380</v>
      </c>
      <c r="Z107" s="106" t="s">
        <v>798</v>
      </c>
      <c r="AA107" s="106">
        <f t="shared" si="4"/>
        <v>0</v>
      </c>
      <c r="AB107" s="106">
        <f t="shared" si="5"/>
        <v>0</v>
      </c>
      <c r="AC107" s="94"/>
      <c r="AD107" s="94"/>
      <c r="AE107" s="94"/>
      <c r="AF107" s="94"/>
      <c r="AG107" s="94"/>
      <c r="AH107" s="263"/>
    </row>
    <row r="108" spans="1:34" ht="26.25" customHeight="1">
      <c r="A108" s="318" t="s">
        <v>24</v>
      </c>
      <c r="B108" s="264">
        <v>6000029009</v>
      </c>
      <c r="C108" s="192" t="s">
        <v>762</v>
      </c>
      <c r="D108" s="192" t="s">
        <v>2855</v>
      </c>
      <c r="E108" s="74">
        <v>10</v>
      </c>
      <c r="F108" s="74">
        <v>2100</v>
      </c>
      <c r="G108" s="45">
        <f t="shared" si="6"/>
        <v>21000</v>
      </c>
      <c r="H108" s="119" t="s">
        <v>46</v>
      </c>
      <c r="I108" s="128">
        <v>45342</v>
      </c>
      <c r="J108" s="74">
        <v>2100</v>
      </c>
      <c r="K108" s="74">
        <v>33</v>
      </c>
      <c r="L108" s="156">
        <v>45342</v>
      </c>
      <c r="M108" s="324">
        <f>20200+800</f>
        <v>21000</v>
      </c>
      <c r="N108" s="90">
        <f>210+20</f>
        <v>230</v>
      </c>
      <c r="O108" s="90" t="s">
        <v>1754</v>
      </c>
      <c r="P108" s="94"/>
      <c r="Q108" s="94">
        <v>8500068077</v>
      </c>
      <c r="R108" s="94">
        <v>5000198311</v>
      </c>
      <c r="S108" s="74">
        <v>2100</v>
      </c>
      <c r="T108" s="90" t="s">
        <v>1558</v>
      </c>
      <c r="U108" s="90">
        <v>8500068076</v>
      </c>
      <c r="V108" s="90">
        <v>5000197358</v>
      </c>
      <c r="W108" s="109">
        <v>45342</v>
      </c>
      <c r="X108" s="106">
        <v>2100</v>
      </c>
      <c r="Y108" s="106">
        <v>21000</v>
      </c>
      <c r="Z108" s="106" t="s">
        <v>817</v>
      </c>
      <c r="AA108" s="106">
        <f t="shared" si="4"/>
        <v>0</v>
      </c>
      <c r="AB108" s="106">
        <f t="shared" si="5"/>
        <v>0</v>
      </c>
      <c r="AC108" s="94"/>
      <c r="AD108" s="94"/>
      <c r="AE108" s="94"/>
      <c r="AF108" s="94"/>
      <c r="AG108" s="94"/>
      <c r="AH108" s="263"/>
    </row>
    <row r="109" spans="1:34" ht="26.25" customHeight="1">
      <c r="A109" s="318" t="s">
        <v>24</v>
      </c>
      <c r="B109" s="264">
        <v>6000029010</v>
      </c>
      <c r="C109" s="192" t="s">
        <v>762</v>
      </c>
      <c r="D109" s="192" t="s">
        <v>2856</v>
      </c>
      <c r="E109" s="74">
        <v>10</v>
      </c>
      <c r="F109" s="74">
        <v>2100</v>
      </c>
      <c r="G109" s="45">
        <f t="shared" si="6"/>
        <v>21000</v>
      </c>
      <c r="H109" s="119" t="s">
        <v>46</v>
      </c>
      <c r="I109" s="128" t="s">
        <v>2894</v>
      </c>
      <c r="J109" s="323">
        <f>2061+39</f>
        <v>2100</v>
      </c>
      <c r="K109" s="74">
        <v>22</v>
      </c>
      <c r="L109" s="156">
        <v>45342</v>
      </c>
      <c r="M109" s="324">
        <f>16950+4050</f>
        <v>21000</v>
      </c>
      <c r="N109" s="90">
        <f>210+20</f>
        <v>230</v>
      </c>
      <c r="O109" s="90" t="s">
        <v>2896</v>
      </c>
      <c r="P109" s="94" t="s">
        <v>28</v>
      </c>
      <c r="Q109" s="94">
        <v>8500068079</v>
      </c>
      <c r="R109" s="94">
        <v>5000196807</v>
      </c>
      <c r="S109" s="323">
        <f>2061+39</f>
        <v>2100</v>
      </c>
      <c r="T109" s="90" t="s">
        <v>1558</v>
      </c>
      <c r="U109" s="90">
        <v>8500068078</v>
      </c>
      <c r="V109" s="90">
        <v>5000197373</v>
      </c>
      <c r="W109" s="109">
        <v>45349</v>
      </c>
      <c r="X109" s="106">
        <v>2100</v>
      </c>
      <c r="Y109" s="106">
        <v>21000</v>
      </c>
      <c r="Z109" s="106" t="s">
        <v>2964</v>
      </c>
      <c r="AA109" s="106">
        <f t="shared" si="4"/>
        <v>0</v>
      </c>
      <c r="AB109" s="106">
        <f t="shared" si="5"/>
        <v>0</v>
      </c>
      <c r="AC109" s="94"/>
      <c r="AD109" s="94"/>
      <c r="AE109" s="94"/>
      <c r="AF109" s="94"/>
      <c r="AG109" s="94"/>
      <c r="AH109" s="263"/>
    </row>
    <row r="110" spans="1:34" ht="26.25" customHeight="1">
      <c r="A110" s="318" t="s">
        <v>24</v>
      </c>
      <c r="B110" s="264">
        <v>6000029011</v>
      </c>
      <c r="C110" s="192" t="s">
        <v>762</v>
      </c>
      <c r="D110" s="192" t="s">
        <v>2857</v>
      </c>
      <c r="E110" s="74">
        <v>10</v>
      </c>
      <c r="F110" s="74">
        <v>2040</v>
      </c>
      <c r="G110" s="45">
        <f t="shared" si="6"/>
        <v>20400</v>
      </c>
      <c r="H110" s="119" t="s">
        <v>27</v>
      </c>
      <c r="I110" s="128" t="s">
        <v>2917</v>
      </c>
      <c r="J110" s="74">
        <f>1830+190+20</f>
        <v>2040</v>
      </c>
      <c r="K110" s="74">
        <v>10</v>
      </c>
      <c r="L110" s="156">
        <v>45342</v>
      </c>
      <c r="M110" s="90">
        <f>10200+8700+1500</f>
        <v>20400</v>
      </c>
      <c r="N110" s="90">
        <f>204+20</f>
        <v>224</v>
      </c>
      <c r="O110" s="90" t="s">
        <v>1374</v>
      </c>
      <c r="P110" s="94" t="s">
        <v>28</v>
      </c>
      <c r="Q110" s="94">
        <v>8500068081</v>
      </c>
      <c r="R110" s="94">
        <v>5000196808</v>
      </c>
      <c r="S110" s="74">
        <f>1830+190+20</f>
        <v>2040</v>
      </c>
      <c r="T110" s="90" t="s">
        <v>1558</v>
      </c>
      <c r="U110" s="90">
        <v>8500068080</v>
      </c>
      <c r="V110" s="90">
        <v>5000201590</v>
      </c>
      <c r="W110" s="109" t="s">
        <v>2933</v>
      </c>
      <c r="X110" s="112">
        <f>1200+690+150</f>
        <v>2040</v>
      </c>
      <c r="Y110" s="106">
        <f>10000+8900+1500</f>
        <v>20400</v>
      </c>
      <c r="Z110" s="106" t="s">
        <v>2922</v>
      </c>
      <c r="AA110" s="106">
        <f t="shared" si="4"/>
        <v>0</v>
      </c>
      <c r="AB110" s="106">
        <f t="shared" si="5"/>
        <v>0</v>
      </c>
      <c r="AC110" s="94"/>
      <c r="AD110" s="94"/>
      <c r="AE110" s="94"/>
      <c r="AF110" s="94"/>
      <c r="AG110" s="94"/>
      <c r="AH110" s="263"/>
    </row>
    <row r="111" spans="1:34" ht="26.25" customHeight="1">
      <c r="A111" s="318" t="s">
        <v>24</v>
      </c>
      <c r="B111" s="264">
        <v>6000029012</v>
      </c>
      <c r="C111" s="192" t="s">
        <v>25</v>
      </c>
      <c r="D111" s="192" t="s">
        <v>2858</v>
      </c>
      <c r="E111" s="74">
        <v>10</v>
      </c>
      <c r="F111" s="74">
        <v>2100</v>
      </c>
      <c r="G111" s="45">
        <f t="shared" si="6"/>
        <v>21000</v>
      </c>
      <c r="H111" s="119" t="s">
        <v>46</v>
      </c>
      <c r="I111" s="128">
        <v>45311</v>
      </c>
      <c r="J111" s="74">
        <v>2100</v>
      </c>
      <c r="K111" s="74">
        <v>29</v>
      </c>
      <c r="L111" s="156" t="s">
        <v>2987</v>
      </c>
      <c r="M111" s="90">
        <f>10200+10800</f>
        <v>21000</v>
      </c>
      <c r="N111" s="90">
        <f>210+20</f>
        <v>230</v>
      </c>
      <c r="O111" s="90" t="s">
        <v>1848</v>
      </c>
      <c r="P111" s="94" t="s">
        <v>28</v>
      </c>
      <c r="Q111" s="94">
        <v>8500068085</v>
      </c>
      <c r="R111" s="94">
        <v>5000198480</v>
      </c>
      <c r="S111" s="74">
        <v>2100</v>
      </c>
      <c r="T111" s="90" t="s">
        <v>1558</v>
      </c>
      <c r="U111" s="90">
        <v>8500068084</v>
      </c>
      <c r="V111" s="90">
        <v>5000262598</v>
      </c>
      <c r="W111" s="109">
        <v>45374</v>
      </c>
      <c r="X111" s="106">
        <v>2100</v>
      </c>
      <c r="Y111" s="106">
        <v>21000</v>
      </c>
      <c r="Z111" s="106" t="s">
        <v>3188</v>
      </c>
      <c r="AA111" s="106">
        <f t="shared" si="4"/>
        <v>0</v>
      </c>
      <c r="AB111" s="106">
        <f t="shared" si="5"/>
        <v>0</v>
      </c>
      <c r="AC111" s="94"/>
      <c r="AD111" s="94"/>
      <c r="AE111" s="94"/>
      <c r="AF111" s="94"/>
      <c r="AG111" s="94"/>
      <c r="AH111" s="263"/>
    </row>
    <row r="112" spans="1:34" ht="26.25" customHeight="1">
      <c r="A112" s="318" t="s">
        <v>24</v>
      </c>
      <c r="B112" s="264">
        <v>6000029013</v>
      </c>
      <c r="C112" s="192" t="s">
        <v>25</v>
      </c>
      <c r="D112" s="192" t="s">
        <v>2859</v>
      </c>
      <c r="E112" s="74">
        <v>10</v>
      </c>
      <c r="F112" s="74">
        <v>2100</v>
      </c>
      <c r="G112" s="45">
        <f t="shared" si="6"/>
        <v>21000</v>
      </c>
      <c r="H112" s="119" t="s">
        <v>27</v>
      </c>
      <c r="I112" s="128">
        <v>45311</v>
      </c>
      <c r="J112" s="74">
        <v>2100</v>
      </c>
      <c r="K112" s="74">
        <v>26</v>
      </c>
      <c r="L112" s="156">
        <v>45348</v>
      </c>
      <c r="M112" s="90">
        <v>21000</v>
      </c>
      <c r="N112" s="90">
        <v>230</v>
      </c>
      <c r="O112" s="90"/>
      <c r="P112" s="94" t="s">
        <v>28</v>
      </c>
      <c r="Q112" s="94">
        <v>8500068087</v>
      </c>
      <c r="R112" s="94">
        <v>5000197456</v>
      </c>
      <c r="S112" s="74">
        <v>2100</v>
      </c>
      <c r="T112" s="90" t="s">
        <v>1558</v>
      </c>
      <c r="U112" s="90">
        <v>8500068086</v>
      </c>
      <c r="V112" s="90">
        <v>5000227331</v>
      </c>
      <c r="W112" s="109">
        <v>45348</v>
      </c>
      <c r="X112" s="106">
        <v>2100</v>
      </c>
      <c r="Y112" s="106">
        <v>21000</v>
      </c>
      <c r="Z112" s="106" t="s">
        <v>2954</v>
      </c>
      <c r="AA112" s="106">
        <f t="shared" si="4"/>
        <v>0</v>
      </c>
      <c r="AB112" s="106">
        <f t="shared" si="5"/>
        <v>0</v>
      </c>
      <c r="AC112" s="94"/>
      <c r="AD112" s="94"/>
      <c r="AE112" s="94"/>
      <c r="AF112" s="94"/>
      <c r="AG112" s="94"/>
      <c r="AH112" s="263"/>
    </row>
    <row r="113" spans="1:34" ht="26.25" customHeight="1">
      <c r="A113" s="318" t="s">
        <v>24</v>
      </c>
      <c r="B113" s="264">
        <v>6000029014</v>
      </c>
      <c r="C113" s="192" t="s">
        <v>25</v>
      </c>
      <c r="D113" s="192" t="s">
        <v>2860</v>
      </c>
      <c r="E113" s="74">
        <v>10</v>
      </c>
      <c r="F113" s="74">
        <v>2100</v>
      </c>
      <c r="G113" s="45">
        <f t="shared" si="6"/>
        <v>21000</v>
      </c>
      <c r="H113" s="119" t="s">
        <v>46</v>
      </c>
      <c r="I113" s="128">
        <v>45342</v>
      </c>
      <c r="J113" s="74">
        <v>2100</v>
      </c>
      <c r="K113" s="74">
        <v>26</v>
      </c>
      <c r="L113" s="156">
        <v>45356</v>
      </c>
      <c r="M113" s="90">
        <v>21000</v>
      </c>
      <c r="N113" s="90">
        <f>210+20</f>
        <v>230</v>
      </c>
      <c r="O113" s="90" t="s">
        <v>1848</v>
      </c>
      <c r="P113" s="94" t="s">
        <v>28</v>
      </c>
      <c r="Q113" s="94">
        <v>8500068089</v>
      </c>
      <c r="R113" s="94">
        <v>5000198374</v>
      </c>
      <c r="S113" s="74">
        <v>2100</v>
      </c>
      <c r="T113" s="90" t="s">
        <v>1558</v>
      </c>
      <c r="U113" s="90">
        <v>8500068088</v>
      </c>
      <c r="V113" s="90">
        <v>5000263057</v>
      </c>
      <c r="W113" s="109">
        <v>45365</v>
      </c>
      <c r="X113" s="106">
        <v>2100</v>
      </c>
      <c r="Y113" s="106">
        <v>21000</v>
      </c>
      <c r="Z113" s="106" t="s">
        <v>2964</v>
      </c>
      <c r="AA113" s="106">
        <f t="shared" si="4"/>
        <v>0</v>
      </c>
      <c r="AB113" s="106">
        <f t="shared" si="5"/>
        <v>0</v>
      </c>
      <c r="AC113" s="94"/>
      <c r="AD113" s="94"/>
      <c r="AE113" s="94"/>
      <c r="AF113" s="94"/>
      <c r="AG113" s="94"/>
      <c r="AH113" s="263"/>
    </row>
    <row r="114" spans="1:34" ht="26.25" customHeight="1">
      <c r="A114" s="318" t="s">
        <v>24</v>
      </c>
      <c r="B114" s="264">
        <v>6000029016</v>
      </c>
      <c r="C114" s="192" t="s">
        <v>25</v>
      </c>
      <c r="D114" s="192" t="s">
        <v>2861</v>
      </c>
      <c r="E114" s="74">
        <v>10</v>
      </c>
      <c r="F114" s="74">
        <v>2100</v>
      </c>
      <c r="G114" s="45">
        <f t="shared" si="6"/>
        <v>21000</v>
      </c>
      <c r="H114" s="119" t="s">
        <v>27</v>
      </c>
      <c r="I114" s="128">
        <v>45462</v>
      </c>
      <c r="J114" s="74">
        <v>2100</v>
      </c>
      <c r="K114" s="74">
        <f>25+1</f>
        <v>26</v>
      </c>
      <c r="L114" s="156">
        <v>45349</v>
      </c>
      <c r="M114" s="90">
        <v>21000</v>
      </c>
      <c r="N114" s="90">
        <f>210+20</f>
        <v>230</v>
      </c>
      <c r="O114" s="90"/>
      <c r="P114" s="94" t="s">
        <v>28</v>
      </c>
      <c r="Q114" s="94">
        <v>8500068091</v>
      </c>
      <c r="R114" s="94">
        <v>5000196806</v>
      </c>
      <c r="S114" s="74">
        <v>2100</v>
      </c>
      <c r="T114" s="90" t="s">
        <v>1558</v>
      </c>
      <c r="U114" s="90">
        <v>8500068090</v>
      </c>
      <c r="V114" s="90">
        <v>500230673</v>
      </c>
      <c r="W114" s="109">
        <v>45350</v>
      </c>
      <c r="X114" s="106">
        <v>2100</v>
      </c>
      <c r="Y114" s="106">
        <v>21000</v>
      </c>
      <c r="Z114" s="106" t="s">
        <v>727</v>
      </c>
      <c r="AA114" s="106">
        <f t="shared" si="4"/>
        <v>0</v>
      </c>
      <c r="AB114" s="106">
        <f t="shared" si="5"/>
        <v>0</v>
      </c>
      <c r="AC114" s="94"/>
      <c r="AD114" s="94"/>
      <c r="AE114" s="94"/>
      <c r="AF114" s="94"/>
      <c r="AG114" s="94"/>
      <c r="AH114" s="263"/>
    </row>
    <row r="115" spans="1:34" ht="26.25" customHeight="1">
      <c r="A115" s="318"/>
      <c r="B115" s="264"/>
      <c r="C115" s="192"/>
      <c r="D115" s="358" t="s">
        <v>3205</v>
      </c>
      <c r="E115" s="74"/>
      <c r="F115" s="74"/>
      <c r="G115" s="45"/>
      <c r="H115" s="119" t="s">
        <v>27</v>
      </c>
      <c r="I115" s="128">
        <v>45378</v>
      </c>
      <c r="J115" s="74">
        <v>65</v>
      </c>
      <c r="K115" s="74">
        <v>10</v>
      </c>
      <c r="L115" s="156"/>
      <c r="M115" s="90"/>
      <c r="N115" s="90"/>
      <c r="O115" s="90"/>
      <c r="P115" s="94" t="s">
        <v>28</v>
      </c>
      <c r="Q115" s="94">
        <v>8500069993</v>
      </c>
      <c r="R115" s="94">
        <v>5000369023</v>
      </c>
      <c r="S115" s="74"/>
      <c r="T115" s="90"/>
      <c r="U115" s="90"/>
      <c r="V115" s="90"/>
      <c r="W115" s="109">
        <v>45379</v>
      </c>
      <c r="X115" s="106">
        <v>65</v>
      </c>
      <c r="Y115" s="106"/>
      <c r="Z115" s="106"/>
      <c r="AA115" s="106">
        <f>J115-X115</f>
        <v>0</v>
      </c>
      <c r="AB115" s="106">
        <f>M115-Y115</f>
        <v>0</v>
      </c>
      <c r="AC115" s="94"/>
      <c r="AD115" s="94"/>
      <c r="AE115" s="94"/>
      <c r="AF115" s="94"/>
      <c r="AG115" s="94"/>
      <c r="AH115" s="263"/>
    </row>
    <row r="116" spans="1:34" ht="26.25" customHeight="1">
      <c r="A116" s="318" t="s">
        <v>24</v>
      </c>
      <c r="B116" s="264">
        <v>6000029017</v>
      </c>
      <c r="C116" s="192" t="s">
        <v>762</v>
      </c>
      <c r="D116" s="192" t="s">
        <v>2862</v>
      </c>
      <c r="E116" s="74">
        <v>10</v>
      </c>
      <c r="F116" s="74">
        <v>1740</v>
      </c>
      <c r="G116" s="45">
        <f>F116*E116</f>
        <v>17400</v>
      </c>
      <c r="H116" s="119" t="s">
        <v>46</v>
      </c>
      <c r="I116" s="128">
        <v>45342</v>
      </c>
      <c r="J116" s="74">
        <v>1740</v>
      </c>
      <c r="K116" s="74">
        <v>17</v>
      </c>
      <c r="L116" s="156">
        <v>45342</v>
      </c>
      <c r="M116" s="324">
        <f>10200+7200</f>
        <v>17400</v>
      </c>
      <c r="N116" s="90">
        <f>174+20</f>
        <v>194</v>
      </c>
      <c r="O116" s="90" t="s">
        <v>862</v>
      </c>
      <c r="P116" s="94" t="s">
        <v>28</v>
      </c>
      <c r="Q116" s="94">
        <v>8500068083</v>
      </c>
      <c r="R116" s="94">
        <v>5000197477</v>
      </c>
      <c r="S116" s="74">
        <v>1740</v>
      </c>
      <c r="T116" s="90" t="s">
        <v>1558</v>
      </c>
      <c r="U116" s="90">
        <v>8500068082</v>
      </c>
      <c r="V116" s="90">
        <v>5000197357</v>
      </c>
      <c r="W116" s="109" t="s">
        <v>3106</v>
      </c>
      <c r="X116" s="106">
        <f>189+1551</f>
        <v>1740</v>
      </c>
      <c r="Y116" s="106">
        <f>1890+15510</f>
        <v>17400</v>
      </c>
      <c r="Z116" s="106" t="s">
        <v>2994</v>
      </c>
      <c r="AA116" s="106">
        <f t="shared" si="4"/>
        <v>0</v>
      </c>
      <c r="AB116" s="106">
        <f t="shared" si="5"/>
        <v>0</v>
      </c>
      <c r="AC116" s="94"/>
      <c r="AD116" s="94"/>
      <c r="AE116" s="94"/>
      <c r="AF116" s="94"/>
      <c r="AG116" s="94"/>
      <c r="AH116" s="263"/>
    </row>
    <row r="117" spans="1:34" ht="26.25" customHeight="1">
      <c r="A117" s="318" t="s">
        <v>24</v>
      </c>
      <c r="B117" s="264">
        <v>6000029019</v>
      </c>
      <c r="C117" s="192" t="s">
        <v>25</v>
      </c>
      <c r="D117" s="192" t="s">
        <v>2863</v>
      </c>
      <c r="E117" s="74">
        <v>10</v>
      </c>
      <c r="F117" s="74">
        <v>2100</v>
      </c>
      <c r="G117" s="45">
        <f>F117*E117</f>
        <v>21000</v>
      </c>
      <c r="H117" s="119" t="s">
        <v>27</v>
      </c>
      <c r="I117" s="128">
        <v>45311</v>
      </c>
      <c r="J117" s="74">
        <v>2100</v>
      </c>
      <c r="K117" s="74">
        <v>25</v>
      </c>
      <c r="L117" s="156" t="s">
        <v>3009</v>
      </c>
      <c r="M117" s="90">
        <f>20850+150</f>
        <v>21000</v>
      </c>
      <c r="N117" s="90">
        <f>200+20</f>
        <v>220</v>
      </c>
      <c r="O117" s="90"/>
      <c r="P117" s="94" t="s">
        <v>28</v>
      </c>
      <c r="Q117" s="94">
        <v>8500068093</v>
      </c>
      <c r="R117" s="94">
        <v>5000198318</v>
      </c>
      <c r="S117" s="74">
        <v>2100</v>
      </c>
      <c r="T117" s="90" t="s">
        <v>1558</v>
      </c>
      <c r="U117" s="90">
        <v>8500068092</v>
      </c>
      <c r="V117" s="90">
        <v>5000262750</v>
      </c>
      <c r="W117" s="109">
        <v>45355</v>
      </c>
      <c r="X117" s="106">
        <v>2100</v>
      </c>
      <c r="Y117" s="106">
        <f>20850+150</f>
        <v>21000</v>
      </c>
      <c r="Z117" s="106" t="s">
        <v>727</v>
      </c>
      <c r="AA117" s="106">
        <f t="shared" si="4"/>
        <v>0</v>
      </c>
      <c r="AB117" s="106">
        <f t="shared" si="5"/>
        <v>0</v>
      </c>
      <c r="AC117" s="94"/>
      <c r="AD117" s="94"/>
      <c r="AE117" s="94"/>
      <c r="AF117" s="94"/>
      <c r="AG117" s="94"/>
      <c r="AH117" s="263"/>
    </row>
    <row r="118" spans="1:34" ht="26.25" customHeight="1">
      <c r="A118" s="318" t="s">
        <v>24</v>
      </c>
      <c r="B118" s="264">
        <v>6000029020</v>
      </c>
      <c r="C118" s="192" t="s">
        <v>762</v>
      </c>
      <c r="D118" s="192" t="s">
        <v>2864</v>
      </c>
      <c r="E118" s="74">
        <v>10</v>
      </c>
      <c r="F118" s="74">
        <v>2100</v>
      </c>
      <c r="G118" s="45">
        <f>F118*E118</f>
        <v>21000</v>
      </c>
      <c r="H118" s="119" t="s">
        <v>46</v>
      </c>
      <c r="I118" s="128">
        <v>45343</v>
      </c>
      <c r="J118" s="74">
        <v>2100</v>
      </c>
      <c r="K118" s="74">
        <v>27</v>
      </c>
      <c r="L118" s="156" t="s">
        <v>2980</v>
      </c>
      <c r="M118" s="45">
        <f>8700+12300</f>
        <v>21000</v>
      </c>
      <c r="N118" s="90">
        <f>210+20</f>
        <v>230</v>
      </c>
      <c r="O118" s="90"/>
      <c r="P118" s="94" t="s">
        <v>28</v>
      </c>
      <c r="Q118" s="94">
        <v>8500068232</v>
      </c>
      <c r="R118" s="94">
        <v>5000203551</v>
      </c>
      <c r="S118" s="74">
        <v>2100</v>
      </c>
      <c r="T118" s="90" t="s">
        <v>1558</v>
      </c>
      <c r="U118" s="90">
        <v>8500068231</v>
      </c>
      <c r="V118" s="90">
        <v>5000241534</v>
      </c>
      <c r="W118" s="109">
        <v>45351</v>
      </c>
      <c r="X118" s="106">
        <v>2100</v>
      </c>
      <c r="Y118" s="106">
        <f>8700+12300</f>
        <v>21000</v>
      </c>
      <c r="Z118" s="106" t="s">
        <v>2964</v>
      </c>
      <c r="AA118" s="106">
        <f t="shared" si="4"/>
        <v>0</v>
      </c>
      <c r="AB118" s="106">
        <f t="shared" si="5"/>
        <v>0</v>
      </c>
      <c r="AC118" s="94"/>
      <c r="AD118" s="94"/>
      <c r="AE118" s="94"/>
      <c r="AF118" s="94"/>
      <c r="AG118" s="94"/>
      <c r="AH118" s="263"/>
    </row>
    <row r="119" spans="1:34" ht="26.25" customHeight="1">
      <c r="A119" s="318" t="s">
        <v>24</v>
      </c>
      <c r="B119" s="264">
        <v>6000029021</v>
      </c>
      <c r="C119" s="192" t="s">
        <v>762</v>
      </c>
      <c r="D119" s="192" t="s">
        <v>2865</v>
      </c>
      <c r="E119" s="74">
        <v>10</v>
      </c>
      <c r="F119" s="74">
        <v>2100</v>
      </c>
      <c r="G119" s="45">
        <f>F119*E119</f>
        <v>21000</v>
      </c>
      <c r="H119" s="119" t="s">
        <v>46</v>
      </c>
      <c r="I119" s="128">
        <v>45343</v>
      </c>
      <c r="J119" s="74">
        <v>2100</v>
      </c>
      <c r="K119" s="74">
        <v>31</v>
      </c>
      <c r="L119" s="156" t="s">
        <v>2984</v>
      </c>
      <c r="M119" s="45">
        <f>17000+4000</f>
        <v>21000</v>
      </c>
      <c r="N119" s="90">
        <f>210+20</f>
        <v>230</v>
      </c>
      <c r="O119" s="90" t="s">
        <v>2983</v>
      </c>
      <c r="P119" s="94" t="s">
        <v>28</v>
      </c>
      <c r="Q119" s="94">
        <v>8500068234</v>
      </c>
      <c r="R119" s="94">
        <v>5000203552</v>
      </c>
      <c r="S119" s="74">
        <v>2100</v>
      </c>
      <c r="T119" s="90" t="s">
        <v>1558</v>
      </c>
      <c r="U119" s="90">
        <v>8500068233</v>
      </c>
      <c r="V119" s="90">
        <v>5000248959</v>
      </c>
      <c r="W119" s="109" t="s">
        <v>2993</v>
      </c>
      <c r="X119" s="106">
        <f>290+1810</f>
        <v>2100</v>
      </c>
      <c r="Y119" s="106">
        <f>2900+18100</f>
        <v>21000</v>
      </c>
      <c r="Z119" s="106" t="s">
        <v>2994</v>
      </c>
      <c r="AA119" s="106">
        <f t="shared" si="4"/>
        <v>0</v>
      </c>
      <c r="AB119" s="106">
        <f t="shared" si="5"/>
        <v>0</v>
      </c>
      <c r="AC119" s="94"/>
      <c r="AD119" s="94"/>
      <c r="AE119" s="94"/>
      <c r="AF119" s="94"/>
      <c r="AG119" s="94"/>
      <c r="AH119" s="263"/>
    </row>
    <row r="120" spans="1:34" ht="26.25" customHeight="1">
      <c r="A120" s="318" t="s">
        <v>24</v>
      </c>
      <c r="B120" s="264">
        <v>6000029022</v>
      </c>
      <c r="C120" s="192" t="s">
        <v>771</v>
      </c>
      <c r="D120" s="192" t="s">
        <v>2866</v>
      </c>
      <c r="E120" s="74">
        <v>10</v>
      </c>
      <c r="F120" s="74">
        <v>3480</v>
      </c>
      <c r="G120" s="45">
        <f t="shared" ref="G120:G182" si="7">F120*E120</f>
        <v>34800</v>
      </c>
      <c r="H120" s="119" t="s">
        <v>37</v>
      </c>
      <c r="I120" s="128" t="s">
        <v>2958</v>
      </c>
      <c r="J120" s="74">
        <f>3440+40</f>
        <v>3480</v>
      </c>
      <c r="K120" s="74">
        <v>20</v>
      </c>
      <c r="L120" s="156" t="s">
        <v>2947</v>
      </c>
      <c r="M120" s="45">
        <f>33950+850</f>
        <v>34800</v>
      </c>
      <c r="N120" s="90">
        <v>368</v>
      </c>
      <c r="O120" s="90" t="s">
        <v>2488</v>
      </c>
      <c r="P120" s="94" t="s">
        <v>924</v>
      </c>
      <c r="Q120" s="94">
        <v>8500068246</v>
      </c>
      <c r="R120" s="53" t="s">
        <v>2959</v>
      </c>
      <c r="S120" s="74">
        <f>3440+40</f>
        <v>3480</v>
      </c>
      <c r="T120" s="90" t="s">
        <v>1558</v>
      </c>
      <c r="U120" s="90">
        <v>8500068245</v>
      </c>
      <c r="V120" s="90">
        <v>5000225494</v>
      </c>
      <c r="W120" s="109">
        <v>45360</v>
      </c>
      <c r="X120" s="106">
        <v>3480</v>
      </c>
      <c r="Y120" s="106">
        <v>34800</v>
      </c>
      <c r="Z120" s="106" t="s">
        <v>35</v>
      </c>
      <c r="AA120" s="106">
        <f t="shared" si="4"/>
        <v>0</v>
      </c>
      <c r="AB120" s="106">
        <f t="shared" si="5"/>
        <v>0</v>
      </c>
      <c r="AC120" s="94"/>
      <c r="AD120" s="94"/>
      <c r="AE120" s="94"/>
      <c r="AF120" s="94"/>
      <c r="AG120" s="94"/>
      <c r="AH120" s="263"/>
    </row>
    <row r="121" spans="1:34" ht="26.25" customHeight="1">
      <c r="A121" s="318" t="s">
        <v>24</v>
      </c>
      <c r="B121" s="264">
        <v>6000029024</v>
      </c>
      <c r="C121" s="192" t="s">
        <v>762</v>
      </c>
      <c r="D121" s="192" t="s">
        <v>2867</v>
      </c>
      <c r="E121" s="74">
        <v>10</v>
      </c>
      <c r="F121" s="74">
        <v>650</v>
      </c>
      <c r="G121" s="45">
        <f t="shared" si="7"/>
        <v>6500</v>
      </c>
      <c r="H121" s="119" t="s">
        <v>27</v>
      </c>
      <c r="I121" s="128">
        <v>45342</v>
      </c>
      <c r="J121" s="74">
        <v>650</v>
      </c>
      <c r="K121" s="74">
        <v>10</v>
      </c>
      <c r="L121" s="156">
        <v>45342</v>
      </c>
      <c r="M121" s="45">
        <v>6500</v>
      </c>
      <c r="N121" s="90">
        <f>65+30</f>
        <v>95</v>
      </c>
      <c r="O121" s="90" t="s">
        <v>1784</v>
      </c>
      <c r="P121" s="94" t="s">
        <v>28</v>
      </c>
      <c r="Q121" s="94">
        <v>8500068191</v>
      </c>
      <c r="R121" s="94">
        <v>5000201591</v>
      </c>
      <c r="S121" s="74">
        <v>650</v>
      </c>
      <c r="T121" s="90" t="s">
        <v>1558</v>
      </c>
      <c r="U121" s="90">
        <v>8500068190</v>
      </c>
      <c r="V121" s="90">
        <v>5000201558</v>
      </c>
      <c r="W121" s="109">
        <v>45345</v>
      </c>
      <c r="X121" s="106">
        <v>650</v>
      </c>
      <c r="Y121" s="106">
        <v>6500</v>
      </c>
      <c r="Z121" s="106" t="s">
        <v>727</v>
      </c>
      <c r="AA121" s="106">
        <f t="shared" si="4"/>
        <v>0</v>
      </c>
      <c r="AB121" s="106">
        <f t="shared" si="5"/>
        <v>0</v>
      </c>
      <c r="AC121" s="94"/>
      <c r="AD121" s="94"/>
      <c r="AE121" s="94"/>
      <c r="AF121" s="94"/>
      <c r="AG121" s="94"/>
      <c r="AH121" s="263"/>
    </row>
    <row r="122" spans="1:34" ht="26.25" customHeight="1">
      <c r="A122" s="318"/>
      <c r="B122" s="264"/>
      <c r="C122" s="192"/>
      <c r="D122" s="192"/>
      <c r="E122" s="74">
        <v>10</v>
      </c>
      <c r="F122" s="74">
        <v>486</v>
      </c>
      <c r="G122" s="45">
        <f t="shared" si="7"/>
        <v>4860</v>
      </c>
      <c r="H122" s="119" t="s">
        <v>146</v>
      </c>
      <c r="I122" s="128">
        <v>45344</v>
      </c>
      <c r="J122" s="74">
        <v>486</v>
      </c>
      <c r="K122" s="74">
        <v>14</v>
      </c>
      <c r="L122" s="156">
        <v>45342</v>
      </c>
      <c r="M122" s="90">
        <v>4860</v>
      </c>
      <c r="N122" s="90">
        <f>49+30</f>
        <v>79</v>
      </c>
      <c r="O122" s="90" t="s">
        <v>1784</v>
      </c>
      <c r="P122" s="94" t="s">
        <v>28</v>
      </c>
      <c r="Q122" s="94">
        <v>8500068193</v>
      </c>
      <c r="R122" s="94">
        <v>5000211259</v>
      </c>
      <c r="S122" s="74">
        <v>486</v>
      </c>
      <c r="T122" s="90" t="s">
        <v>1558</v>
      </c>
      <c r="U122" s="90">
        <v>8500068192</v>
      </c>
      <c r="V122" s="90">
        <v>5000201559</v>
      </c>
      <c r="W122" s="109">
        <v>45363</v>
      </c>
      <c r="X122" s="106">
        <v>486</v>
      </c>
      <c r="Y122" s="106">
        <v>4860</v>
      </c>
      <c r="Z122" s="106" t="s">
        <v>798</v>
      </c>
      <c r="AA122" s="106">
        <f t="shared" si="4"/>
        <v>0</v>
      </c>
      <c r="AB122" s="106">
        <f t="shared" si="5"/>
        <v>0</v>
      </c>
      <c r="AC122" s="94"/>
      <c r="AD122" s="94"/>
      <c r="AE122" s="94"/>
      <c r="AF122" s="94"/>
      <c r="AG122" s="94"/>
      <c r="AH122" s="263"/>
    </row>
    <row r="123" spans="1:34" ht="26.25" customHeight="1">
      <c r="A123" s="318" t="s">
        <v>24</v>
      </c>
      <c r="B123" s="264">
        <v>6000029024</v>
      </c>
      <c r="C123" s="192" t="s">
        <v>771</v>
      </c>
      <c r="D123" s="192" t="s">
        <v>2867</v>
      </c>
      <c r="E123" s="74">
        <v>10</v>
      </c>
      <c r="F123" s="74">
        <v>1020</v>
      </c>
      <c r="G123" s="45">
        <f t="shared" si="7"/>
        <v>10200</v>
      </c>
      <c r="H123" s="119" t="s">
        <v>37</v>
      </c>
      <c r="I123" s="128">
        <v>45346</v>
      </c>
      <c r="J123" s="158">
        <v>1020</v>
      </c>
      <c r="K123" s="74">
        <v>20</v>
      </c>
      <c r="L123" s="156" t="s">
        <v>2947</v>
      </c>
      <c r="M123" s="90">
        <f>9700+500</f>
        <v>10200</v>
      </c>
      <c r="N123" s="90">
        <f>102+20</f>
        <v>122</v>
      </c>
      <c r="O123" s="90" t="s">
        <v>2948</v>
      </c>
      <c r="P123" s="94" t="s">
        <v>924</v>
      </c>
      <c r="Q123" s="94">
        <v>8500068195</v>
      </c>
      <c r="R123" s="94">
        <v>5000224899</v>
      </c>
      <c r="S123" s="158">
        <v>1020</v>
      </c>
      <c r="T123" s="90" t="s">
        <v>1558</v>
      </c>
      <c r="U123" s="90">
        <v>8500068194</v>
      </c>
      <c r="V123" s="90">
        <v>5000225496</v>
      </c>
      <c r="W123" s="109">
        <v>45366</v>
      </c>
      <c r="X123" s="106">
        <v>1020</v>
      </c>
      <c r="Y123" s="106">
        <v>10200</v>
      </c>
      <c r="Z123" s="106" t="s">
        <v>35</v>
      </c>
      <c r="AA123" s="106">
        <f t="shared" si="4"/>
        <v>0</v>
      </c>
      <c r="AB123" s="106">
        <f t="shared" si="5"/>
        <v>0</v>
      </c>
      <c r="AC123" s="94"/>
      <c r="AD123" s="94"/>
      <c r="AE123" s="94"/>
      <c r="AF123" s="94"/>
      <c r="AG123" s="94"/>
      <c r="AH123" s="263"/>
    </row>
    <row r="124" spans="1:34" ht="26.25" customHeight="1">
      <c r="A124" s="318" t="s">
        <v>24</v>
      </c>
      <c r="B124" s="264">
        <v>6000029025</v>
      </c>
      <c r="C124" s="192" t="s">
        <v>25</v>
      </c>
      <c r="D124" s="192" t="s">
        <v>2868</v>
      </c>
      <c r="E124" s="74">
        <v>10</v>
      </c>
      <c r="F124" s="74">
        <v>2100</v>
      </c>
      <c r="G124" s="45">
        <f t="shared" si="7"/>
        <v>21000</v>
      </c>
      <c r="H124" s="119" t="s">
        <v>46</v>
      </c>
      <c r="I124" s="128">
        <v>45344</v>
      </c>
      <c r="J124" s="158">
        <v>2100</v>
      </c>
      <c r="K124" s="74">
        <v>21</v>
      </c>
      <c r="L124" s="156">
        <v>45357</v>
      </c>
      <c r="M124" s="90">
        <v>21000</v>
      </c>
      <c r="N124" s="90">
        <v>230</v>
      </c>
      <c r="O124" s="90"/>
      <c r="P124" s="94" t="s">
        <v>28</v>
      </c>
      <c r="Q124" s="94">
        <v>8500068240</v>
      </c>
      <c r="R124" s="94">
        <v>5000211316</v>
      </c>
      <c r="S124" s="158">
        <v>2100</v>
      </c>
      <c r="T124" s="90" t="s">
        <v>1558</v>
      </c>
      <c r="U124" s="90">
        <v>8500068239</v>
      </c>
      <c r="V124" s="90">
        <v>5000268390</v>
      </c>
      <c r="W124" s="109">
        <v>45374</v>
      </c>
      <c r="X124" s="106">
        <v>2100</v>
      </c>
      <c r="Y124" s="106">
        <v>21000</v>
      </c>
      <c r="Z124" s="106" t="s">
        <v>3186</v>
      </c>
      <c r="AA124" s="106">
        <f t="shared" si="4"/>
        <v>0</v>
      </c>
      <c r="AB124" s="106">
        <f t="shared" si="5"/>
        <v>0</v>
      </c>
      <c r="AC124" s="94"/>
      <c r="AD124" s="94"/>
      <c r="AE124" s="94"/>
      <c r="AF124" s="94"/>
      <c r="AG124" s="94"/>
      <c r="AH124" s="263"/>
    </row>
    <row r="125" spans="1:34" ht="26.25" customHeight="1">
      <c r="A125" s="318" t="s">
        <v>24</v>
      </c>
      <c r="B125" s="264">
        <v>6000029026</v>
      </c>
      <c r="C125" s="192" t="s">
        <v>25</v>
      </c>
      <c r="D125" s="192" t="s">
        <v>2869</v>
      </c>
      <c r="E125" s="74">
        <v>10</v>
      </c>
      <c r="F125" s="74">
        <v>1220</v>
      </c>
      <c r="G125" s="45">
        <f t="shared" si="7"/>
        <v>12200</v>
      </c>
      <c r="H125" s="119" t="s">
        <v>46</v>
      </c>
      <c r="I125" s="128" t="s">
        <v>2918</v>
      </c>
      <c r="J125" s="74">
        <f>1210+10</f>
        <v>1220</v>
      </c>
      <c r="K125" s="74">
        <v>15</v>
      </c>
      <c r="L125" s="156">
        <v>45358</v>
      </c>
      <c r="M125" s="90">
        <v>12200</v>
      </c>
      <c r="N125" s="90">
        <v>142</v>
      </c>
      <c r="O125" s="90" t="s">
        <v>3006</v>
      </c>
      <c r="P125" s="94" t="s">
        <v>28</v>
      </c>
      <c r="Q125" s="94">
        <v>8500068242</v>
      </c>
      <c r="R125" s="94">
        <v>5000201594</v>
      </c>
      <c r="S125" s="74">
        <f>1210+10</f>
        <v>1220</v>
      </c>
      <c r="T125" s="90" t="s">
        <v>1558</v>
      </c>
      <c r="U125" s="90">
        <v>8500068241</v>
      </c>
      <c r="V125" s="90">
        <v>5000273555</v>
      </c>
      <c r="W125" s="109">
        <v>45372</v>
      </c>
      <c r="X125" s="106">
        <v>1220</v>
      </c>
      <c r="Y125" s="106">
        <v>12200</v>
      </c>
      <c r="Z125" s="106" t="s">
        <v>3178</v>
      </c>
      <c r="AA125" s="106">
        <f t="shared" si="4"/>
        <v>0</v>
      </c>
      <c r="AB125" s="106">
        <f t="shared" si="5"/>
        <v>0</v>
      </c>
      <c r="AC125" s="94"/>
      <c r="AD125" s="94"/>
      <c r="AE125" s="94"/>
      <c r="AF125" s="94"/>
      <c r="AG125" s="94"/>
      <c r="AH125" s="263"/>
    </row>
    <row r="126" spans="1:34" ht="33.75" customHeight="1">
      <c r="A126" s="318"/>
      <c r="B126" s="264"/>
      <c r="C126" s="192"/>
      <c r="D126" s="192"/>
      <c r="E126" s="74">
        <v>10</v>
      </c>
      <c r="F126" s="74">
        <v>880</v>
      </c>
      <c r="G126" s="45">
        <f t="shared" si="7"/>
        <v>8800</v>
      </c>
      <c r="H126" s="119" t="s">
        <v>37</v>
      </c>
      <c r="I126" s="128">
        <v>45343</v>
      </c>
      <c r="J126" s="74">
        <v>880</v>
      </c>
      <c r="K126" s="74">
        <f>9+2</f>
        <v>11</v>
      </c>
      <c r="L126" s="156" t="s">
        <v>2947</v>
      </c>
      <c r="M126" s="90">
        <f>8200+600</f>
        <v>8800</v>
      </c>
      <c r="N126" s="90">
        <f>88+20</f>
        <v>108</v>
      </c>
      <c r="O126" s="90" t="s">
        <v>1676</v>
      </c>
      <c r="P126" s="94" t="s">
        <v>28</v>
      </c>
      <c r="Q126" s="94">
        <v>8500068242</v>
      </c>
      <c r="R126" s="94">
        <v>5000202906</v>
      </c>
      <c r="S126" s="74">
        <v>880</v>
      </c>
      <c r="T126" s="90" t="s">
        <v>1558</v>
      </c>
      <c r="U126" s="90">
        <v>8500068241</v>
      </c>
      <c r="V126" s="90">
        <v>5000225491</v>
      </c>
      <c r="W126" s="109">
        <v>45355</v>
      </c>
      <c r="X126" s="106">
        <v>880</v>
      </c>
      <c r="Y126" s="106">
        <v>8800</v>
      </c>
      <c r="Z126" s="106" t="s">
        <v>2238</v>
      </c>
      <c r="AA126" s="106">
        <f t="shared" si="4"/>
        <v>0</v>
      </c>
      <c r="AB126" s="106">
        <f t="shared" si="5"/>
        <v>0</v>
      </c>
      <c r="AC126" s="94"/>
      <c r="AD126" s="94"/>
      <c r="AE126" s="94"/>
      <c r="AF126" s="94"/>
      <c r="AG126" s="94"/>
      <c r="AH126" s="263"/>
    </row>
    <row r="127" spans="1:34" ht="26.25" customHeight="1">
      <c r="A127" s="318" t="s">
        <v>24</v>
      </c>
      <c r="B127" s="264">
        <v>6000029027</v>
      </c>
      <c r="C127" s="192" t="s">
        <v>25</v>
      </c>
      <c r="D127" s="192" t="s">
        <v>2870</v>
      </c>
      <c r="E127" s="74">
        <v>10</v>
      </c>
      <c r="F127" s="74">
        <v>2100</v>
      </c>
      <c r="G127" s="45">
        <f>F127*E127</f>
        <v>21000</v>
      </c>
      <c r="H127" s="119" t="s">
        <v>46</v>
      </c>
      <c r="I127" s="128">
        <v>45344</v>
      </c>
      <c r="J127" s="74">
        <v>2100</v>
      </c>
      <c r="K127" s="74">
        <v>21</v>
      </c>
      <c r="L127" s="156" t="s">
        <v>3007</v>
      </c>
      <c r="M127" s="90">
        <f>9000+12000</f>
        <v>21000</v>
      </c>
      <c r="N127" s="90">
        <f>210+20</f>
        <v>230</v>
      </c>
      <c r="O127" s="90" t="s">
        <v>3008</v>
      </c>
      <c r="P127" s="94" t="s">
        <v>28</v>
      </c>
      <c r="Q127" s="94">
        <v>8500068244</v>
      </c>
      <c r="R127" s="94">
        <v>5000211257</v>
      </c>
      <c r="S127" s="74">
        <v>2100</v>
      </c>
      <c r="T127" s="90" t="s">
        <v>1558</v>
      </c>
      <c r="U127" s="90">
        <v>8500068243</v>
      </c>
      <c r="V127" s="90">
        <v>5000268394</v>
      </c>
      <c r="W127" s="109">
        <v>45367</v>
      </c>
      <c r="X127" s="106">
        <v>2100</v>
      </c>
      <c r="Y127" s="106">
        <v>21000</v>
      </c>
      <c r="Z127" s="106" t="s">
        <v>3151</v>
      </c>
      <c r="AA127" s="106">
        <f t="shared" si="4"/>
        <v>0</v>
      </c>
      <c r="AB127" s="106">
        <f t="shared" si="5"/>
        <v>0</v>
      </c>
      <c r="AC127" s="94"/>
      <c r="AD127" s="94"/>
      <c r="AE127" s="94"/>
      <c r="AF127" s="94"/>
      <c r="AG127" s="94"/>
      <c r="AH127" s="263"/>
    </row>
    <row r="128" spans="1:34" ht="26.25" customHeight="1">
      <c r="A128" s="318" t="s">
        <v>24</v>
      </c>
      <c r="B128" s="264">
        <v>6000029028</v>
      </c>
      <c r="C128" s="192" t="s">
        <v>25</v>
      </c>
      <c r="D128" s="192" t="s">
        <v>2871</v>
      </c>
      <c r="E128" s="74">
        <v>10</v>
      </c>
      <c r="F128" s="74">
        <v>400</v>
      </c>
      <c r="G128" s="45">
        <f t="shared" si="7"/>
        <v>4000</v>
      </c>
      <c r="H128" s="119" t="s">
        <v>27</v>
      </c>
      <c r="I128" s="128">
        <v>45343</v>
      </c>
      <c r="J128" s="74">
        <v>400</v>
      </c>
      <c r="K128" s="74">
        <f>4+3</f>
        <v>7</v>
      </c>
      <c r="L128" s="156">
        <v>45349</v>
      </c>
      <c r="M128" s="90">
        <v>4000</v>
      </c>
      <c r="N128" s="90">
        <f>40+20</f>
        <v>60</v>
      </c>
      <c r="O128" s="90"/>
      <c r="P128" s="94" t="s">
        <v>28</v>
      </c>
      <c r="Q128" s="94">
        <v>8500068236</v>
      </c>
      <c r="R128" s="94">
        <v>5000202908</v>
      </c>
      <c r="S128" s="74">
        <v>400</v>
      </c>
      <c r="T128" s="90" t="s">
        <v>1558</v>
      </c>
      <c r="U128" s="90">
        <v>8500068235</v>
      </c>
      <c r="V128" s="90">
        <v>5000230674</v>
      </c>
      <c r="W128" s="109">
        <v>45352</v>
      </c>
      <c r="X128" s="106">
        <v>400</v>
      </c>
      <c r="Y128" s="106">
        <v>4000</v>
      </c>
      <c r="Z128" s="106" t="s">
        <v>727</v>
      </c>
      <c r="AA128" s="106">
        <f t="shared" si="4"/>
        <v>0</v>
      </c>
      <c r="AB128" s="106">
        <f t="shared" si="5"/>
        <v>0</v>
      </c>
      <c r="AC128" s="94"/>
      <c r="AD128" s="94"/>
      <c r="AE128" s="94"/>
      <c r="AF128" s="94"/>
      <c r="AG128" s="94"/>
      <c r="AH128" s="263"/>
    </row>
    <row r="129" spans="1:34" ht="26.25" customHeight="1">
      <c r="A129" s="318"/>
      <c r="B129" s="264"/>
      <c r="C129" s="192"/>
      <c r="D129" s="192"/>
      <c r="E129" s="74">
        <v>10</v>
      </c>
      <c r="F129" s="74">
        <v>1700</v>
      </c>
      <c r="G129" s="45">
        <f t="shared" si="7"/>
        <v>17000</v>
      </c>
      <c r="H129" s="119" t="s">
        <v>37</v>
      </c>
      <c r="I129" s="128">
        <v>45343</v>
      </c>
      <c r="J129" s="74">
        <v>1700</v>
      </c>
      <c r="K129" s="74">
        <v>18</v>
      </c>
      <c r="L129" s="156" t="s">
        <v>3234</v>
      </c>
      <c r="M129" s="90">
        <f>10200+6800</f>
        <v>17000</v>
      </c>
      <c r="N129" s="90">
        <f>170+20</f>
        <v>190</v>
      </c>
      <c r="O129" s="90"/>
      <c r="P129" s="94" t="s">
        <v>28</v>
      </c>
      <c r="Q129" s="94">
        <v>8500068236</v>
      </c>
      <c r="R129" s="94">
        <v>5000202908</v>
      </c>
      <c r="S129" s="74">
        <v>1700</v>
      </c>
      <c r="T129" s="90" t="s">
        <v>1558</v>
      </c>
      <c r="U129" s="90">
        <v>8500068235</v>
      </c>
      <c r="V129" s="90">
        <v>5000225492</v>
      </c>
      <c r="W129" s="109" t="s">
        <v>2967</v>
      </c>
      <c r="X129" s="106">
        <f>1020+680</f>
        <v>1700</v>
      </c>
      <c r="Y129" s="106">
        <f>10200+6800</f>
        <v>17000</v>
      </c>
      <c r="Z129" s="106" t="s">
        <v>2238</v>
      </c>
      <c r="AA129" s="106">
        <f t="shared" si="4"/>
        <v>0</v>
      </c>
      <c r="AB129" s="106">
        <f t="shared" si="5"/>
        <v>0</v>
      </c>
      <c r="AC129" s="94"/>
      <c r="AD129" s="94"/>
      <c r="AE129" s="94"/>
      <c r="AF129" s="94"/>
      <c r="AG129" s="94"/>
      <c r="AH129" s="263"/>
    </row>
    <row r="130" spans="1:34" s="97" customFormat="1" ht="18.75" customHeight="1">
      <c r="A130" s="45" t="s">
        <v>715</v>
      </c>
      <c r="B130" s="121">
        <v>6000026969</v>
      </c>
      <c r="C130" s="2" t="s">
        <v>716</v>
      </c>
      <c r="D130" s="2">
        <v>6000026969</v>
      </c>
      <c r="E130" s="74">
        <v>10</v>
      </c>
      <c r="F130" s="74">
        <v>210</v>
      </c>
      <c r="G130" s="45">
        <f t="shared" si="7"/>
        <v>2100</v>
      </c>
      <c r="H130" s="119" t="s">
        <v>46</v>
      </c>
      <c r="I130" s="128">
        <v>45272</v>
      </c>
      <c r="J130" s="74">
        <v>210</v>
      </c>
      <c r="K130" s="74">
        <v>10</v>
      </c>
      <c r="L130" s="156">
        <v>45264</v>
      </c>
      <c r="M130" s="90">
        <v>2100</v>
      </c>
      <c r="N130" s="90">
        <v>21</v>
      </c>
      <c r="O130" s="90"/>
      <c r="P130" s="94" t="s">
        <v>924</v>
      </c>
      <c r="Q130" s="94">
        <v>8500064707</v>
      </c>
      <c r="R130" s="94">
        <v>5001323973</v>
      </c>
      <c r="S130" s="74">
        <v>210</v>
      </c>
      <c r="T130" s="90" t="s">
        <v>87</v>
      </c>
      <c r="U130" s="90">
        <v>8500064706</v>
      </c>
      <c r="V130" s="90">
        <v>5001297423</v>
      </c>
      <c r="W130" s="109">
        <v>45353</v>
      </c>
      <c r="X130" s="106">
        <v>210</v>
      </c>
      <c r="Y130" s="106">
        <v>2100</v>
      </c>
      <c r="Z130" s="106" t="s">
        <v>1460</v>
      </c>
      <c r="AA130" s="106">
        <f t="shared" si="4"/>
        <v>0</v>
      </c>
      <c r="AB130" s="106">
        <f t="shared" si="5"/>
        <v>0</v>
      </c>
      <c r="AC130" s="94"/>
      <c r="AD130" s="94"/>
      <c r="AE130" s="110"/>
      <c r="AF130" s="110"/>
      <c r="AG130" s="110"/>
      <c r="AH130" s="99"/>
    </row>
    <row r="131" spans="1:34" s="97" customFormat="1" ht="19.5" customHeight="1">
      <c r="A131" s="120"/>
      <c r="B131" s="121"/>
      <c r="C131" s="122"/>
      <c r="D131" s="122"/>
      <c r="E131" s="74">
        <v>10</v>
      </c>
      <c r="F131" s="74">
        <v>210</v>
      </c>
      <c r="G131" s="45">
        <f t="shared" si="7"/>
        <v>2100</v>
      </c>
      <c r="H131" s="119" t="s">
        <v>37</v>
      </c>
      <c r="I131" s="128">
        <v>45272</v>
      </c>
      <c r="J131" s="74">
        <v>210</v>
      </c>
      <c r="K131" s="74">
        <v>10</v>
      </c>
      <c r="L131" s="156">
        <v>45264</v>
      </c>
      <c r="M131" s="90">
        <v>2100</v>
      </c>
      <c r="N131" s="90">
        <v>21</v>
      </c>
      <c r="O131" s="90"/>
      <c r="P131" s="94" t="s">
        <v>924</v>
      </c>
      <c r="Q131" s="94">
        <v>8500064707</v>
      </c>
      <c r="R131" s="94">
        <v>5001323973</v>
      </c>
      <c r="S131" s="74">
        <v>210</v>
      </c>
      <c r="T131" s="90" t="s">
        <v>87</v>
      </c>
      <c r="U131" s="90">
        <v>8500064706</v>
      </c>
      <c r="V131" s="90">
        <v>5001297423</v>
      </c>
      <c r="W131" s="109">
        <v>45362</v>
      </c>
      <c r="X131" s="106">
        <v>210</v>
      </c>
      <c r="Y131" s="106">
        <v>2100</v>
      </c>
      <c r="Z131" s="106" t="s">
        <v>197</v>
      </c>
      <c r="AA131" s="106">
        <f t="shared" si="4"/>
        <v>0</v>
      </c>
      <c r="AB131" s="106">
        <f t="shared" si="5"/>
        <v>0</v>
      </c>
      <c r="AC131" s="94"/>
      <c r="AD131" s="94"/>
      <c r="AE131" s="110"/>
      <c r="AF131" s="110"/>
      <c r="AG131" s="110"/>
      <c r="AH131" s="99"/>
    </row>
    <row r="132" spans="1:34" s="97" customFormat="1" ht="19.5" customHeight="1">
      <c r="A132" s="45" t="s">
        <v>715</v>
      </c>
      <c r="B132" s="121">
        <v>6000026969</v>
      </c>
      <c r="C132" s="2" t="s">
        <v>717</v>
      </c>
      <c r="D132" s="2">
        <v>6000026969</v>
      </c>
      <c r="E132" s="2">
        <v>10</v>
      </c>
      <c r="F132" s="2">
        <v>405</v>
      </c>
      <c r="G132" s="45">
        <f t="shared" si="7"/>
        <v>4050</v>
      </c>
      <c r="H132" s="119" t="s">
        <v>46</v>
      </c>
      <c r="I132" s="128">
        <v>45272</v>
      </c>
      <c r="J132" s="74">
        <v>405</v>
      </c>
      <c r="K132" s="74">
        <v>10</v>
      </c>
      <c r="L132" s="156">
        <v>45264</v>
      </c>
      <c r="M132" s="90">
        <v>4050</v>
      </c>
      <c r="N132" s="90">
        <v>41</v>
      </c>
      <c r="O132" s="90"/>
      <c r="P132" s="94" t="s">
        <v>924</v>
      </c>
      <c r="Q132" s="94">
        <v>8500064709</v>
      </c>
      <c r="R132" s="94">
        <v>5001323977</v>
      </c>
      <c r="S132" s="74">
        <v>405</v>
      </c>
      <c r="T132" s="90" t="s">
        <v>87</v>
      </c>
      <c r="U132" s="90">
        <v>8500064708</v>
      </c>
      <c r="V132" s="90">
        <v>5001305875</v>
      </c>
      <c r="W132" s="109">
        <v>45378</v>
      </c>
      <c r="X132" s="106">
        <v>405</v>
      </c>
      <c r="Y132" s="106">
        <v>4050</v>
      </c>
      <c r="Z132" s="106" t="s">
        <v>1460</v>
      </c>
      <c r="AA132" s="106">
        <f t="shared" si="4"/>
        <v>0</v>
      </c>
      <c r="AB132" s="106">
        <f t="shared" si="5"/>
        <v>0</v>
      </c>
      <c r="AC132" s="94" t="s">
        <v>3246</v>
      </c>
      <c r="AD132" s="94"/>
      <c r="AE132" s="110"/>
      <c r="AF132" s="110"/>
      <c r="AG132" s="110"/>
      <c r="AH132" s="99"/>
    </row>
    <row r="133" spans="1:34" s="97" customFormat="1" ht="19.5" customHeight="1">
      <c r="A133" s="45"/>
      <c r="B133" s="121"/>
      <c r="C133" s="2"/>
      <c r="D133" s="2"/>
      <c r="E133" s="44">
        <v>10</v>
      </c>
      <c r="F133" s="44">
        <v>405</v>
      </c>
      <c r="G133" s="45">
        <f t="shared" si="7"/>
        <v>4050</v>
      </c>
      <c r="H133" s="119" t="s">
        <v>37</v>
      </c>
      <c r="I133" s="128">
        <v>45272</v>
      </c>
      <c r="J133" s="74">
        <v>405</v>
      </c>
      <c r="K133" s="74">
        <v>10</v>
      </c>
      <c r="L133" s="156">
        <v>45264</v>
      </c>
      <c r="M133" s="90">
        <v>4050</v>
      </c>
      <c r="N133" s="90">
        <v>41</v>
      </c>
      <c r="O133" s="90"/>
      <c r="P133" s="94" t="s">
        <v>924</v>
      </c>
      <c r="Q133" s="94">
        <v>8500064709</v>
      </c>
      <c r="R133" s="94">
        <v>5001323977</v>
      </c>
      <c r="S133" s="74">
        <v>405</v>
      </c>
      <c r="T133" s="90" t="s">
        <v>87</v>
      </c>
      <c r="U133" s="90">
        <v>8500064708</v>
      </c>
      <c r="V133" s="90">
        <v>5001305875</v>
      </c>
      <c r="W133" s="109">
        <v>45365</v>
      </c>
      <c r="X133" s="106">
        <v>405</v>
      </c>
      <c r="Y133" s="106">
        <v>4050</v>
      </c>
      <c r="Z133" s="106" t="s">
        <v>870</v>
      </c>
      <c r="AA133" s="106">
        <f t="shared" si="4"/>
        <v>0</v>
      </c>
      <c r="AB133" s="106">
        <f t="shared" si="5"/>
        <v>0</v>
      </c>
      <c r="AC133" s="499"/>
      <c r="AD133" s="94"/>
      <c r="AE133" s="110"/>
      <c r="AF133" s="110"/>
      <c r="AG133" s="110"/>
      <c r="AH133" s="99"/>
    </row>
    <row r="134" spans="1:34" s="97" customFormat="1" ht="19.5" customHeight="1">
      <c r="A134" s="45"/>
      <c r="B134" s="121"/>
      <c r="C134" s="2"/>
      <c r="D134" s="2"/>
      <c r="E134" s="74"/>
      <c r="F134" s="74"/>
      <c r="G134" s="45"/>
      <c r="H134" s="119" t="s">
        <v>2203</v>
      </c>
      <c r="I134" s="128">
        <v>45272</v>
      </c>
      <c r="J134" s="74"/>
      <c r="K134" s="74" t="s">
        <v>2204</v>
      </c>
      <c r="L134" s="156"/>
      <c r="M134" s="90"/>
      <c r="N134" s="90"/>
      <c r="O134" s="90"/>
      <c r="P134" s="94"/>
      <c r="Q134" s="94"/>
      <c r="R134" s="94"/>
      <c r="S134" s="94"/>
      <c r="T134" s="90"/>
      <c r="U134" s="90"/>
      <c r="V134" s="90"/>
      <c r="W134" s="109"/>
      <c r="X134" s="106"/>
      <c r="Y134" s="106"/>
      <c r="Z134" s="106"/>
      <c r="AA134" s="106">
        <f t="shared" si="4"/>
        <v>0</v>
      </c>
      <c r="AB134" s="106">
        <f t="shared" si="5"/>
        <v>0</v>
      </c>
      <c r="AC134" s="497"/>
      <c r="AD134" s="94"/>
      <c r="AE134" s="110"/>
      <c r="AF134" s="110"/>
      <c r="AG134" s="110"/>
      <c r="AH134" s="99"/>
    </row>
    <row r="135" spans="1:34" ht="26.25" customHeight="1">
      <c r="A135" s="45" t="s">
        <v>378</v>
      </c>
      <c r="B135" s="121">
        <v>6000028378</v>
      </c>
      <c r="C135" s="45" t="s">
        <v>381</v>
      </c>
      <c r="D135" s="537" t="s">
        <v>2932</v>
      </c>
      <c r="E135" s="74">
        <v>10</v>
      </c>
      <c r="F135" s="74">
        <v>216</v>
      </c>
      <c r="G135" s="45">
        <f t="shared" si="7"/>
        <v>2160</v>
      </c>
      <c r="H135" s="119" t="s">
        <v>46</v>
      </c>
      <c r="I135" s="128">
        <v>45344</v>
      </c>
      <c r="J135" s="74">
        <v>216</v>
      </c>
      <c r="K135" s="74">
        <v>9</v>
      </c>
      <c r="L135" s="156">
        <v>45350</v>
      </c>
      <c r="M135" s="90">
        <v>2160</v>
      </c>
      <c r="N135" s="90">
        <v>22</v>
      </c>
      <c r="O135" s="90"/>
      <c r="P135" s="94" t="s">
        <v>1765</v>
      </c>
      <c r="Q135" s="94"/>
      <c r="R135" s="94"/>
      <c r="S135" s="74">
        <v>216</v>
      </c>
      <c r="T135" s="90" t="s">
        <v>87</v>
      </c>
      <c r="U135" s="90">
        <v>8500067370</v>
      </c>
      <c r="V135" s="90" t="s">
        <v>2970</v>
      </c>
      <c r="W135" s="109" t="s">
        <v>3039</v>
      </c>
      <c r="X135" s="106">
        <f>38+178</f>
        <v>216</v>
      </c>
      <c r="Y135" s="106">
        <f>380+1780</f>
        <v>2160</v>
      </c>
      <c r="Z135" s="106" t="s">
        <v>1785</v>
      </c>
      <c r="AA135" s="106">
        <f t="shared" si="4"/>
        <v>0</v>
      </c>
      <c r="AB135" s="106">
        <f t="shared" si="5"/>
        <v>0</v>
      </c>
      <c r="AC135" s="94"/>
      <c r="AD135" s="94"/>
      <c r="AE135" s="94"/>
      <c r="AF135" s="94"/>
      <c r="AG135" s="94"/>
      <c r="AH135" s="263"/>
    </row>
    <row r="136" spans="1:34" ht="26.25" customHeight="1">
      <c r="A136" s="318"/>
      <c r="B136" s="264"/>
      <c r="C136" s="192"/>
      <c r="D136" s="538"/>
      <c r="E136" s="74">
        <v>10</v>
      </c>
      <c r="F136" s="74">
        <v>360</v>
      </c>
      <c r="G136" s="45">
        <f t="shared" si="7"/>
        <v>3600</v>
      </c>
      <c r="H136" s="119" t="s">
        <v>37</v>
      </c>
      <c r="I136" s="128">
        <v>45344</v>
      </c>
      <c r="J136" s="74">
        <v>360</v>
      </c>
      <c r="K136" s="74">
        <v>12</v>
      </c>
      <c r="L136" s="156">
        <v>45350</v>
      </c>
      <c r="M136" s="90">
        <v>3600</v>
      </c>
      <c r="N136" s="90">
        <v>36</v>
      </c>
      <c r="O136" s="90"/>
      <c r="P136" s="94" t="s">
        <v>1765</v>
      </c>
      <c r="Q136" s="94"/>
      <c r="R136" s="94"/>
      <c r="S136" s="74">
        <v>360</v>
      </c>
      <c r="T136" s="90" t="s">
        <v>87</v>
      </c>
      <c r="U136" s="90">
        <v>8500067370</v>
      </c>
      <c r="V136" s="90" t="s">
        <v>2970</v>
      </c>
      <c r="W136" s="109">
        <v>45351</v>
      </c>
      <c r="X136" s="106">
        <f>46+314</f>
        <v>360</v>
      </c>
      <c r="Y136" s="106">
        <v>3600</v>
      </c>
      <c r="Z136" s="106" t="s">
        <v>800</v>
      </c>
      <c r="AA136" s="106">
        <f t="shared" si="4"/>
        <v>0</v>
      </c>
      <c r="AB136" s="106">
        <f t="shared" si="5"/>
        <v>0</v>
      </c>
      <c r="AC136" s="94"/>
      <c r="AD136" s="94"/>
      <c r="AE136" s="94"/>
      <c r="AF136" s="94"/>
      <c r="AG136" s="94"/>
      <c r="AH136" s="263"/>
    </row>
    <row r="137" spans="1:34" ht="26.25" customHeight="1">
      <c r="A137" s="318"/>
      <c r="B137" s="264"/>
      <c r="C137" s="192"/>
      <c r="D137" s="538"/>
      <c r="E137" s="74">
        <v>10</v>
      </c>
      <c r="F137" s="74">
        <v>144</v>
      </c>
      <c r="G137" s="45">
        <f t="shared" si="7"/>
        <v>1440</v>
      </c>
      <c r="H137" s="119" t="s">
        <v>146</v>
      </c>
      <c r="I137" s="128">
        <v>45344</v>
      </c>
      <c r="J137" s="74">
        <v>144</v>
      </c>
      <c r="K137" s="74">
        <v>10</v>
      </c>
      <c r="L137" s="156">
        <v>45350</v>
      </c>
      <c r="M137" s="90">
        <v>1440</v>
      </c>
      <c r="N137" s="90">
        <v>14</v>
      </c>
      <c r="O137" s="90"/>
      <c r="P137" s="94" t="s">
        <v>1765</v>
      </c>
      <c r="Q137" s="94"/>
      <c r="R137" s="94"/>
      <c r="S137" s="74">
        <v>144</v>
      </c>
      <c r="T137" s="90" t="s">
        <v>87</v>
      </c>
      <c r="U137" s="90">
        <v>8500067370</v>
      </c>
      <c r="V137" s="90" t="s">
        <v>2970</v>
      </c>
      <c r="W137" s="109">
        <v>45359</v>
      </c>
      <c r="X137" s="106">
        <v>144</v>
      </c>
      <c r="Y137" s="106">
        <v>1440</v>
      </c>
      <c r="Z137" s="106" t="s">
        <v>800</v>
      </c>
      <c r="AA137" s="106">
        <f t="shared" si="4"/>
        <v>0</v>
      </c>
      <c r="AB137" s="106">
        <f t="shared" si="5"/>
        <v>0</v>
      </c>
      <c r="AC137" s="94"/>
      <c r="AD137" s="94"/>
      <c r="AE137" s="94"/>
      <c r="AF137" s="94"/>
      <c r="AG137" s="94"/>
      <c r="AH137" s="263"/>
    </row>
    <row r="138" spans="1:34" ht="26.25" customHeight="1">
      <c r="A138" s="318"/>
      <c r="B138" s="264"/>
      <c r="C138" s="192"/>
      <c r="D138" s="538"/>
      <c r="E138" s="74"/>
      <c r="F138" s="74"/>
      <c r="G138" s="45"/>
      <c r="H138" s="119" t="s">
        <v>46</v>
      </c>
      <c r="I138" s="128">
        <v>45344</v>
      </c>
      <c r="J138" s="74">
        <v>864</v>
      </c>
      <c r="K138" s="74"/>
      <c r="L138" s="156"/>
      <c r="M138" s="90"/>
      <c r="N138" s="90"/>
      <c r="O138" s="90"/>
      <c r="P138" s="94" t="s">
        <v>1765</v>
      </c>
      <c r="Q138" s="94"/>
      <c r="R138" s="94"/>
      <c r="S138" s="74">
        <v>864</v>
      </c>
      <c r="T138" s="90"/>
      <c r="U138" s="90"/>
      <c r="V138" s="90"/>
      <c r="W138" s="109"/>
      <c r="X138" s="106">
        <v>864</v>
      </c>
      <c r="Y138" s="106"/>
      <c r="Z138" s="106"/>
      <c r="AA138" s="106">
        <f t="shared" si="4"/>
        <v>0</v>
      </c>
      <c r="AB138" s="106">
        <f t="shared" si="5"/>
        <v>0</v>
      </c>
      <c r="AC138" s="94"/>
      <c r="AD138" s="94"/>
      <c r="AE138" s="94"/>
      <c r="AF138" s="94"/>
      <c r="AG138" s="94"/>
      <c r="AH138" s="263"/>
    </row>
    <row r="139" spans="1:34" ht="26.25" customHeight="1">
      <c r="A139" s="318"/>
      <c r="B139" s="264"/>
      <c r="C139" s="192"/>
      <c r="D139" s="538"/>
      <c r="E139" s="74"/>
      <c r="F139" s="74"/>
      <c r="G139" s="45"/>
      <c r="H139" s="119" t="s">
        <v>37</v>
      </c>
      <c r="I139" s="128">
        <v>45344</v>
      </c>
      <c r="J139" s="74">
        <v>1440</v>
      </c>
      <c r="K139" s="74"/>
      <c r="L139" s="156"/>
      <c r="M139" s="90"/>
      <c r="N139" s="90"/>
      <c r="O139" s="90"/>
      <c r="P139" s="94" t="s">
        <v>1765</v>
      </c>
      <c r="Q139" s="94"/>
      <c r="R139" s="94"/>
      <c r="S139" s="74">
        <v>1440</v>
      </c>
      <c r="T139" s="90"/>
      <c r="U139" s="90"/>
      <c r="V139" s="90"/>
      <c r="W139" s="109"/>
      <c r="X139" s="106">
        <v>1440</v>
      </c>
      <c r="Y139" s="106"/>
      <c r="Z139" s="106"/>
      <c r="AA139" s="106">
        <f t="shared" si="4"/>
        <v>0</v>
      </c>
      <c r="AB139" s="106">
        <f t="shared" si="5"/>
        <v>0</v>
      </c>
      <c r="AC139" s="94"/>
      <c r="AD139" s="94"/>
      <c r="AE139" s="94"/>
      <c r="AF139" s="94"/>
      <c r="AG139" s="94"/>
      <c r="AH139" s="263"/>
    </row>
    <row r="140" spans="1:34" ht="26.25" customHeight="1">
      <c r="A140" s="318"/>
      <c r="B140" s="264"/>
      <c r="C140" s="192"/>
      <c r="D140" s="538"/>
      <c r="E140" s="74"/>
      <c r="F140" s="74"/>
      <c r="G140" s="45"/>
      <c r="H140" s="119" t="s">
        <v>146</v>
      </c>
      <c r="I140" s="128">
        <v>45344</v>
      </c>
      <c r="J140" s="74">
        <v>576</v>
      </c>
      <c r="K140" s="74"/>
      <c r="L140" s="156"/>
      <c r="M140" s="90"/>
      <c r="N140" s="90"/>
      <c r="O140" s="90"/>
      <c r="P140" s="94" t="s">
        <v>1765</v>
      </c>
      <c r="Q140" s="94"/>
      <c r="R140" s="94"/>
      <c r="S140" s="74">
        <v>576</v>
      </c>
      <c r="T140" s="90"/>
      <c r="U140" s="90"/>
      <c r="V140" s="90"/>
      <c r="W140" s="109"/>
      <c r="X140" s="106">
        <v>576</v>
      </c>
      <c r="Y140" s="106"/>
      <c r="Z140" s="106"/>
      <c r="AA140" s="106">
        <f t="shared" si="4"/>
        <v>0</v>
      </c>
      <c r="AB140" s="106">
        <f t="shared" si="5"/>
        <v>0</v>
      </c>
      <c r="AC140" s="94"/>
      <c r="AD140" s="94"/>
      <c r="AE140" s="94"/>
      <c r="AF140" s="94"/>
      <c r="AG140" s="94"/>
      <c r="AH140" s="263"/>
    </row>
    <row r="141" spans="1:34" ht="26.25" customHeight="1">
      <c r="A141" s="278" t="s">
        <v>378</v>
      </c>
      <c r="B141" s="346">
        <v>6000028378</v>
      </c>
      <c r="C141" s="278" t="s">
        <v>379</v>
      </c>
      <c r="D141" s="539"/>
      <c r="E141" s="74"/>
      <c r="F141" s="74"/>
      <c r="G141" s="45"/>
      <c r="H141" s="119" t="s">
        <v>146</v>
      </c>
      <c r="I141" s="128">
        <v>45356</v>
      </c>
      <c r="J141" s="74">
        <v>936</v>
      </c>
      <c r="K141" s="74"/>
      <c r="L141" s="156">
        <v>45356</v>
      </c>
      <c r="M141" s="90">
        <v>9360</v>
      </c>
      <c r="N141" s="90"/>
      <c r="O141" s="90"/>
      <c r="P141" s="94" t="s">
        <v>1765</v>
      </c>
      <c r="Q141" s="94"/>
      <c r="R141" s="94"/>
      <c r="S141" s="74">
        <v>936</v>
      </c>
      <c r="T141" s="90" t="s">
        <v>1666</v>
      </c>
      <c r="U141" s="90"/>
      <c r="V141" s="90"/>
      <c r="W141" s="109" t="s">
        <v>3039</v>
      </c>
      <c r="X141" s="106">
        <f>208+728</f>
        <v>936</v>
      </c>
      <c r="Y141" s="106">
        <f>2080+7280</f>
        <v>9360</v>
      </c>
      <c r="Z141" s="106" t="s">
        <v>2666</v>
      </c>
      <c r="AA141" s="106">
        <f t="shared" ref="AA141:AA199" si="8">J141-X141</f>
        <v>0</v>
      </c>
      <c r="AB141" s="106">
        <f t="shared" ref="AB141:AB199" si="9">M141-Y141</f>
        <v>0</v>
      </c>
      <c r="AC141" s="94"/>
      <c r="AD141" s="94"/>
      <c r="AE141" s="94"/>
      <c r="AF141" s="94"/>
      <c r="AG141" s="94"/>
      <c r="AH141" s="263"/>
    </row>
    <row r="142" spans="1:34" ht="26.25" customHeight="1">
      <c r="A142" s="45" t="s">
        <v>178</v>
      </c>
      <c r="B142" s="121">
        <v>6000028679</v>
      </c>
      <c r="C142" s="2" t="s">
        <v>842</v>
      </c>
      <c r="D142" s="2">
        <v>4924035004</v>
      </c>
      <c r="E142" s="94">
        <v>4</v>
      </c>
      <c r="F142" s="74">
        <v>1500</v>
      </c>
      <c r="G142" s="45">
        <f t="shared" si="7"/>
        <v>6000</v>
      </c>
      <c r="H142" s="119" t="s">
        <v>46</v>
      </c>
      <c r="I142" s="128">
        <v>45358</v>
      </c>
      <c r="J142" s="74">
        <v>1500</v>
      </c>
      <c r="K142" s="74">
        <v>15</v>
      </c>
      <c r="L142" s="156">
        <v>45358</v>
      </c>
      <c r="M142" s="90">
        <v>6000</v>
      </c>
      <c r="N142" s="90">
        <v>60</v>
      </c>
      <c r="O142" s="90"/>
      <c r="P142" s="95" t="s">
        <v>1558</v>
      </c>
      <c r="Q142" s="94">
        <v>8500067745</v>
      </c>
      <c r="R142" s="94">
        <v>5000273328</v>
      </c>
      <c r="S142" s="94"/>
      <c r="T142" s="90" t="s">
        <v>87</v>
      </c>
      <c r="U142" s="90">
        <v>8500067744</v>
      </c>
      <c r="V142" s="90">
        <v>5000273627</v>
      </c>
      <c r="W142" s="109">
        <v>45388</v>
      </c>
      <c r="X142" s="106">
        <v>1500</v>
      </c>
      <c r="Y142" s="106">
        <v>6000</v>
      </c>
      <c r="Z142" s="106" t="s">
        <v>1460</v>
      </c>
      <c r="AA142" s="106">
        <f t="shared" si="8"/>
        <v>0</v>
      </c>
      <c r="AB142" s="106">
        <f t="shared" si="9"/>
        <v>0</v>
      </c>
      <c r="AC142" s="94"/>
      <c r="AD142" s="94"/>
      <c r="AE142" s="94"/>
      <c r="AF142" s="94"/>
      <c r="AG142" s="94"/>
      <c r="AH142" s="263"/>
    </row>
    <row r="143" spans="1:34" ht="26.25" customHeight="1">
      <c r="A143" s="45"/>
      <c r="B143" s="121"/>
      <c r="C143" s="2"/>
      <c r="D143" s="2"/>
      <c r="E143" s="94">
        <v>4</v>
      </c>
      <c r="F143" s="74">
        <v>2100</v>
      </c>
      <c r="G143" s="45">
        <f t="shared" si="7"/>
        <v>8400</v>
      </c>
      <c r="H143" s="119" t="s">
        <v>37</v>
      </c>
      <c r="I143" s="128">
        <v>45358</v>
      </c>
      <c r="J143" s="74">
        <v>2100</v>
      </c>
      <c r="K143" s="74">
        <v>21</v>
      </c>
      <c r="L143" s="156">
        <v>45359</v>
      </c>
      <c r="M143" s="90">
        <v>8400</v>
      </c>
      <c r="N143" s="90">
        <v>84</v>
      </c>
      <c r="O143" s="90"/>
      <c r="P143" s="95" t="s">
        <v>1558</v>
      </c>
      <c r="Q143" s="94">
        <v>8500067745</v>
      </c>
      <c r="R143" s="94">
        <v>5000273328</v>
      </c>
      <c r="S143" s="94"/>
      <c r="T143" s="90" t="s">
        <v>87</v>
      </c>
      <c r="U143" s="90">
        <v>8500067744</v>
      </c>
      <c r="V143" s="90">
        <v>5000277830</v>
      </c>
      <c r="W143" s="109">
        <v>45390</v>
      </c>
      <c r="X143" s="106">
        <v>2100</v>
      </c>
      <c r="Y143" s="106">
        <v>8400</v>
      </c>
      <c r="Z143" s="106" t="s">
        <v>870</v>
      </c>
      <c r="AA143" s="106">
        <f t="shared" si="8"/>
        <v>0</v>
      </c>
      <c r="AB143" s="106">
        <f t="shared" si="9"/>
        <v>0</v>
      </c>
      <c r="AC143" s="94"/>
      <c r="AD143" s="94"/>
      <c r="AE143" s="94"/>
      <c r="AF143" s="94"/>
      <c r="AG143" s="94"/>
      <c r="AH143" s="263"/>
    </row>
    <row r="144" spans="1:34" ht="26.25" customHeight="1">
      <c r="A144" s="45"/>
      <c r="B144" s="121"/>
      <c r="C144" s="2"/>
      <c r="D144" s="2"/>
      <c r="E144" s="94">
        <v>4</v>
      </c>
      <c r="F144" s="74">
        <v>2800</v>
      </c>
      <c r="G144" s="45">
        <f t="shared" si="7"/>
        <v>11200</v>
      </c>
      <c r="H144" s="119" t="s">
        <v>146</v>
      </c>
      <c r="I144" s="128">
        <v>45358</v>
      </c>
      <c r="J144" s="74">
        <v>2800</v>
      </c>
      <c r="K144" s="74">
        <v>28</v>
      </c>
      <c r="L144" s="156">
        <v>45359</v>
      </c>
      <c r="M144" s="90">
        <v>11200</v>
      </c>
      <c r="N144" s="90">
        <v>112</v>
      </c>
      <c r="O144" s="90"/>
      <c r="P144" s="95" t="s">
        <v>1558</v>
      </c>
      <c r="Q144" s="94">
        <v>8500067745</v>
      </c>
      <c r="R144" s="94">
        <v>5000273328</v>
      </c>
      <c r="S144" s="94"/>
      <c r="T144" s="90" t="s">
        <v>87</v>
      </c>
      <c r="U144" s="90">
        <v>8500067744</v>
      </c>
      <c r="V144" s="90">
        <v>5000277830</v>
      </c>
      <c r="W144" s="109">
        <v>45393</v>
      </c>
      <c r="X144" s="106">
        <v>2800</v>
      </c>
      <c r="Y144" s="106">
        <v>11200</v>
      </c>
      <c r="Z144" s="106" t="s">
        <v>3325</v>
      </c>
      <c r="AA144" s="106">
        <f t="shared" si="8"/>
        <v>0</v>
      </c>
      <c r="AB144" s="106">
        <f t="shared" si="9"/>
        <v>0</v>
      </c>
      <c r="AC144" s="94"/>
      <c r="AD144" s="94"/>
      <c r="AE144" s="94"/>
      <c r="AF144" s="94"/>
      <c r="AG144" s="94"/>
      <c r="AH144" s="263"/>
    </row>
    <row r="145" spans="1:34" ht="26.25" customHeight="1">
      <c r="A145" s="45" t="s">
        <v>178</v>
      </c>
      <c r="B145" s="121">
        <v>6000028680</v>
      </c>
      <c r="C145" s="2" t="s">
        <v>842</v>
      </c>
      <c r="D145" s="2">
        <v>4924035005</v>
      </c>
      <c r="E145" s="94">
        <v>4</v>
      </c>
      <c r="F145" s="74">
        <v>1500</v>
      </c>
      <c r="G145" s="45">
        <f>F145*E145</f>
        <v>6000</v>
      </c>
      <c r="H145" s="119" t="s">
        <v>46</v>
      </c>
      <c r="I145" s="128">
        <v>45358</v>
      </c>
      <c r="J145" s="74">
        <v>1500</v>
      </c>
      <c r="K145" s="74">
        <v>15</v>
      </c>
      <c r="L145" s="156" t="s">
        <v>3121</v>
      </c>
      <c r="M145" s="90">
        <f>5500+500</f>
        <v>6000</v>
      </c>
      <c r="N145" s="90">
        <v>60</v>
      </c>
      <c r="O145" s="90" t="s">
        <v>3122</v>
      </c>
      <c r="P145" s="95" t="s">
        <v>1558</v>
      </c>
      <c r="Q145" s="94">
        <v>8500067743</v>
      </c>
      <c r="R145" s="94">
        <v>5000273329</v>
      </c>
      <c r="S145" s="94"/>
      <c r="T145" s="90" t="s">
        <v>87</v>
      </c>
      <c r="U145" s="90">
        <v>8500067742</v>
      </c>
      <c r="V145" s="90">
        <v>5000276430</v>
      </c>
      <c r="W145" s="109" t="s">
        <v>3276</v>
      </c>
      <c r="X145" s="106">
        <f>40+1460</f>
        <v>1500</v>
      </c>
      <c r="Y145" s="106">
        <f>1600+4400</f>
        <v>6000</v>
      </c>
      <c r="Z145" s="106" t="s">
        <v>2653</v>
      </c>
      <c r="AA145" s="106">
        <f t="shared" si="8"/>
        <v>0</v>
      </c>
      <c r="AB145" s="106">
        <f t="shared" si="9"/>
        <v>0</v>
      </c>
      <c r="AC145" s="94"/>
      <c r="AD145" s="94"/>
      <c r="AE145" s="94"/>
      <c r="AF145" s="94"/>
      <c r="AG145" s="94"/>
      <c r="AH145" s="263"/>
    </row>
    <row r="146" spans="1:34" ht="26.25" customHeight="1">
      <c r="A146" s="45"/>
      <c r="B146" s="121"/>
      <c r="C146" s="2"/>
      <c r="D146" s="2"/>
      <c r="E146" s="94">
        <v>4</v>
      </c>
      <c r="F146" s="74">
        <v>2100</v>
      </c>
      <c r="G146" s="45">
        <f>F146*E146</f>
        <v>8400</v>
      </c>
      <c r="H146" s="119" t="s">
        <v>37</v>
      </c>
      <c r="I146" s="128">
        <v>45358</v>
      </c>
      <c r="J146" s="74">
        <v>2100</v>
      </c>
      <c r="K146" s="74">
        <v>21</v>
      </c>
      <c r="L146" s="156">
        <v>45359</v>
      </c>
      <c r="M146" s="90">
        <v>8400</v>
      </c>
      <c r="N146" s="90">
        <v>84</v>
      </c>
      <c r="O146" s="90"/>
      <c r="P146" s="95" t="s">
        <v>1558</v>
      </c>
      <c r="Q146" s="94">
        <v>8500067743</v>
      </c>
      <c r="R146" s="94">
        <v>5000273329</v>
      </c>
      <c r="S146" s="94"/>
      <c r="T146" s="90" t="s">
        <v>87</v>
      </c>
      <c r="U146" s="90">
        <v>8500067742</v>
      </c>
      <c r="V146" s="90">
        <v>5000277825</v>
      </c>
      <c r="W146" s="109" t="s">
        <v>3262</v>
      </c>
      <c r="X146" s="106">
        <f>1000+650+450</f>
        <v>2100</v>
      </c>
      <c r="Y146" s="106">
        <f>4000+2600+1800</f>
        <v>8400</v>
      </c>
      <c r="Z146" s="114" t="s">
        <v>3263</v>
      </c>
      <c r="AA146" s="106">
        <f t="shared" si="8"/>
        <v>0</v>
      </c>
      <c r="AB146" s="106">
        <f t="shared" si="9"/>
        <v>0</v>
      </c>
      <c r="AC146" s="111" t="s">
        <v>3338</v>
      </c>
      <c r="AD146" s="94"/>
      <c r="AE146" s="94"/>
      <c r="AF146" s="94"/>
      <c r="AG146" s="94"/>
      <c r="AH146" s="263"/>
    </row>
    <row r="147" spans="1:34" ht="26.25" customHeight="1">
      <c r="A147" s="45"/>
      <c r="B147" s="121"/>
      <c r="C147" s="2"/>
      <c r="D147" s="2"/>
      <c r="E147" s="94">
        <v>4</v>
      </c>
      <c r="F147" s="74">
        <v>2800</v>
      </c>
      <c r="G147" s="45">
        <f>F147*E147</f>
        <v>11200</v>
      </c>
      <c r="H147" s="119" t="s">
        <v>146</v>
      </c>
      <c r="I147" s="128">
        <v>45358</v>
      </c>
      <c r="J147" s="74">
        <v>2800</v>
      </c>
      <c r="K147" s="74">
        <v>28</v>
      </c>
      <c r="L147" s="156">
        <v>45359</v>
      </c>
      <c r="M147" s="90">
        <v>11200</v>
      </c>
      <c r="N147" s="90">
        <v>112</v>
      </c>
      <c r="O147" s="90"/>
      <c r="P147" s="95" t="s">
        <v>1558</v>
      </c>
      <c r="Q147" s="94">
        <v>8500067743</v>
      </c>
      <c r="R147" s="94">
        <v>5000273329</v>
      </c>
      <c r="S147" s="94"/>
      <c r="T147" s="90" t="s">
        <v>87</v>
      </c>
      <c r="U147" s="90">
        <v>8500067742</v>
      </c>
      <c r="V147" s="90">
        <v>5000277825</v>
      </c>
      <c r="W147" s="109" t="s">
        <v>3262</v>
      </c>
      <c r="X147" s="106">
        <f>1000+1230+570</f>
        <v>2800</v>
      </c>
      <c r="Y147" s="106">
        <f>4000+4920+2280</f>
        <v>11200</v>
      </c>
      <c r="Z147" s="106" t="s">
        <v>3264</v>
      </c>
      <c r="AA147" s="106">
        <f t="shared" si="8"/>
        <v>0</v>
      </c>
      <c r="AB147" s="106">
        <f t="shared" si="9"/>
        <v>0</v>
      </c>
      <c r="AC147" s="94"/>
      <c r="AD147" s="94"/>
      <c r="AE147" s="94"/>
      <c r="AF147" s="94"/>
      <c r="AG147" s="94"/>
      <c r="AH147" s="263"/>
    </row>
    <row r="148" spans="1:34" ht="26.25" customHeight="1">
      <c r="A148" s="45" t="s">
        <v>178</v>
      </c>
      <c r="B148" s="121">
        <v>6000028681</v>
      </c>
      <c r="C148" s="2" t="s">
        <v>844</v>
      </c>
      <c r="D148" s="2">
        <v>4924035001</v>
      </c>
      <c r="E148" s="94">
        <v>4</v>
      </c>
      <c r="F148" s="74">
        <v>350</v>
      </c>
      <c r="G148" s="45">
        <f t="shared" si="7"/>
        <v>1400</v>
      </c>
      <c r="H148" s="119" t="s">
        <v>27</v>
      </c>
      <c r="I148" s="128">
        <v>45346</v>
      </c>
      <c r="J148" s="74">
        <v>350</v>
      </c>
      <c r="K148" s="74">
        <v>3</v>
      </c>
      <c r="L148" s="156">
        <v>45341</v>
      </c>
      <c r="M148" s="90">
        <v>1400</v>
      </c>
      <c r="N148" s="90">
        <v>5</v>
      </c>
      <c r="O148" s="90" t="s">
        <v>877</v>
      </c>
      <c r="P148" s="94" t="s">
        <v>1558</v>
      </c>
      <c r="Q148" s="94">
        <v>8500067749</v>
      </c>
      <c r="R148" s="94">
        <v>5000217588</v>
      </c>
      <c r="S148" s="94"/>
      <c r="T148" s="90" t="s">
        <v>152</v>
      </c>
      <c r="U148" s="90">
        <v>8500067761</v>
      </c>
      <c r="V148" s="90">
        <v>5000196885</v>
      </c>
      <c r="W148" s="109">
        <v>45385</v>
      </c>
      <c r="X148" s="106">
        <v>350</v>
      </c>
      <c r="Y148" s="106">
        <v>1400</v>
      </c>
      <c r="Z148" s="106" t="s">
        <v>800</v>
      </c>
      <c r="AA148" s="106">
        <f t="shared" si="8"/>
        <v>0</v>
      </c>
      <c r="AB148" s="106">
        <f t="shared" si="9"/>
        <v>0</v>
      </c>
      <c r="AC148" s="94" t="s">
        <v>3005</v>
      </c>
      <c r="AD148" s="94"/>
      <c r="AE148" s="94"/>
      <c r="AF148" s="94"/>
      <c r="AG148" s="94"/>
      <c r="AH148" s="263"/>
    </row>
    <row r="149" spans="1:34" ht="26.25" customHeight="1">
      <c r="A149" s="260"/>
      <c r="B149" s="264"/>
      <c r="C149" s="192"/>
      <c r="D149" s="322" t="s">
        <v>2873</v>
      </c>
      <c r="E149" s="94">
        <v>4</v>
      </c>
      <c r="F149" s="74">
        <v>200</v>
      </c>
      <c r="G149" s="45">
        <f t="shared" si="7"/>
        <v>800</v>
      </c>
      <c r="H149" s="119" t="s">
        <v>46</v>
      </c>
      <c r="I149" s="128">
        <v>45346</v>
      </c>
      <c r="J149" s="74">
        <v>200</v>
      </c>
      <c r="K149" s="74">
        <v>2</v>
      </c>
      <c r="L149" s="156">
        <v>45341</v>
      </c>
      <c r="M149" s="90">
        <v>800</v>
      </c>
      <c r="N149" s="90">
        <v>4</v>
      </c>
      <c r="O149" s="90" t="s">
        <v>1657</v>
      </c>
      <c r="P149" s="94" t="s">
        <v>1558</v>
      </c>
      <c r="Q149" s="94">
        <v>8500067749</v>
      </c>
      <c r="R149" s="94">
        <v>5000217588</v>
      </c>
      <c r="S149" s="94"/>
      <c r="T149" s="90" t="s">
        <v>152</v>
      </c>
      <c r="U149" s="90">
        <v>8500067761</v>
      </c>
      <c r="V149" s="90">
        <v>5000196885</v>
      </c>
      <c r="W149" s="109">
        <v>45385</v>
      </c>
      <c r="X149" s="106">
        <v>200</v>
      </c>
      <c r="Y149" s="106">
        <v>800</v>
      </c>
      <c r="Z149" s="106" t="s">
        <v>800</v>
      </c>
      <c r="AA149" s="106">
        <f t="shared" si="8"/>
        <v>0</v>
      </c>
      <c r="AB149" s="106">
        <f t="shared" si="9"/>
        <v>0</v>
      </c>
      <c r="AC149" s="94"/>
      <c r="AD149" s="94"/>
      <c r="AE149" s="94"/>
      <c r="AF149" s="94"/>
      <c r="AG149" s="94"/>
      <c r="AH149" s="263"/>
    </row>
    <row r="150" spans="1:34" ht="26.25" customHeight="1">
      <c r="A150" s="260"/>
      <c r="B150" s="264"/>
      <c r="C150" s="192"/>
      <c r="D150" s="192"/>
      <c r="E150" s="94">
        <v>4</v>
      </c>
      <c r="F150" s="74">
        <v>250</v>
      </c>
      <c r="G150" s="45">
        <f t="shared" si="7"/>
        <v>1000</v>
      </c>
      <c r="H150" s="119" t="s">
        <v>146</v>
      </c>
      <c r="I150" s="128">
        <v>45346</v>
      </c>
      <c r="J150" s="74">
        <v>250</v>
      </c>
      <c r="K150" s="74">
        <v>2</v>
      </c>
      <c r="L150" s="156">
        <v>45341</v>
      </c>
      <c r="M150" s="90">
        <v>1000</v>
      </c>
      <c r="N150" s="90">
        <v>7</v>
      </c>
      <c r="O150" s="90" t="s">
        <v>877</v>
      </c>
      <c r="P150" s="94" t="s">
        <v>1558</v>
      </c>
      <c r="Q150" s="94">
        <v>8500067749</v>
      </c>
      <c r="R150" s="94">
        <v>5000217588</v>
      </c>
      <c r="S150" s="94"/>
      <c r="T150" s="90" t="s">
        <v>152</v>
      </c>
      <c r="U150" s="90">
        <v>8500067761</v>
      </c>
      <c r="V150" s="90">
        <v>5000196885</v>
      </c>
      <c r="W150" s="109">
        <v>45371</v>
      </c>
      <c r="X150" s="106">
        <v>250</v>
      </c>
      <c r="Y150" s="106">
        <v>1000</v>
      </c>
      <c r="Z150" s="106" t="s">
        <v>800</v>
      </c>
      <c r="AA150" s="106">
        <f t="shared" si="8"/>
        <v>0</v>
      </c>
      <c r="AB150" s="106">
        <f t="shared" si="9"/>
        <v>0</v>
      </c>
      <c r="AC150" s="94" t="s">
        <v>3005</v>
      </c>
      <c r="AD150" s="94"/>
      <c r="AE150" s="94"/>
      <c r="AF150" s="94"/>
      <c r="AG150" s="94"/>
      <c r="AH150" s="263"/>
    </row>
    <row r="151" spans="1:34" ht="26.25" customHeight="1">
      <c r="A151" s="45" t="s">
        <v>178</v>
      </c>
      <c r="B151" s="121">
        <v>6000028681</v>
      </c>
      <c r="C151" s="2" t="s">
        <v>843</v>
      </c>
      <c r="D151" s="2">
        <v>4924035001</v>
      </c>
      <c r="E151" s="94">
        <v>4</v>
      </c>
      <c r="F151" s="74">
        <v>2000</v>
      </c>
      <c r="G151" s="45">
        <f t="shared" si="7"/>
        <v>8000</v>
      </c>
      <c r="H151" s="119" t="s">
        <v>46</v>
      </c>
      <c r="I151" s="128">
        <v>45346</v>
      </c>
      <c r="J151" s="74">
        <v>2000</v>
      </c>
      <c r="K151" s="74">
        <v>20</v>
      </c>
      <c r="L151" s="156">
        <v>45352</v>
      </c>
      <c r="M151" s="90">
        <v>8000</v>
      </c>
      <c r="N151" s="90">
        <v>80</v>
      </c>
      <c r="O151" s="90" t="s">
        <v>1791</v>
      </c>
      <c r="P151" s="94" t="s">
        <v>1558</v>
      </c>
      <c r="Q151" s="94">
        <v>8500067747</v>
      </c>
      <c r="R151" s="94">
        <v>5000217587</v>
      </c>
      <c r="S151" s="94"/>
      <c r="T151" s="90" t="s">
        <v>87</v>
      </c>
      <c r="U151" s="90">
        <v>8500067760</v>
      </c>
      <c r="V151" s="90">
        <v>5000248904</v>
      </c>
      <c r="W151" s="109">
        <v>45370</v>
      </c>
      <c r="X151" s="106">
        <v>2000</v>
      </c>
      <c r="Y151" s="106">
        <v>8000</v>
      </c>
      <c r="Z151" s="106" t="s">
        <v>2282</v>
      </c>
      <c r="AA151" s="106">
        <f t="shared" si="8"/>
        <v>0</v>
      </c>
      <c r="AB151" s="106">
        <f t="shared" si="9"/>
        <v>0</v>
      </c>
      <c r="AC151" s="94"/>
      <c r="AD151" s="94"/>
      <c r="AE151" s="94"/>
      <c r="AF151" s="94"/>
      <c r="AG151" s="94"/>
      <c r="AH151" s="263"/>
    </row>
    <row r="152" spans="1:34" ht="26.25" customHeight="1">
      <c r="A152" s="45"/>
      <c r="B152" s="121"/>
      <c r="C152" s="2"/>
      <c r="D152" s="2"/>
      <c r="E152" s="94">
        <v>4</v>
      </c>
      <c r="F152" s="74">
        <v>1500</v>
      </c>
      <c r="G152" s="45">
        <f t="shared" si="7"/>
        <v>6000</v>
      </c>
      <c r="H152" s="119" t="s">
        <v>37</v>
      </c>
      <c r="I152" s="128">
        <v>45346</v>
      </c>
      <c r="J152" s="74">
        <v>1500</v>
      </c>
      <c r="K152" s="74">
        <v>15</v>
      </c>
      <c r="L152" s="156">
        <v>45353</v>
      </c>
      <c r="M152" s="90">
        <v>6000</v>
      </c>
      <c r="N152" s="90">
        <v>60</v>
      </c>
      <c r="O152" s="90"/>
      <c r="P152" s="94" t="s">
        <v>1558</v>
      </c>
      <c r="Q152" s="94">
        <v>8500067747</v>
      </c>
      <c r="R152" s="94">
        <v>5000217587</v>
      </c>
      <c r="S152" s="94"/>
      <c r="T152" s="90" t="s">
        <v>87</v>
      </c>
      <c r="U152" s="90">
        <v>8500067760</v>
      </c>
      <c r="V152" s="90">
        <v>5000250756</v>
      </c>
      <c r="W152" s="109">
        <v>45370</v>
      </c>
      <c r="X152" s="106">
        <v>1500</v>
      </c>
      <c r="Y152" s="106">
        <v>6000</v>
      </c>
      <c r="Z152" s="106" t="s">
        <v>3162</v>
      </c>
      <c r="AA152" s="106">
        <f t="shared" si="8"/>
        <v>0</v>
      </c>
      <c r="AB152" s="106">
        <f t="shared" si="9"/>
        <v>0</v>
      </c>
      <c r="AC152" s="94"/>
      <c r="AD152" s="94"/>
      <c r="AE152" s="94"/>
      <c r="AF152" s="94"/>
      <c r="AG152" s="94"/>
      <c r="AH152" s="263"/>
    </row>
    <row r="153" spans="1:34" ht="26.25" customHeight="1">
      <c r="A153" s="45"/>
      <c r="B153" s="121"/>
      <c r="C153" s="2"/>
      <c r="D153" s="2"/>
      <c r="E153" s="94">
        <v>4</v>
      </c>
      <c r="F153" s="74">
        <v>1750</v>
      </c>
      <c r="G153" s="45">
        <f t="shared" si="7"/>
        <v>7000</v>
      </c>
      <c r="H153" s="119" t="s">
        <v>146</v>
      </c>
      <c r="I153" s="128">
        <v>45346</v>
      </c>
      <c r="J153" s="74">
        <v>1750</v>
      </c>
      <c r="K153" s="74">
        <v>17</v>
      </c>
      <c r="L153" s="156">
        <v>45352</v>
      </c>
      <c r="M153" s="90">
        <v>7000</v>
      </c>
      <c r="N153" s="90">
        <v>70</v>
      </c>
      <c r="O153" s="90" t="s">
        <v>1791</v>
      </c>
      <c r="P153" s="94" t="s">
        <v>1558</v>
      </c>
      <c r="Q153" s="94">
        <v>8500067747</v>
      </c>
      <c r="R153" s="94">
        <v>5000217587</v>
      </c>
      <c r="S153" s="94"/>
      <c r="T153" s="90" t="s">
        <v>87</v>
      </c>
      <c r="U153" s="90">
        <v>8500067760</v>
      </c>
      <c r="V153" s="90">
        <v>5000248904</v>
      </c>
      <c r="W153" s="109">
        <v>45376</v>
      </c>
      <c r="X153" s="106">
        <v>1750</v>
      </c>
      <c r="Y153" s="106">
        <v>7000</v>
      </c>
      <c r="Z153" s="106" t="s">
        <v>798</v>
      </c>
      <c r="AA153" s="106">
        <f t="shared" si="8"/>
        <v>0</v>
      </c>
      <c r="AB153" s="106">
        <f t="shared" si="9"/>
        <v>0</v>
      </c>
      <c r="AC153" s="94" t="s">
        <v>3341</v>
      </c>
      <c r="AD153" s="94"/>
      <c r="AE153" s="94"/>
      <c r="AF153" s="94"/>
      <c r="AG153" s="94"/>
      <c r="AH153" s="263"/>
    </row>
    <row r="154" spans="1:34" ht="28.5" customHeight="1">
      <c r="A154" s="45" t="s">
        <v>178</v>
      </c>
      <c r="B154" s="121">
        <v>6000028682</v>
      </c>
      <c r="C154" s="2" t="s">
        <v>843</v>
      </c>
      <c r="D154" s="2">
        <v>4924035002</v>
      </c>
      <c r="E154" s="94">
        <v>4</v>
      </c>
      <c r="F154" s="74">
        <v>2500</v>
      </c>
      <c r="G154" s="45">
        <f t="shared" si="7"/>
        <v>10000</v>
      </c>
      <c r="H154" s="119" t="s">
        <v>46</v>
      </c>
      <c r="I154" s="128">
        <v>45346</v>
      </c>
      <c r="J154" s="74">
        <v>2500</v>
      </c>
      <c r="K154" s="74">
        <v>25</v>
      </c>
      <c r="L154" s="156">
        <v>45352</v>
      </c>
      <c r="M154" s="90">
        <v>10000</v>
      </c>
      <c r="N154" s="90">
        <v>100</v>
      </c>
      <c r="O154" s="90"/>
      <c r="P154" s="94" t="s">
        <v>1558</v>
      </c>
      <c r="Q154" s="94">
        <v>8500067741</v>
      </c>
      <c r="R154" s="94">
        <v>5000217582</v>
      </c>
      <c r="S154" s="74">
        <v>2500</v>
      </c>
      <c r="T154" s="90" t="s">
        <v>87</v>
      </c>
      <c r="U154" s="90">
        <v>8500067740</v>
      </c>
      <c r="V154" s="90">
        <v>5000248908</v>
      </c>
      <c r="W154" s="109">
        <v>45379</v>
      </c>
      <c r="X154" s="106">
        <v>2500</v>
      </c>
      <c r="Y154" s="106">
        <v>10000</v>
      </c>
      <c r="Z154" s="106" t="s">
        <v>2282</v>
      </c>
      <c r="AA154" s="106">
        <f t="shared" si="8"/>
        <v>0</v>
      </c>
      <c r="AB154" s="106">
        <f t="shared" si="9"/>
        <v>0</v>
      </c>
      <c r="AC154" s="94"/>
      <c r="AD154" s="94"/>
      <c r="AE154" s="94"/>
      <c r="AF154" s="94"/>
      <c r="AG154" s="94"/>
      <c r="AH154" s="263"/>
    </row>
    <row r="155" spans="1:34" ht="26.25" customHeight="1">
      <c r="A155" s="45"/>
      <c r="B155" s="121"/>
      <c r="C155" s="2"/>
      <c r="D155" s="2"/>
      <c r="E155" s="94">
        <v>4</v>
      </c>
      <c r="F155" s="74">
        <v>1875</v>
      </c>
      <c r="G155" s="45">
        <f t="shared" si="7"/>
        <v>7500</v>
      </c>
      <c r="H155" s="119" t="s">
        <v>37</v>
      </c>
      <c r="I155" s="128">
        <v>45346</v>
      </c>
      <c r="J155" s="74">
        <v>1875</v>
      </c>
      <c r="K155" s="74">
        <v>18</v>
      </c>
      <c r="L155" s="156">
        <v>45353</v>
      </c>
      <c r="M155" s="90">
        <v>7500</v>
      </c>
      <c r="N155" s="90">
        <v>75</v>
      </c>
      <c r="O155" s="90"/>
      <c r="P155" s="94" t="s">
        <v>1558</v>
      </c>
      <c r="Q155" s="94">
        <v>8500067741</v>
      </c>
      <c r="R155" s="94">
        <v>5000217582</v>
      </c>
      <c r="S155" s="74">
        <v>1875</v>
      </c>
      <c r="T155" s="90" t="s">
        <v>87</v>
      </c>
      <c r="U155" s="90">
        <v>8500067740</v>
      </c>
      <c r="V155" s="90">
        <v>5000250743</v>
      </c>
      <c r="W155" s="109">
        <v>45378</v>
      </c>
      <c r="X155" s="106">
        <v>1875</v>
      </c>
      <c r="Y155" s="106">
        <v>7500</v>
      </c>
      <c r="Z155" s="106" t="s">
        <v>3162</v>
      </c>
      <c r="AA155" s="106">
        <f t="shared" si="8"/>
        <v>0</v>
      </c>
      <c r="AB155" s="106">
        <f t="shared" si="9"/>
        <v>0</v>
      </c>
      <c r="AC155" s="94"/>
      <c r="AD155" s="94"/>
      <c r="AE155" s="94"/>
      <c r="AF155" s="94"/>
      <c r="AG155" s="94"/>
      <c r="AH155" s="263"/>
    </row>
    <row r="156" spans="1:34" ht="26.25" customHeight="1">
      <c r="A156" s="45"/>
      <c r="B156" s="121"/>
      <c r="C156" s="2"/>
      <c r="D156" s="2"/>
      <c r="E156" s="94">
        <v>4</v>
      </c>
      <c r="F156" s="74">
        <v>2125</v>
      </c>
      <c r="G156" s="45">
        <f t="shared" si="7"/>
        <v>8500</v>
      </c>
      <c r="H156" s="119" t="s">
        <v>146</v>
      </c>
      <c r="I156" s="128">
        <v>45346</v>
      </c>
      <c r="J156" s="74">
        <v>2125</v>
      </c>
      <c r="K156" s="74">
        <v>21</v>
      </c>
      <c r="L156" s="156">
        <v>45353</v>
      </c>
      <c r="M156" s="90">
        <v>8500</v>
      </c>
      <c r="N156" s="90">
        <v>85</v>
      </c>
      <c r="O156" s="90"/>
      <c r="P156" s="94" t="s">
        <v>1558</v>
      </c>
      <c r="Q156" s="94">
        <v>8500067741</v>
      </c>
      <c r="R156" s="94">
        <v>5000217582</v>
      </c>
      <c r="S156" s="74">
        <v>2125</v>
      </c>
      <c r="T156" s="90" t="s">
        <v>87</v>
      </c>
      <c r="U156" s="90">
        <v>8500067740</v>
      </c>
      <c r="V156" s="90">
        <v>5000250743</v>
      </c>
      <c r="W156" s="109" t="s">
        <v>3249</v>
      </c>
      <c r="X156" s="106">
        <f>1000+1125</f>
        <v>2125</v>
      </c>
      <c r="Y156" s="106">
        <f>4000+4500</f>
        <v>8500</v>
      </c>
      <c r="Z156" s="106" t="s">
        <v>3250</v>
      </c>
      <c r="AA156" s="106">
        <f t="shared" si="8"/>
        <v>0</v>
      </c>
      <c r="AB156" s="106">
        <f t="shared" si="9"/>
        <v>0</v>
      </c>
      <c r="AC156" s="94"/>
      <c r="AD156" s="94"/>
      <c r="AE156" s="94"/>
      <c r="AF156" s="94"/>
      <c r="AG156" s="94"/>
      <c r="AH156" s="263"/>
    </row>
    <row r="157" spans="1:34" ht="26.25" customHeight="1">
      <c r="A157" s="45" t="s">
        <v>178</v>
      </c>
      <c r="B157" s="121">
        <v>6000028684</v>
      </c>
      <c r="C157" s="2" t="s">
        <v>842</v>
      </c>
      <c r="D157" s="2">
        <v>4924035003</v>
      </c>
      <c r="E157" s="94">
        <v>4</v>
      </c>
      <c r="F157" s="74">
        <v>1500</v>
      </c>
      <c r="G157" s="45">
        <f t="shared" si="7"/>
        <v>6000</v>
      </c>
      <c r="H157" s="119" t="s">
        <v>46</v>
      </c>
      <c r="I157" s="128">
        <v>45358</v>
      </c>
      <c r="J157" s="74">
        <v>1500</v>
      </c>
      <c r="K157" s="74">
        <v>15</v>
      </c>
      <c r="L157" s="156">
        <v>45358</v>
      </c>
      <c r="M157" s="90">
        <v>6000</v>
      </c>
      <c r="N157" s="90">
        <v>60</v>
      </c>
      <c r="O157" s="90"/>
      <c r="P157" s="94" t="s">
        <v>1558</v>
      </c>
      <c r="Q157" s="94">
        <v>8500067739</v>
      </c>
      <c r="R157" s="94">
        <v>5000273325</v>
      </c>
      <c r="S157" s="74">
        <v>1500</v>
      </c>
      <c r="T157" s="90" t="s">
        <v>87</v>
      </c>
      <c r="U157" s="90">
        <v>8500067738</v>
      </c>
      <c r="V157" s="90">
        <v>5000276415</v>
      </c>
      <c r="W157" s="109">
        <v>45387</v>
      </c>
      <c r="X157" s="106">
        <v>1500</v>
      </c>
      <c r="Y157" s="106">
        <v>6000</v>
      </c>
      <c r="Z157" s="106" t="s">
        <v>1460</v>
      </c>
      <c r="AA157" s="106">
        <f t="shared" si="8"/>
        <v>0</v>
      </c>
      <c r="AB157" s="106">
        <f t="shared" si="9"/>
        <v>0</v>
      </c>
      <c r="AC157" s="94"/>
      <c r="AD157" s="94"/>
      <c r="AE157" s="94"/>
      <c r="AF157" s="94"/>
      <c r="AG157" s="94"/>
      <c r="AH157" s="263"/>
    </row>
    <row r="158" spans="1:34" ht="26.25" customHeight="1">
      <c r="A158" s="45"/>
      <c r="B158" s="121"/>
      <c r="C158" s="2"/>
      <c r="D158" s="2"/>
      <c r="E158" s="94">
        <v>4</v>
      </c>
      <c r="F158" s="74">
        <v>2100</v>
      </c>
      <c r="G158" s="45">
        <f t="shared" si="7"/>
        <v>8400</v>
      </c>
      <c r="H158" s="119" t="s">
        <v>37</v>
      </c>
      <c r="I158" s="128">
        <v>45358</v>
      </c>
      <c r="J158" s="74">
        <v>2100</v>
      </c>
      <c r="K158" s="74">
        <v>21</v>
      </c>
      <c r="L158" s="156">
        <v>45359</v>
      </c>
      <c r="M158" s="90">
        <v>8400</v>
      </c>
      <c r="N158" s="90">
        <v>84</v>
      </c>
      <c r="O158" s="90"/>
      <c r="P158" s="94" t="s">
        <v>1558</v>
      </c>
      <c r="Q158" s="94">
        <v>8500067739</v>
      </c>
      <c r="R158" s="94">
        <v>5000273325</v>
      </c>
      <c r="S158" s="74">
        <v>2100</v>
      </c>
      <c r="T158" s="90" t="s">
        <v>87</v>
      </c>
      <c r="U158" s="90">
        <v>8500067738</v>
      </c>
      <c r="V158" s="90">
        <v>5000278102</v>
      </c>
      <c r="W158" s="109">
        <v>45379</v>
      </c>
      <c r="X158" s="106">
        <v>2100</v>
      </c>
      <c r="Y158" s="106">
        <v>8400</v>
      </c>
      <c r="Z158" s="106" t="s">
        <v>870</v>
      </c>
      <c r="AA158" s="106">
        <f t="shared" si="8"/>
        <v>0</v>
      </c>
      <c r="AB158" s="106">
        <f t="shared" si="9"/>
        <v>0</v>
      </c>
      <c r="AC158" s="94"/>
      <c r="AD158" s="94"/>
      <c r="AE158" s="94"/>
      <c r="AF158" s="94"/>
      <c r="AG158" s="94"/>
      <c r="AH158" s="263"/>
    </row>
    <row r="159" spans="1:34" ht="26.25" customHeight="1">
      <c r="A159" s="45"/>
      <c r="B159" s="121"/>
      <c r="C159" s="2"/>
      <c r="D159" s="2"/>
      <c r="E159" s="94">
        <v>4</v>
      </c>
      <c r="F159" s="74">
        <v>2800</v>
      </c>
      <c r="G159" s="45">
        <f t="shared" si="7"/>
        <v>11200</v>
      </c>
      <c r="H159" s="119" t="s">
        <v>146</v>
      </c>
      <c r="I159" s="128">
        <v>45358</v>
      </c>
      <c r="J159" s="74">
        <v>2800</v>
      </c>
      <c r="K159" s="74">
        <v>28</v>
      </c>
      <c r="L159" s="156">
        <v>45359</v>
      </c>
      <c r="M159" s="90">
        <v>11200</v>
      </c>
      <c r="N159" s="90">
        <v>112</v>
      </c>
      <c r="O159" s="90"/>
      <c r="P159" s="94" t="s">
        <v>1558</v>
      </c>
      <c r="Q159" s="94">
        <v>8500067739</v>
      </c>
      <c r="R159" s="94">
        <v>5000273325</v>
      </c>
      <c r="S159" s="74">
        <v>2800</v>
      </c>
      <c r="T159" s="90" t="s">
        <v>87</v>
      </c>
      <c r="U159" s="90">
        <v>8500067738</v>
      </c>
      <c r="V159" s="90">
        <v>5000278102</v>
      </c>
      <c r="W159" s="109">
        <v>45379</v>
      </c>
      <c r="X159" s="106">
        <v>2800</v>
      </c>
      <c r="Y159" s="106">
        <v>11200</v>
      </c>
      <c r="Z159" s="106" t="s">
        <v>1609</v>
      </c>
      <c r="AA159" s="106">
        <f t="shared" si="8"/>
        <v>0</v>
      </c>
      <c r="AB159" s="106">
        <f t="shared" si="9"/>
        <v>0</v>
      </c>
      <c r="AC159" s="94" t="s">
        <v>3334</v>
      </c>
      <c r="AD159" s="94"/>
      <c r="AE159" s="94"/>
      <c r="AF159" s="94"/>
      <c r="AG159" s="94"/>
      <c r="AH159" s="263"/>
    </row>
    <row r="160" spans="1:34" ht="26.25" customHeight="1">
      <c r="A160" s="45" t="s">
        <v>645</v>
      </c>
      <c r="B160" s="121">
        <v>6000028583</v>
      </c>
      <c r="C160" s="2" t="s">
        <v>1333</v>
      </c>
      <c r="D160" s="2" t="s">
        <v>2874</v>
      </c>
      <c r="E160" s="94">
        <v>10</v>
      </c>
      <c r="F160" s="74">
        <v>300</v>
      </c>
      <c r="G160" s="45">
        <f t="shared" si="7"/>
        <v>3000</v>
      </c>
      <c r="H160" s="119" t="s">
        <v>27</v>
      </c>
      <c r="I160" s="128">
        <v>45356</v>
      </c>
      <c r="J160" s="74">
        <v>300</v>
      </c>
      <c r="K160" s="74">
        <v>5</v>
      </c>
      <c r="L160" s="156">
        <v>45348</v>
      </c>
      <c r="M160" s="90">
        <v>3000</v>
      </c>
      <c r="N160" s="90">
        <v>30</v>
      </c>
      <c r="O160" s="90" t="s">
        <v>1547</v>
      </c>
      <c r="P160" s="94" t="s">
        <v>160</v>
      </c>
      <c r="Q160" s="94">
        <v>8500067533</v>
      </c>
      <c r="R160" s="94">
        <v>5000264043</v>
      </c>
      <c r="S160" s="74">
        <v>300</v>
      </c>
      <c r="T160" s="90" t="s">
        <v>1557</v>
      </c>
      <c r="U160" s="90">
        <v>8500067531</v>
      </c>
      <c r="V160" s="90">
        <v>5000227336</v>
      </c>
      <c r="W160" s="109">
        <v>45378</v>
      </c>
      <c r="X160" s="106">
        <v>300</v>
      </c>
      <c r="Y160" s="106">
        <v>3000</v>
      </c>
      <c r="Z160" s="106" t="s">
        <v>1513</v>
      </c>
      <c r="AA160" s="106">
        <f t="shared" si="8"/>
        <v>0</v>
      </c>
      <c r="AB160" s="106">
        <f t="shared" si="9"/>
        <v>0</v>
      </c>
      <c r="AC160" s="94"/>
      <c r="AD160" s="94"/>
      <c r="AE160" s="94"/>
      <c r="AF160" s="94"/>
      <c r="AG160" s="94"/>
      <c r="AH160" s="263"/>
    </row>
    <row r="161" spans="1:34" ht="26.25" customHeight="1">
      <c r="A161" s="260"/>
      <c r="B161" s="264"/>
      <c r="C161" s="192"/>
      <c r="D161" s="192"/>
      <c r="E161" s="94">
        <v>10</v>
      </c>
      <c r="F161" s="74">
        <v>400</v>
      </c>
      <c r="G161" s="45">
        <f t="shared" si="7"/>
        <v>4000</v>
      </c>
      <c r="H161" s="119" t="s">
        <v>46</v>
      </c>
      <c r="I161" s="128">
        <v>45356</v>
      </c>
      <c r="J161" s="74">
        <v>400</v>
      </c>
      <c r="K161" s="74">
        <f>6+4</f>
        <v>10</v>
      </c>
      <c r="L161" s="156">
        <v>45348</v>
      </c>
      <c r="M161" s="90">
        <v>4000</v>
      </c>
      <c r="N161" s="90">
        <v>40</v>
      </c>
      <c r="O161" s="90" t="s">
        <v>1548</v>
      </c>
      <c r="P161" s="94" t="s">
        <v>160</v>
      </c>
      <c r="Q161" s="94">
        <v>8500067533</v>
      </c>
      <c r="R161" s="94">
        <v>5000264043</v>
      </c>
      <c r="S161" s="74">
        <v>400</v>
      </c>
      <c r="T161" s="90" t="s">
        <v>1557</v>
      </c>
      <c r="U161" s="90">
        <v>8500067531</v>
      </c>
      <c r="V161" s="90">
        <v>5000227336</v>
      </c>
      <c r="W161" s="109">
        <v>45377</v>
      </c>
      <c r="X161" s="106">
        <v>400</v>
      </c>
      <c r="Y161" s="106">
        <v>4000</v>
      </c>
      <c r="Z161" s="106" t="s">
        <v>1460</v>
      </c>
      <c r="AA161" s="106">
        <f t="shared" si="8"/>
        <v>0</v>
      </c>
      <c r="AB161" s="106">
        <f t="shared" si="9"/>
        <v>0</v>
      </c>
      <c r="AC161" s="94"/>
      <c r="AD161" s="94"/>
      <c r="AE161" s="94"/>
      <c r="AF161" s="94"/>
      <c r="AG161" s="94"/>
      <c r="AH161" s="263"/>
    </row>
    <row r="162" spans="1:34" ht="30.75" customHeight="1">
      <c r="A162" s="260"/>
      <c r="B162" s="264"/>
      <c r="C162" s="192"/>
      <c r="D162" s="192"/>
      <c r="E162" s="94">
        <v>10</v>
      </c>
      <c r="F162" s="74">
        <v>700</v>
      </c>
      <c r="G162" s="45">
        <f t="shared" si="7"/>
        <v>7000</v>
      </c>
      <c r="H162" s="119" t="s">
        <v>37</v>
      </c>
      <c r="I162" s="128">
        <v>45356</v>
      </c>
      <c r="J162" s="74">
        <v>700</v>
      </c>
      <c r="K162" s="158">
        <f>10+10</f>
        <v>20</v>
      </c>
      <c r="L162" s="156">
        <v>45348</v>
      </c>
      <c r="M162" s="90">
        <v>7000</v>
      </c>
      <c r="N162" s="90">
        <v>70</v>
      </c>
      <c r="O162" s="90" t="s">
        <v>1679</v>
      </c>
      <c r="P162" s="94" t="s">
        <v>160</v>
      </c>
      <c r="Q162" s="94">
        <v>8500067533</v>
      </c>
      <c r="R162" s="94">
        <v>5000264043</v>
      </c>
      <c r="S162" s="74">
        <v>700</v>
      </c>
      <c r="T162" s="90" t="s">
        <v>1557</v>
      </c>
      <c r="U162" s="90">
        <v>8500067531</v>
      </c>
      <c r="V162" s="90">
        <v>5000227336</v>
      </c>
      <c r="W162" s="109">
        <v>45356</v>
      </c>
      <c r="X162" s="106">
        <v>700</v>
      </c>
      <c r="Y162" s="106">
        <v>7000</v>
      </c>
      <c r="Z162" s="106" t="s">
        <v>870</v>
      </c>
      <c r="AA162" s="106">
        <f t="shared" si="8"/>
        <v>0</v>
      </c>
      <c r="AB162" s="106">
        <f t="shared" si="9"/>
        <v>0</v>
      </c>
      <c r="AC162" s="94"/>
      <c r="AD162" s="94"/>
      <c r="AE162" s="94"/>
      <c r="AF162" s="94"/>
      <c r="AG162" s="94"/>
      <c r="AH162" s="263"/>
    </row>
    <row r="163" spans="1:34" ht="26.25" customHeight="1">
      <c r="A163" s="260"/>
      <c r="B163" s="264"/>
      <c r="C163" s="192"/>
      <c r="D163" s="192"/>
      <c r="E163" s="94">
        <v>10</v>
      </c>
      <c r="F163" s="74">
        <v>200</v>
      </c>
      <c r="G163" s="45">
        <f t="shared" si="7"/>
        <v>2000</v>
      </c>
      <c r="H163" s="119" t="s">
        <v>146</v>
      </c>
      <c r="I163" s="128">
        <v>45357</v>
      </c>
      <c r="J163" s="74">
        <v>200</v>
      </c>
      <c r="K163" s="74">
        <f>4+2</f>
        <v>6</v>
      </c>
      <c r="L163" s="156">
        <v>45348</v>
      </c>
      <c r="M163" s="90">
        <v>2000</v>
      </c>
      <c r="N163" s="90">
        <v>20</v>
      </c>
      <c r="O163" s="90" t="s">
        <v>1846</v>
      </c>
      <c r="P163" s="94" t="s">
        <v>160</v>
      </c>
      <c r="Q163" s="94">
        <v>8500067533</v>
      </c>
      <c r="R163" s="94">
        <v>5000268403</v>
      </c>
      <c r="S163" s="74">
        <v>200</v>
      </c>
      <c r="T163" s="90" t="s">
        <v>1557</v>
      </c>
      <c r="U163" s="90">
        <v>8500067531</v>
      </c>
      <c r="V163" s="90">
        <v>5000227336</v>
      </c>
      <c r="W163" s="109">
        <v>45357</v>
      </c>
      <c r="X163" s="106">
        <v>200</v>
      </c>
      <c r="Y163" s="106">
        <v>2000</v>
      </c>
      <c r="Z163" s="106" t="s">
        <v>1609</v>
      </c>
      <c r="AA163" s="106">
        <f t="shared" si="8"/>
        <v>0</v>
      </c>
      <c r="AB163" s="106">
        <f t="shared" si="9"/>
        <v>0</v>
      </c>
      <c r="AC163" s="94"/>
      <c r="AD163" s="94"/>
      <c r="AE163" s="94"/>
      <c r="AF163" s="94"/>
      <c r="AG163" s="94"/>
      <c r="AH163" s="263"/>
    </row>
    <row r="164" spans="1:34" ht="26.25" customHeight="1">
      <c r="A164" s="45" t="s">
        <v>707</v>
      </c>
      <c r="B164" s="121">
        <v>2000001293</v>
      </c>
      <c r="C164" s="2" t="s">
        <v>2614</v>
      </c>
      <c r="D164" s="2" t="s">
        <v>2875</v>
      </c>
      <c r="E164" s="94">
        <v>10</v>
      </c>
      <c r="F164" s="74">
        <v>500</v>
      </c>
      <c r="G164" s="45">
        <f t="shared" si="7"/>
        <v>5000</v>
      </c>
      <c r="H164" s="119" t="s">
        <v>146</v>
      </c>
      <c r="I164" s="128">
        <v>45365</v>
      </c>
      <c r="J164" s="74">
        <v>500</v>
      </c>
      <c r="K164" s="74">
        <v>7</v>
      </c>
      <c r="L164" s="156">
        <v>45359</v>
      </c>
      <c r="M164" s="90">
        <v>5000</v>
      </c>
      <c r="N164" s="90" t="s">
        <v>3104</v>
      </c>
      <c r="O164" s="90"/>
      <c r="P164" s="94" t="s">
        <v>160</v>
      </c>
      <c r="Q164" s="94">
        <v>8500068915</v>
      </c>
      <c r="R164" s="94">
        <v>5000308417</v>
      </c>
      <c r="S164" s="74">
        <v>500</v>
      </c>
      <c r="T164" s="90" t="s">
        <v>924</v>
      </c>
      <c r="U164" s="90">
        <v>8500068916</v>
      </c>
      <c r="V164" s="90">
        <v>5000281031</v>
      </c>
      <c r="W164" s="109">
        <v>45365</v>
      </c>
      <c r="X164" s="106">
        <v>500</v>
      </c>
      <c r="Y164" s="106">
        <v>5000</v>
      </c>
      <c r="Z164" s="106" t="s">
        <v>800</v>
      </c>
      <c r="AA164" s="106">
        <f t="shared" si="8"/>
        <v>0</v>
      </c>
      <c r="AB164" s="106">
        <f t="shared" si="9"/>
        <v>0</v>
      </c>
      <c r="AC164" s="94"/>
      <c r="AD164" s="94"/>
      <c r="AE164" s="94"/>
      <c r="AF164" s="94"/>
      <c r="AG164" s="94"/>
      <c r="AH164" s="263"/>
    </row>
    <row r="165" spans="1:34" ht="26.25" customHeight="1">
      <c r="A165" s="45" t="s">
        <v>707</v>
      </c>
      <c r="B165" s="121">
        <v>2000001293</v>
      </c>
      <c r="C165" s="2" t="s">
        <v>2614</v>
      </c>
      <c r="D165" s="2" t="s">
        <v>244</v>
      </c>
      <c r="E165" s="94">
        <v>10</v>
      </c>
      <c r="F165" s="74">
        <v>208</v>
      </c>
      <c r="G165" s="45">
        <f t="shared" si="7"/>
        <v>2080</v>
      </c>
      <c r="H165" s="119" t="s">
        <v>146</v>
      </c>
      <c r="I165" s="128">
        <v>45365</v>
      </c>
      <c r="J165" s="74">
        <v>208</v>
      </c>
      <c r="K165" s="74">
        <f>4+4</f>
        <v>8</v>
      </c>
      <c r="L165" s="156" t="s">
        <v>3105</v>
      </c>
      <c r="M165" s="90">
        <f>2000+80</f>
        <v>2080</v>
      </c>
      <c r="N165" s="90" t="s">
        <v>1744</v>
      </c>
      <c r="O165" s="90"/>
      <c r="P165" s="94" t="s">
        <v>160</v>
      </c>
      <c r="Q165" s="94">
        <v>8500068917</v>
      </c>
      <c r="R165" s="94">
        <v>5000308418</v>
      </c>
      <c r="S165" s="74">
        <v>208</v>
      </c>
      <c r="T165" s="90" t="s">
        <v>924</v>
      </c>
      <c r="U165" s="90">
        <v>8500068918</v>
      </c>
      <c r="V165" s="90">
        <v>5000281068</v>
      </c>
      <c r="W165" s="109">
        <v>45387</v>
      </c>
      <c r="X165" s="106">
        <v>208</v>
      </c>
      <c r="Y165" s="106">
        <v>2080</v>
      </c>
      <c r="Z165" s="106" t="s">
        <v>3232</v>
      </c>
      <c r="AA165" s="106">
        <f t="shared" si="8"/>
        <v>0</v>
      </c>
      <c r="AB165" s="106">
        <f t="shared" si="9"/>
        <v>0</v>
      </c>
      <c r="AC165" s="94"/>
      <c r="AD165" s="94"/>
      <c r="AE165" s="94"/>
      <c r="AF165" s="94"/>
      <c r="AG165" s="94"/>
      <c r="AH165" s="263"/>
    </row>
    <row r="166" spans="1:34" ht="26.25" customHeight="1">
      <c r="A166" s="45" t="s">
        <v>720</v>
      </c>
      <c r="B166" s="121">
        <v>2000001277</v>
      </c>
      <c r="C166" s="2" t="s">
        <v>2876</v>
      </c>
      <c r="D166" s="2">
        <v>2000001277</v>
      </c>
      <c r="E166" s="94">
        <v>10</v>
      </c>
      <c r="F166" s="74">
        <v>300</v>
      </c>
      <c r="G166" s="45">
        <f t="shared" si="7"/>
        <v>3000</v>
      </c>
      <c r="H166" s="119" t="s">
        <v>27</v>
      </c>
      <c r="I166" s="128">
        <v>45369</v>
      </c>
      <c r="J166" s="74">
        <v>300</v>
      </c>
      <c r="K166" s="158">
        <f>3+1</f>
        <v>4</v>
      </c>
      <c r="L166" s="156">
        <v>45369</v>
      </c>
      <c r="M166" s="90">
        <v>3000</v>
      </c>
      <c r="N166" s="90">
        <v>30</v>
      </c>
      <c r="O166" s="90" t="s">
        <v>3153</v>
      </c>
      <c r="P166" s="94" t="s">
        <v>28</v>
      </c>
      <c r="Q166" s="94">
        <v>8500069698</v>
      </c>
      <c r="R166" s="94">
        <v>5000327518</v>
      </c>
      <c r="S166" s="74">
        <v>300</v>
      </c>
      <c r="T166" s="90" t="s">
        <v>1557</v>
      </c>
      <c r="U166" s="90">
        <v>8500069697</v>
      </c>
      <c r="V166" s="90">
        <v>5000323413</v>
      </c>
      <c r="W166" s="109">
        <v>45371</v>
      </c>
      <c r="X166" s="106">
        <v>300</v>
      </c>
      <c r="Y166" s="106">
        <v>3000</v>
      </c>
      <c r="Z166" s="106" t="s">
        <v>800</v>
      </c>
      <c r="AA166" s="106">
        <f t="shared" si="8"/>
        <v>0</v>
      </c>
      <c r="AB166" s="106">
        <f t="shared" si="9"/>
        <v>0</v>
      </c>
      <c r="AC166" s="94"/>
      <c r="AD166" s="94"/>
      <c r="AE166" s="94"/>
      <c r="AF166" s="94"/>
      <c r="AG166" s="94"/>
      <c r="AH166" s="263"/>
    </row>
    <row r="167" spans="1:34" ht="26.25" customHeight="1">
      <c r="A167" s="45"/>
      <c r="B167" s="121"/>
      <c r="C167" s="2"/>
      <c r="D167" s="2"/>
      <c r="E167" s="94">
        <v>10</v>
      </c>
      <c r="F167" s="74">
        <v>300</v>
      </c>
      <c r="G167" s="45">
        <f t="shared" si="7"/>
        <v>3000</v>
      </c>
      <c r="H167" s="119" t="s">
        <v>46</v>
      </c>
      <c r="I167" s="128">
        <v>45369</v>
      </c>
      <c r="J167" s="74">
        <v>300</v>
      </c>
      <c r="K167" s="74">
        <v>1</v>
      </c>
      <c r="L167" s="156">
        <v>45369</v>
      </c>
      <c r="M167" s="90">
        <v>3000</v>
      </c>
      <c r="N167" s="90">
        <v>30</v>
      </c>
      <c r="O167" s="90" t="s">
        <v>1846</v>
      </c>
      <c r="P167" s="94" t="s">
        <v>28</v>
      </c>
      <c r="Q167" s="94">
        <v>8500069698</v>
      </c>
      <c r="R167" s="94">
        <v>5000327518</v>
      </c>
      <c r="S167" s="74">
        <v>300</v>
      </c>
      <c r="T167" s="90" t="s">
        <v>1557</v>
      </c>
      <c r="U167" s="90">
        <v>8500069697</v>
      </c>
      <c r="V167" s="90">
        <v>5000323413</v>
      </c>
      <c r="W167" s="109">
        <v>45371</v>
      </c>
      <c r="X167" s="106">
        <v>300</v>
      </c>
      <c r="Y167" s="106">
        <v>3000</v>
      </c>
      <c r="Z167" s="106" t="s">
        <v>800</v>
      </c>
      <c r="AA167" s="106">
        <f t="shared" si="8"/>
        <v>0</v>
      </c>
      <c r="AB167" s="106">
        <f t="shared" si="9"/>
        <v>0</v>
      </c>
      <c r="AC167" s="94"/>
      <c r="AD167" s="94"/>
      <c r="AE167" s="94"/>
      <c r="AF167" s="94"/>
      <c r="AG167" s="94"/>
      <c r="AH167" s="263"/>
    </row>
    <row r="168" spans="1:34" ht="27" customHeight="1">
      <c r="A168" s="45" t="s">
        <v>720</v>
      </c>
      <c r="B168" s="121">
        <v>2000001277</v>
      </c>
      <c r="C168" s="2" t="s">
        <v>2876</v>
      </c>
      <c r="D168" s="192" t="s">
        <v>244</v>
      </c>
      <c r="E168" s="94">
        <v>10</v>
      </c>
      <c r="F168" s="74">
        <v>236</v>
      </c>
      <c r="G168" s="45">
        <f t="shared" si="7"/>
        <v>2360</v>
      </c>
      <c r="H168" s="119" t="s">
        <v>46</v>
      </c>
      <c r="I168" s="128">
        <v>45369</v>
      </c>
      <c r="J168" s="74">
        <v>236</v>
      </c>
      <c r="K168" s="74">
        <v>2</v>
      </c>
      <c r="L168" s="156">
        <v>45369</v>
      </c>
      <c r="M168" s="90">
        <v>2360</v>
      </c>
      <c r="N168" s="90">
        <v>24</v>
      </c>
      <c r="O168" s="90" t="s">
        <v>898</v>
      </c>
      <c r="P168" s="94" t="s">
        <v>28</v>
      </c>
      <c r="Q168" s="94">
        <v>8500069700</v>
      </c>
      <c r="R168" s="94">
        <v>5000327531</v>
      </c>
      <c r="S168" s="74">
        <v>236</v>
      </c>
      <c r="T168" s="90" t="s">
        <v>1557</v>
      </c>
      <c r="U168" s="90">
        <v>8500069699</v>
      </c>
      <c r="V168" s="90">
        <v>5000323415</v>
      </c>
      <c r="W168" s="109" t="s">
        <v>3183</v>
      </c>
      <c r="X168" s="106">
        <f>50+186-20</f>
        <v>216</v>
      </c>
      <c r="Y168" s="106">
        <f>500+1860-200</f>
        <v>2160</v>
      </c>
      <c r="Z168" s="106" t="s">
        <v>1785</v>
      </c>
      <c r="AA168" s="106">
        <f t="shared" si="8"/>
        <v>20</v>
      </c>
      <c r="AB168" s="106">
        <f t="shared" si="9"/>
        <v>200</v>
      </c>
      <c r="AC168" s="94" t="s">
        <v>3218</v>
      </c>
      <c r="AD168" s="94"/>
      <c r="AE168" s="94"/>
      <c r="AF168" s="94"/>
      <c r="AG168" s="94"/>
      <c r="AH168" s="263"/>
    </row>
    <row r="169" spans="1:34" ht="26.25" customHeight="1">
      <c r="A169" s="260"/>
      <c r="B169" s="264"/>
      <c r="C169" s="192"/>
      <c r="D169" s="192"/>
      <c r="E169" s="94">
        <v>10</v>
      </c>
      <c r="F169" s="74">
        <v>10</v>
      </c>
      <c r="G169" s="45">
        <f t="shared" si="7"/>
        <v>100</v>
      </c>
      <c r="H169" s="119" t="s">
        <v>37</v>
      </c>
      <c r="I169" s="128">
        <v>45369</v>
      </c>
      <c r="J169" s="74">
        <v>10</v>
      </c>
      <c r="K169" s="74">
        <v>2</v>
      </c>
      <c r="L169" s="156">
        <v>45369</v>
      </c>
      <c r="M169" s="90">
        <v>100</v>
      </c>
      <c r="N169" s="90">
        <v>1</v>
      </c>
      <c r="O169" s="90" t="s">
        <v>1746</v>
      </c>
      <c r="P169" s="94" t="s">
        <v>28</v>
      </c>
      <c r="Q169" s="94">
        <v>8500069700</v>
      </c>
      <c r="R169" s="94">
        <v>5000327531</v>
      </c>
      <c r="S169" s="74">
        <v>10</v>
      </c>
      <c r="T169" s="90" t="s">
        <v>1557</v>
      </c>
      <c r="U169" s="90">
        <v>8500069699</v>
      </c>
      <c r="V169" s="90">
        <v>5000323415</v>
      </c>
      <c r="W169" s="109">
        <v>45378</v>
      </c>
      <c r="X169" s="106">
        <v>10</v>
      </c>
      <c r="Y169" s="106">
        <v>100</v>
      </c>
      <c r="Z169" s="106" t="s">
        <v>800</v>
      </c>
      <c r="AA169" s="106">
        <f t="shared" si="8"/>
        <v>0</v>
      </c>
      <c r="AB169" s="106">
        <f t="shared" si="9"/>
        <v>0</v>
      </c>
      <c r="AC169" s="94"/>
      <c r="AD169" s="94"/>
      <c r="AE169" s="94"/>
      <c r="AF169" s="94"/>
      <c r="AG169" s="94"/>
      <c r="AH169" s="263"/>
    </row>
    <row r="170" spans="1:34" ht="26.25" customHeight="1">
      <c r="A170" s="260"/>
      <c r="B170" s="264"/>
      <c r="C170" s="192"/>
      <c r="D170" s="192"/>
      <c r="E170" s="94">
        <v>10</v>
      </c>
      <c r="F170" s="74">
        <v>40</v>
      </c>
      <c r="G170" s="45">
        <f t="shared" si="7"/>
        <v>400</v>
      </c>
      <c r="H170" s="119" t="s">
        <v>243</v>
      </c>
      <c r="I170" s="128">
        <v>45378</v>
      </c>
      <c r="J170" s="74">
        <v>40</v>
      </c>
      <c r="K170" s="74">
        <v>10</v>
      </c>
      <c r="L170" s="156">
        <v>45378</v>
      </c>
      <c r="M170" s="90">
        <v>400</v>
      </c>
      <c r="N170" s="90">
        <v>4</v>
      </c>
      <c r="O170" s="90" t="s">
        <v>1699</v>
      </c>
      <c r="P170" s="94" t="s">
        <v>28</v>
      </c>
      <c r="Q170" s="94">
        <v>8500069698</v>
      </c>
      <c r="R170" s="94">
        <v>5000365855</v>
      </c>
      <c r="S170" s="74"/>
      <c r="T170" s="90" t="s">
        <v>1557</v>
      </c>
      <c r="U170" s="90">
        <v>8500069792</v>
      </c>
      <c r="V170" s="90">
        <v>5000365957</v>
      </c>
      <c r="W170" s="109">
        <v>45380</v>
      </c>
      <c r="X170" s="106">
        <v>40</v>
      </c>
      <c r="Y170" s="106">
        <v>400</v>
      </c>
      <c r="Z170" s="106" t="s">
        <v>800</v>
      </c>
      <c r="AA170" s="106">
        <f t="shared" si="8"/>
        <v>0</v>
      </c>
      <c r="AB170" s="106">
        <f t="shared" si="9"/>
        <v>0</v>
      </c>
      <c r="AC170" s="357"/>
      <c r="AD170" s="94"/>
      <c r="AE170" s="94"/>
      <c r="AF170" s="94"/>
      <c r="AG170" s="94"/>
      <c r="AH170" s="263"/>
    </row>
    <row r="171" spans="1:34" ht="26.25" customHeight="1">
      <c r="A171" s="219" t="s">
        <v>720</v>
      </c>
      <c r="B171" s="251">
        <v>2000001285</v>
      </c>
      <c r="C171" s="245" t="s">
        <v>1524</v>
      </c>
      <c r="D171" s="245">
        <v>2000001285</v>
      </c>
      <c r="E171" s="253">
        <v>10</v>
      </c>
      <c r="F171" s="218">
        <v>100</v>
      </c>
      <c r="G171" s="219">
        <f t="shared" si="7"/>
        <v>1000</v>
      </c>
      <c r="H171" s="227" t="s">
        <v>27</v>
      </c>
      <c r="I171" s="94" t="s">
        <v>895</v>
      </c>
      <c r="J171" s="74"/>
      <c r="K171" s="74"/>
      <c r="L171" s="156">
        <v>45339</v>
      </c>
      <c r="M171" s="90">
        <v>1000</v>
      </c>
      <c r="N171" s="90">
        <v>10</v>
      </c>
      <c r="O171" s="90"/>
      <c r="P171" s="94"/>
      <c r="Q171" s="94">
        <v>8500067609</v>
      </c>
      <c r="R171" s="94">
        <v>5000276668</v>
      </c>
      <c r="S171" s="94"/>
      <c r="T171" s="90" t="s">
        <v>87</v>
      </c>
      <c r="U171" s="90">
        <v>8500067608</v>
      </c>
      <c r="V171" s="90">
        <v>5000185231</v>
      </c>
      <c r="W171" s="109">
        <v>45351</v>
      </c>
      <c r="X171" s="106"/>
      <c r="Y171" s="106">
        <v>1000</v>
      </c>
      <c r="Z171" s="106" t="s">
        <v>2112</v>
      </c>
      <c r="AA171" s="106">
        <f t="shared" si="8"/>
        <v>0</v>
      </c>
      <c r="AB171" s="106">
        <f t="shared" si="9"/>
        <v>0</v>
      </c>
      <c r="AC171" s="94"/>
      <c r="AD171" s="94"/>
      <c r="AE171" s="94"/>
      <c r="AF171" s="94"/>
      <c r="AG171" s="94"/>
      <c r="AH171" s="263"/>
    </row>
    <row r="172" spans="1:34" ht="26.25" customHeight="1">
      <c r="A172" s="45" t="s">
        <v>720</v>
      </c>
      <c r="B172" s="121">
        <v>2000001286</v>
      </c>
      <c r="C172" s="2" t="s">
        <v>721</v>
      </c>
      <c r="D172" s="2">
        <v>2000001286</v>
      </c>
      <c r="E172" s="94">
        <v>10</v>
      </c>
      <c r="F172" s="74">
        <v>100</v>
      </c>
      <c r="G172" s="45">
        <f t="shared" si="7"/>
        <v>1000</v>
      </c>
      <c r="H172" s="119" t="s">
        <v>243</v>
      </c>
      <c r="I172" s="128">
        <v>45351</v>
      </c>
      <c r="J172" s="74">
        <v>100</v>
      </c>
      <c r="K172" s="74">
        <v>3</v>
      </c>
      <c r="L172" s="156">
        <v>45348</v>
      </c>
      <c r="M172" s="90">
        <v>1000</v>
      </c>
      <c r="N172" s="90">
        <v>10</v>
      </c>
      <c r="O172" s="90"/>
      <c r="P172" s="94" t="s">
        <v>28</v>
      </c>
      <c r="Q172" s="94">
        <v>8500067607</v>
      </c>
      <c r="R172" s="94">
        <v>5000239965</v>
      </c>
      <c r="S172" s="74">
        <v>100</v>
      </c>
      <c r="T172" s="90" t="s">
        <v>1558</v>
      </c>
      <c r="U172" s="90">
        <v>8500067606</v>
      </c>
      <c r="V172" s="90">
        <v>5000227339</v>
      </c>
      <c r="W172" s="109">
        <v>45378</v>
      </c>
      <c r="X172" s="106">
        <v>100</v>
      </c>
      <c r="Y172" s="106">
        <v>1000</v>
      </c>
      <c r="Z172" s="106" t="s">
        <v>1472</v>
      </c>
      <c r="AA172" s="106">
        <f t="shared" si="8"/>
        <v>0</v>
      </c>
      <c r="AB172" s="106">
        <f t="shared" si="9"/>
        <v>0</v>
      </c>
      <c r="AC172" s="94"/>
      <c r="AD172" s="94"/>
      <c r="AE172" s="94"/>
      <c r="AF172" s="94"/>
      <c r="AG172" s="94"/>
      <c r="AH172" s="263"/>
    </row>
    <row r="173" spans="1:34" ht="26.25" customHeight="1">
      <c r="A173" s="260"/>
      <c r="B173" s="264"/>
      <c r="C173" s="192"/>
      <c r="D173" s="192"/>
      <c r="E173" s="94">
        <v>10</v>
      </c>
      <c r="F173" s="74">
        <v>300</v>
      </c>
      <c r="G173" s="45">
        <f t="shared" si="7"/>
        <v>3000</v>
      </c>
      <c r="H173" s="119" t="s">
        <v>27</v>
      </c>
      <c r="I173" s="128">
        <v>45351</v>
      </c>
      <c r="J173" s="74">
        <v>300</v>
      </c>
      <c r="K173" s="74">
        <v>3</v>
      </c>
      <c r="L173" s="156">
        <v>45348</v>
      </c>
      <c r="M173" s="90">
        <v>3000</v>
      </c>
      <c r="N173" s="90">
        <v>30</v>
      </c>
      <c r="O173" s="90"/>
      <c r="P173" s="94" t="s">
        <v>28</v>
      </c>
      <c r="Q173" s="94">
        <v>8500067607</v>
      </c>
      <c r="R173" s="94">
        <v>5000239965</v>
      </c>
      <c r="S173" s="74">
        <v>300</v>
      </c>
      <c r="T173" s="90" t="s">
        <v>1558</v>
      </c>
      <c r="U173" s="90">
        <v>8500067606</v>
      </c>
      <c r="V173" s="90">
        <v>5000227339</v>
      </c>
      <c r="W173" s="109">
        <v>45378</v>
      </c>
      <c r="X173" s="106">
        <v>300</v>
      </c>
      <c r="Y173" s="106">
        <v>3000</v>
      </c>
      <c r="Z173" s="106" t="s">
        <v>1513</v>
      </c>
      <c r="AA173" s="106">
        <f t="shared" si="8"/>
        <v>0</v>
      </c>
      <c r="AB173" s="106">
        <f t="shared" si="9"/>
        <v>0</v>
      </c>
      <c r="AC173" s="94"/>
      <c r="AD173" s="94"/>
      <c r="AE173" s="94"/>
      <c r="AF173" s="94"/>
      <c r="AG173" s="94"/>
      <c r="AH173" s="263"/>
    </row>
    <row r="174" spans="1:34" ht="27.75" customHeight="1">
      <c r="A174" s="260"/>
      <c r="B174" s="264" t="s">
        <v>3656</v>
      </c>
      <c r="C174" s="192"/>
      <c r="D174" s="192"/>
      <c r="E174" s="94">
        <v>10</v>
      </c>
      <c r="F174" s="74">
        <v>500</v>
      </c>
      <c r="G174" s="45">
        <f t="shared" si="7"/>
        <v>5000</v>
      </c>
      <c r="H174" s="119" t="s">
        <v>46</v>
      </c>
      <c r="I174" s="128">
        <v>45351</v>
      </c>
      <c r="J174" s="158">
        <v>500</v>
      </c>
      <c r="K174" s="74">
        <v>7</v>
      </c>
      <c r="L174" s="156">
        <v>45348</v>
      </c>
      <c r="M174" s="90">
        <v>5000</v>
      </c>
      <c r="N174" s="90">
        <v>50</v>
      </c>
      <c r="O174" s="90"/>
      <c r="P174" s="94" t="s">
        <v>28</v>
      </c>
      <c r="Q174" s="94">
        <v>8500067607</v>
      </c>
      <c r="R174" s="94">
        <v>5000239965</v>
      </c>
      <c r="S174" s="158">
        <v>500</v>
      </c>
      <c r="T174" s="90" t="s">
        <v>1558</v>
      </c>
      <c r="U174" s="90">
        <v>8500067606</v>
      </c>
      <c r="V174" s="90">
        <v>5000227339</v>
      </c>
      <c r="W174" s="109">
        <v>45381</v>
      </c>
      <c r="X174" s="106">
        <v>500</v>
      </c>
      <c r="Y174" s="106">
        <v>5000</v>
      </c>
      <c r="Z174" s="106" t="s">
        <v>1460</v>
      </c>
      <c r="AA174" s="106">
        <f t="shared" si="8"/>
        <v>0</v>
      </c>
      <c r="AB174" s="106">
        <f t="shared" si="9"/>
        <v>0</v>
      </c>
      <c r="AC174" s="94"/>
      <c r="AD174" s="94"/>
      <c r="AE174" s="94"/>
      <c r="AF174" s="94"/>
      <c r="AG174" s="94"/>
      <c r="AH174" s="263"/>
    </row>
    <row r="175" spans="1:34" ht="26.25" customHeight="1">
      <c r="A175" s="260"/>
      <c r="B175" s="264"/>
      <c r="C175" s="192"/>
      <c r="D175" s="192"/>
      <c r="E175" s="94">
        <v>10</v>
      </c>
      <c r="F175" s="74">
        <v>100</v>
      </c>
      <c r="G175" s="45">
        <f t="shared" si="7"/>
        <v>1000</v>
      </c>
      <c r="H175" s="119" t="s">
        <v>37</v>
      </c>
      <c r="I175" s="128">
        <v>45351</v>
      </c>
      <c r="J175" s="74">
        <v>100</v>
      </c>
      <c r="K175" s="74">
        <f>1+1</f>
        <v>2</v>
      </c>
      <c r="L175" s="156">
        <v>45348</v>
      </c>
      <c r="M175" s="90">
        <v>1000</v>
      </c>
      <c r="N175" s="90">
        <v>10</v>
      </c>
      <c r="O175" s="90"/>
      <c r="P175" s="94" t="s">
        <v>28</v>
      </c>
      <c r="Q175" s="94">
        <v>8500067607</v>
      </c>
      <c r="R175" s="94">
        <v>5000239965</v>
      </c>
      <c r="S175" s="74">
        <v>100</v>
      </c>
      <c r="T175" s="90" t="s">
        <v>1558</v>
      </c>
      <c r="U175" s="90">
        <v>8500067606</v>
      </c>
      <c r="V175" s="90">
        <v>5000227339</v>
      </c>
      <c r="W175" s="109">
        <v>45358</v>
      </c>
      <c r="X175" s="106">
        <v>100</v>
      </c>
      <c r="Y175" s="106">
        <v>1000</v>
      </c>
      <c r="Z175" s="106" t="s">
        <v>870</v>
      </c>
      <c r="AA175" s="106">
        <f t="shared" si="8"/>
        <v>0</v>
      </c>
      <c r="AB175" s="106">
        <f t="shared" si="9"/>
        <v>0</v>
      </c>
      <c r="AC175" s="94"/>
      <c r="AD175" s="94"/>
      <c r="AE175" s="94"/>
      <c r="AF175" s="94"/>
      <c r="AG175" s="94"/>
      <c r="AH175" s="263"/>
    </row>
    <row r="176" spans="1:34" ht="27" customHeight="1">
      <c r="A176" s="45" t="s">
        <v>240</v>
      </c>
      <c r="B176" s="121">
        <v>6000029132</v>
      </c>
      <c r="C176" s="2" t="s">
        <v>2888</v>
      </c>
      <c r="D176" s="2" t="s">
        <v>2889</v>
      </c>
      <c r="E176" s="328">
        <v>30</v>
      </c>
      <c r="F176" s="325">
        <v>200</v>
      </c>
      <c r="G176" s="326">
        <f t="shared" si="7"/>
        <v>6000</v>
      </c>
      <c r="H176" s="327" t="s">
        <v>243</v>
      </c>
      <c r="I176" s="128" t="s">
        <v>895</v>
      </c>
      <c r="J176" s="74"/>
      <c r="K176" s="74"/>
      <c r="L176" s="156"/>
      <c r="M176" s="90"/>
      <c r="N176" s="90"/>
      <c r="O176" s="90"/>
      <c r="P176" s="94" t="s">
        <v>895</v>
      </c>
      <c r="Q176" s="94"/>
      <c r="R176" s="94"/>
      <c r="S176" s="94"/>
      <c r="T176" s="90" t="s">
        <v>895</v>
      </c>
      <c r="U176" s="90">
        <v>8500068559</v>
      </c>
      <c r="V176" s="90">
        <v>5000258615</v>
      </c>
      <c r="W176" s="109"/>
      <c r="X176" s="106"/>
      <c r="Y176" s="106"/>
      <c r="Z176" s="106"/>
      <c r="AA176" s="106">
        <f t="shared" si="8"/>
        <v>0</v>
      </c>
      <c r="AB176" s="106">
        <f t="shared" si="9"/>
        <v>0</v>
      </c>
      <c r="AC176" s="94"/>
      <c r="AD176" s="94"/>
      <c r="AE176" s="94"/>
      <c r="AF176" s="94"/>
      <c r="AG176" s="94"/>
      <c r="AH176" s="263"/>
    </row>
    <row r="177" spans="1:34" ht="26.25" customHeight="1">
      <c r="A177" s="45"/>
      <c r="B177" s="121"/>
      <c r="C177" s="2"/>
      <c r="D177" s="2"/>
      <c r="E177" s="94">
        <v>30</v>
      </c>
      <c r="F177" s="74">
        <v>200</v>
      </c>
      <c r="G177" s="45">
        <f t="shared" si="7"/>
        <v>6000</v>
      </c>
      <c r="H177" s="119" t="s">
        <v>27</v>
      </c>
      <c r="I177" s="128">
        <v>45343</v>
      </c>
      <c r="J177" s="158">
        <v>200</v>
      </c>
      <c r="K177" s="74">
        <v>7</v>
      </c>
      <c r="L177" s="156">
        <v>45344</v>
      </c>
      <c r="M177" s="90">
        <v>6000</v>
      </c>
      <c r="N177" s="90">
        <v>60</v>
      </c>
      <c r="O177" s="90"/>
      <c r="P177" s="94" t="s">
        <v>28</v>
      </c>
      <c r="Q177" s="94">
        <v>8500068560</v>
      </c>
      <c r="R177" s="94">
        <v>5000203570</v>
      </c>
      <c r="S177" s="74">
        <v>200</v>
      </c>
      <c r="T177" s="90" t="s">
        <v>794</v>
      </c>
      <c r="U177" s="90">
        <v>8500068559</v>
      </c>
      <c r="V177" s="90">
        <v>5000207271</v>
      </c>
      <c r="W177" s="109">
        <v>45345</v>
      </c>
      <c r="X177" s="106">
        <v>200</v>
      </c>
      <c r="Y177" s="106">
        <v>6000</v>
      </c>
      <c r="Z177" s="106" t="s">
        <v>800</v>
      </c>
      <c r="AA177" s="106">
        <f t="shared" si="8"/>
        <v>0</v>
      </c>
      <c r="AB177" s="106">
        <f t="shared" si="9"/>
        <v>0</v>
      </c>
      <c r="AC177" s="94"/>
      <c r="AD177" s="94"/>
      <c r="AE177" s="94"/>
      <c r="AF177" s="94"/>
      <c r="AG177" s="94"/>
      <c r="AH177" s="263"/>
    </row>
    <row r="178" spans="1:34" ht="26.25" customHeight="1">
      <c r="A178" s="45"/>
      <c r="B178" s="121"/>
      <c r="C178" s="2"/>
      <c r="D178" s="2"/>
      <c r="E178" s="94">
        <v>30</v>
      </c>
      <c r="F178" s="74">
        <v>65</v>
      </c>
      <c r="G178" s="45">
        <f t="shared" si="7"/>
        <v>1950</v>
      </c>
      <c r="H178" s="119" t="s">
        <v>46</v>
      </c>
      <c r="I178" s="128">
        <v>45344</v>
      </c>
      <c r="J178" s="74">
        <v>65</v>
      </c>
      <c r="K178" s="74">
        <f>6+1</f>
        <v>7</v>
      </c>
      <c r="L178" s="156">
        <v>45344</v>
      </c>
      <c r="M178" s="90">
        <v>1950</v>
      </c>
      <c r="N178" s="90">
        <v>20</v>
      </c>
      <c r="O178" s="90"/>
      <c r="P178" s="94" t="s">
        <v>28</v>
      </c>
      <c r="Q178" s="94">
        <v>8500068560</v>
      </c>
      <c r="R178" s="94">
        <v>5000208304</v>
      </c>
      <c r="S178" s="74">
        <v>65</v>
      </c>
      <c r="T178" s="90" t="s">
        <v>794</v>
      </c>
      <c r="U178" s="90">
        <v>8500068559</v>
      </c>
      <c r="V178" s="90">
        <v>5000207271</v>
      </c>
      <c r="W178" s="109">
        <v>45345</v>
      </c>
      <c r="X178" s="106">
        <v>65</v>
      </c>
      <c r="Y178" s="106">
        <v>1950</v>
      </c>
      <c r="Z178" s="106" t="s">
        <v>800</v>
      </c>
      <c r="AA178" s="106">
        <f t="shared" si="8"/>
        <v>0</v>
      </c>
      <c r="AB178" s="106">
        <f t="shared" si="9"/>
        <v>0</v>
      </c>
      <c r="AC178" s="94"/>
      <c r="AD178" s="94"/>
      <c r="AE178" s="94"/>
      <c r="AF178" s="94"/>
      <c r="AG178" s="94"/>
      <c r="AH178" s="263"/>
    </row>
    <row r="179" spans="1:34" ht="26.25" customHeight="1">
      <c r="A179" s="45"/>
      <c r="B179" s="121"/>
      <c r="C179" s="2"/>
      <c r="D179" s="2"/>
      <c r="E179" s="94">
        <v>30</v>
      </c>
      <c r="F179" s="74">
        <v>35</v>
      </c>
      <c r="G179" s="45">
        <f t="shared" si="7"/>
        <v>1050</v>
      </c>
      <c r="H179" s="119" t="s">
        <v>37</v>
      </c>
      <c r="I179" s="128">
        <v>45344</v>
      </c>
      <c r="J179" s="74">
        <v>35</v>
      </c>
      <c r="K179" s="74">
        <v>5</v>
      </c>
      <c r="L179" s="156">
        <v>45344</v>
      </c>
      <c r="M179" s="90">
        <v>1050</v>
      </c>
      <c r="N179" s="90">
        <v>11</v>
      </c>
      <c r="O179" s="90"/>
      <c r="P179" s="94" t="s">
        <v>28</v>
      </c>
      <c r="Q179" s="94">
        <v>8500068560</v>
      </c>
      <c r="R179" s="94">
        <v>5000208304</v>
      </c>
      <c r="S179" s="74">
        <v>35</v>
      </c>
      <c r="T179" s="90" t="s">
        <v>794</v>
      </c>
      <c r="U179" s="90">
        <v>8500068559</v>
      </c>
      <c r="V179" s="90">
        <v>5000207271</v>
      </c>
      <c r="W179" s="109">
        <v>45345</v>
      </c>
      <c r="X179" s="106">
        <v>35</v>
      </c>
      <c r="Y179" s="106">
        <v>1050</v>
      </c>
      <c r="Z179" s="106" t="s">
        <v>800</v>
      </c>
      <c r="AA179" s="106">
        <f t="shared" si="8"/>
        <v>0</v>
      </c>
      <c r="AB179" s="106">
        <f t="shared" si="9"/>
        <v>0</v>
      </c>
      <c r="AC179" s="94"/>
      <c r="AD179" s="94"/>
      <c r="AE179" s="94"/>
      <c r="AF179" s="94"/>
      <c r="AG179" s="94"/>
      <c r="AH179" s="263"/>
    </row>
    <row r="180" spans="1:34" ht="26.25" customHeight="1">
      <c r="A180" s="45" t="s">
        <v>240</v>
      </c>
      <c r="B180" s="121">
        <v>6000029132</v>
      </c>
      <c r="C180" s="2" t="s">
        <v>2888</v>
      </c>
      <c r="D180" s="2" t="s">
        <v>244</v>
      </c>
      <c r="E180" s="94">
        <v>1</v>
      </c>
      <c r="F180" s="74">
        <v>5</v>
      </c>
      <c r="G180" s="45">
        <f t="shared" si="7"/>
        <v>5</v>
      </c>
      <c r="H180" s="119" t="s">
        <v>243</v>
      </c>
      <c r="I180" s="337">
        <v>45358</v>
      </c>
      <c r="J180" s="158">
        <v>5</v>
      </c>
      <c r="K180" s="74"/>
      <c r="L180" s="156">
        <v>45344</v>
      </c>
      <c r="M180" s="90">
        <v>5</v>
      </c>
      <c r="N180" s="90"/>
      <c r="O180" s="90"/>
      <c r="P180" s="94" t="s">
        <v>1643</v>
      </c>
      <c r="Q180" s="94"/>
      <c r="R180" s="94"/>
      <c r="S180" s="158">
        <v>5</v>
      </c>
      <c r="T180" s="90" t="s">
        <v>794</v>
      </c>
      <c r="U180" s="90">
        <v>8500068561</v>
      </c>
      <c r="V180" s="90">
        <v>5000207468</v>
      </c>
      <c r="W180" s="109">
        <v>45359</v>
      </c>
      <c r="X180" s="106">
        <v>5</v>
      </c>
      <c r="Y180" s="106">
        <v>5</v>
      </c>
      <c r="Z180" s="106" t="s">
        <v>3014</v>
      </c>
      <c r="AA180" s="106">
        <f t="shared" si="8"/>
        <v>0</v>
      </c>
      <c r="AB180" s="106">
        <f t="shared" si="9"/>
        <v>0</v>
      </c>
      <c r="AC180" s="94"/>
      <c r="AD180" s="94"/>
      <c r="AE180" s="94"/>
      <c r="AF180" s="94"/>
      <c r="AG180" s="94"/>
      <c r="AH180" s="263"/>
    </row>
    <row r="181" spans="1:34" ht="26.25" customHeight="1">
      <c r="A181" s="45"/>
      <c r="B181" s="121"/>
      <c r="C181" s="2"/>
      <c r="D181" s="2"/>
      <c r="E181" s="94">
        <v>1</v>
      </c>
      <c r="F181" s="74">
        <v>5</v>
      </c>
      <c r="G181" s="45">
        <f t="shared" si="7"/>
        <v>5</v>
      </c>
      <c r="H181" s="119" t="s">
        <v>27</v>
      </c>
      <c r="I181" s="128">
        <v>45344</v>
      </c>
      <c r="J181" s="74">
        <v>5</v>
      </c>
      <c r="K181" s="74"/>
      <c r="L181" s="156">
        <v>45344</v>
      </c>
      <c r="M181" s="90">
        <v>5</v>
      </c>
      <c r="N181" s="90"/>
      <c r="O181" s="90"/>
      <c r="P181" s="94" t="s">
        <v>28</v>
      </c>
      <c r="Q181" s="94">
        <v>8500068562</v>
      </c>
      <c r="R181" s="94">
        <v>5000208306</v>
      </c>
      <c r="S181" s="74">
        <v>5</v>
      </c>
      <c r="T181" s="90" t="s">
        <v>794</v>
      </c>
      <c r="U181" s="90">
        <v>8500068561</v>
      </c>
      <c r="V181" s="90">
        <v>5000207468</v>
      </c>
      <c r="W181" s="109">
        <v>45359</v>
      </c>
      <c r="X181" s="106">
        <v>5</v>
      </c>
      <c r="Y181" s="106">
        <v>5</v>
      </c>
      <c r="Z181" s="106" t="s">
        <v>3014</v>
      </c>
      <c r="AA181" s="106">
        <f t="shared" si="8"/>
        <v>0</v>
      </c>
      <c r="AB181" s="106">
        <f t="shared" si="9"/>
        <v>0</v>
      </c>
      <c r="AC181" s="94"/>
      <c r="AD181" s="94"/>
      <c r="AE181" s="94"/>
      <c r="AF181" s="94"/>
      <c r="AG181" s="94"/>
      <c r="AH181" s="263"/>
    </row>
    <row r="182" spans="1:34" ht="26.25" customHeight="1">
      <c r="A182" s="45"/>
      <c r="B182" s="121"/>
      <c r="C182" s="2"/>
      <c r="D182" s="2"/>
      <c r="E182" s="94">
        <v>1</v>
      </c>
      <c r="F182" s="74">
        <v>5</v>
      </c>
      <c r="G182" s="45">
        <f t="shared" si="7"/>
        <v>5</v>
      </c>
      <c r="H182" s="119" t="s">
        <v>46</v>
      </c>
      <c r="I182" s="128">
        <v>45344</v>
      </c>
      <c r="J182" s="74">
        <v>5</v>
      </c>
      <c r="K182" s="74"/>
      <c r="L182" s="156">
        <v>45344</v>
      </c>
      <c r="M182" s="90">
        <v>5</v>
      </c>
      <c r="N182" s="90"/>
      <c r="O182" s="90"/>
      <c r="P182" s="94" t="s">
        <v>28</v>
      </c>
      <c r="Q182" s="94">
        <v>8500068562</v>
      </c>
      <c r="R182" s="94">
        <v>5000208306</v>
      </c>
      <c r="S182" s="74">
        <v>5</v>
      </c>
      <c r="T182" s="90" t="s">
        <v>794</v>
      </c>
      <c r="U182" s="90">
        <v>8500068561</v>
      </c>
      <c r="V182" s="90">
        <v>5000207468</v>
      </c>
      <c r="W182" s="109">
        <v>45359</v>
      </c>
      <c r="X182" s="106">
        <v>5</v>
      </c>
      <c r="Y182" s="106">
        <v>5</v>
      </c>
      <c r="Z182" s="106" t="s">
        <v>3014</v>
      </c>
      <c r="AA182" s="106">
        <f t="shared" si="8"/>
        <v>0</v>
      </c>
      <c r="AB182" s="106">
        <f t="shared" si="9"/>
        <v>0</v>
      </c>
      <c r="AC182" s="94"/>
      <c r="AD182" s="94"/>
      <c r="AE182" s="94"/>
      <c r="AF182" s="94"/>
      <c r="AG182" s="94"/>
      <c r="AH182" s="263"/>
    </row>
    <row r="183" spans="1:34" ht="26.25" customHeight="1">
      <c r="A183" s="45"/>
      <c r="B183" s="121"/>
      <c r="C183" s="2"/>
      <c r="D183" s="2"/>
      <c r="E183" s="94">
        <v>1</v>
      </c>
      <c r="F183" s="74">
        <v>5</v>
      </c>
      <c r="G183" s="45">
        <f t="shared" ref="G183:G246" si="10">F183*E183</f>
        <v>5</v>
      </c>
      <c r="H183" s="119" t="s">
        <v>37</v>
      </c>
      <c r="I183" s="128">
        <v>45344</v>
      </c>
      <c r="J183" s="74">
        <v>5</v>
      </c>
      <c r="K183" s="74"/>
      <c r="L183" s="156">
        <v>45344</v>
      </c>
      <c r="M183" s="90">
        <v>5</v>
      </c>
      <c r="N183" s="90"/>
      <c r="O183" s="90"/>
      <c r="P183" s="94" t="s">
        <v>28</v>
      </c>
      <c r="Q183" s="94">
        <v>8500068562</v>
      </c>
      <c r="R183" s="94">
        <v>5000208306</v>
      </c>
      <c r="S183" s="74">
        <v>5</v>
      </c>
      <c r="T183" s="90" t="s">
        <v>794</v>
      </c>
      <c r="U183" s="90">
        <v>8500068561</v>
      </c>
      <c r="V183" s="90">
        <v>5000207468</v>
      </c>
      <c r="W183" s="109">
        <v>45359</v>
      </c>
      <c r="X183" s="106">
        <v>5</v>
      </c>
      <c r="Y183" s="106">
        <v>5</v>
      </c>
      <c r="Z183" s="106" t="s">
        <v>3014</v>
      </c>
      <c r="AA183" s="106">
        <f t="shared" si="8"/>
        <v>0</v>
      </c>
      <c r="AB183" s="106">
        <f t="shared" si="9"/>
        <v>0</v>
      </c>
      <c r="AC183" s="94"/>
      <c r="AD183" s="94"/>
      <c r="AE183" s="94"/>
      <c r="AF183" s="94"/>
      <c r="AG183" s="94"/>
      <c r="AH183" s="263"/>
    </row>
    <row r="184" spans="1:34" ht="26.25" customHeight="1">
      <c r="A184" s="45" t="s">
        <v>240</v>
      </c>
      <c r="B184" s="121">
        <v>6000029134</v>
      </c>
      <c r="C184" s="2" t="s">
        <v>2888</v>
      </c>
      <c r="D184" s="2" t="s">
        <v>2890</v>
      </c>
      <c r="E184" s="94">
        <v>30</v>
      </c>
      <c r="F184" s="325">
        <v>60</v>
      </c>
      <c r="G184" s="326">
        <f t="shared" si="10"/>
        <v>1800</v>
      </c>
      <c r="H184" s="327" t="s">
        <v>243</v>
      </c>
      <c r="I184" s="128" t="s">
        <v>895</v>
      </c>
      <c r="J184" s="158"/>
      <c r="K184" s="74"/>
      <c r="L184" s="156"/>
      <c r="M184" s="90"/>
      <c r="N184" s="90"/>
      <c r="O184" s="90"/>
      <c r="P184" s="94" t="s">
        <v>895</v>
      </c>
      <c r="Q184" s="94">
        <v>8500068564</v>
      </c>
      <c r="R184" s="94">
        <v>5000258539</v>
      </c>
      <c r="S184" s="94"/>
      <c r="T184" s="90" t="s">
        <v>895</v>
      </c>
      <c r="U184" s="90">
        <v>8500068563</v>
      </c>
      <c r="V184" s="90">
        <v>5000258616</v>
      </c>
      <c r="W184" s="105"/>
      <c r="X184" s="106"/>
      <c r="Y184" s="106"/>
      <c r="Z184" s="106"/>
      <c r="AA184" s="106">
        <f t="shared" si="8"/>
        <v>0</v>
      </c>
      <c r="AB184" s="106">
        <f t="shared" si="9"/>
        <v>0</v>
      </c>
      <c r="AC184" s="94"/>
      <c r="AD184" s="94"/>
      <c r="AE184" s="94"/>
      <c r="AF184" s="94"/>
      <c r="AG184" s="94"/>
      <c r="AH184" s="263"/>
    </row>
    <row r="185" spans="1:34" ht="33.75" customHeight="1">
      <c r="A185" s="45"/>
      <c r="B185" s="121"/>
      <c r="C185" s="2"/>
      <c r="D185" s="2"/>
      <c r="E185" s="94">
        <v>30</v>
      </c>
      <c r="F185" s="74">
        <v>300</v>
      </c>
      <c r="G185" s="45">
        <f t="shared" si="10"/>
        <v>9000</v>
      </c>
      <c r="H185" s="119" t="s">
        <v>27</v>
      </c>
      <c r="I185" s="128">
        <v>45344</v>
      </c>
      <c r="J185" s="74">
        <v>300</v>
      </c>
      <c r="K185" s="74">
        <v>3</v>
      </c>
      <c r="L185" s="156">
        <v>45344</v>
      </c>
      <c r="M185" s="90">
        <v>9000</v>
      </c>
      <c r="N185" s="90">
        <v>90</v>
      </c>
      <c r="O185" s="90"/>
      <c r="P185" s="94" t="s">
        <v>28</v>
      </c>
      <c r="Q185" s="94">
        <v>8500068564</v>
      </c>
      <c r="R185" s="94">
        <v>5000208327</v>
      </c>
      <c r="S185" s="74">
        <v>300</v>
      </c>
      <c r="T185" s="90" t="s">
        <v>794</v>
      </c>
      <c r="U185" s="90">
        <v>8500068563</v>
      </c>
      <c r="V185" s="90">
        <v>5000207456</v>
      </c>
      <c r="W185" s="109">
        <v>45346</v>
      </c>
      <c r="X185" s="106">
        <v>300</v>
      </c>
      <c r="Y185" s="106">
        <v>9000</v>
      </c>
      <c r="Z185" s="106" t="s">
        <v>800</v>
      </c>
      <c r="AA185" s="106">
        <f t="shared" si="8"/>
        <v>0</v>
      </c>
      <c r="AB185" s="106">
        <f t="shared" si="9"/>
        <v>0</v>
      </c>
      <c r="AC185" s="94"/>
      <c r="AD185" s="94"/>
      <c r="AE185" s="94"/>
      <c r="AF185" s="94"/>
      <c r="AG185" s="94"/>
      <c r="AH185" s="263"/>
    </row>
    <row r="186" spans="1:34" ht="26.25" customHeight="1">
      <c r="A186" s="45"/>
      <c r="B186" s="121"/>
      <c r="C186" s="2"/>
      <c r="D186" s="2"/>
      <c r="E186" s="94">
        <v>30</v>
      </c>
      <c r="F186" s="74">
        <v>340</v>
      </c>
      <c r="G186" s="45">
        <f t="shared" si="10"/>
        <v>10200</v>
      </c>
      <c r="H186" s="119" t="s">
        <v>46</v>
      </c>
      <c r="I186" s="128">
        <v>45344</v>
      </c>
      <c r="J186" s="74">
        <v>340</v>
      </c>
      <c r="K186" s="74">
        <f>3+2</f>
        <v>5</v>
      </c>
      <c r="L186" s="156">
        <v>45344</v>
      </c>
      <c r="M186" s="90">
        <v>10200</v>
      </c>
      <c r="N186" s="90">
        <v>102</v>
      </c>
      <c r="O186" s="90"/>
      <c r="P186" s="94" t="s">
        <v>28</v>
      </c>
      <c r="Q186" s="94">
        <v>8500068564</v>
      </c>
      <c r="R186" s="94">
        <v>5000208327</v>
      </c>
      <c r="S186" s="74">
        <v>340</v>
      </c>
      <c r="T186" s="90" t="s">
        <v>794</v>
      </c>
      <c r="U186" s="90">
        <v>8500068563</v>
      </c>
      <c r="V186" s="90">
        <v>5000207456</v>
      </c>
      <c r="W186" s="109">
        <v>45346</v>
      </c>
      <c r="X186" s="106">
        <v>340</v>
      </c>
      <c r="Y186" s="106">
        <v>10200</v>
      </c>
      <c r="Z186" s="106" t="s">
        <v>800</v>
      </c>
      <c r="AA186" s="106">
        <f t="shared" si="8"/>
        <v>0</v>
      </c>
      <c r="AB186" s="106">
        <f t="shared" si="9"/>
        <v>0</v>
      </c>
      <c r="AC186" s="94"/>
      <c r="AD186" s="94"/>
      <c r="AE186" s="94"/>
      <c r="AF186" s="94"/>
      <c r="AG186" s="94"/>
      <c r="AH186" s="263"/>
    </row>
    <row r="187" spans="1:34" ht="26.25" customHeight="1">
      <c r="A187" s="45"/>
      <c r="B187" s="121"/>
      <c r="C187" s="2"/>
      <c r="D187" s="2"/>
      <c r="E187" s="94">
        <v>30</v>
      </c>
      <c r="F187" s="74">
        <v>120</v>
      </c>
      <c r="G187" s="45">
        <f t="shared" si="10"/>
        <v>3600</v>
      </c>
      <c r="H187" s="119" t="s">
        <v>37</v>
      </c>
      <c r="I187" s="128">
        <v>45344</v>
      </c>
      <c r="J187" s="74">
        <v>120</v>
      </c>
      <c r="K187" s="74">
        <v>1</v>
      </c>
      <c r="L187" s="156">
        <v>45344</v>
      </c>
      <c r="M187" s="90">
        <v>3600</v>
      </c>
      <c r="N187" s="90">
        <v>36</v>
      </c>
      <c r="O187" s="90" t="s">
        <v>1351</v>
      </c>
      <c r="P187" s="94" t="s">
        <v>28</v>
      </c>
      <c r="Q187" s="94">
        <v>8500068564</v>
      </c>
      <c r="R187" s="94">
        <v>5000208327</v>
      </c>
      <c r="S187" s="74">
        <v>120</v>
      </c>
      <c r="T187" s="90" t="s">
        <v>794</v>
      </c>
      <c r="U187" s="90">
        <v>8500068563</v>
      </c>
      <c r="V187" s="90">
        <v>5000207456</v>
      </c>
      <c r="W187" s="109">
        <v>45346</v>
      </c>
      <c r="X187" s="106">
        <v>120</v>
      </c>
      <c r="Y187" s="106">
        <v>3600</v>
      </c>
      <c r="Z187" s="106" t="s">
        <v>800</v>
      </c>
      <c r="AA187" s="106">
        <f t="shared" si="8"/>
        <v>0</v>
      </c>
      <c r="AB187" s="106">
        <f t="shared" si="9"/>
        <v>0</v>
      </c>
      <c r="AC187" s="94"/>
      <c r="AD187" s="94"/>
      <c r="AE187" s="94"/>
      <c r="AF187" s="94"/>
      <c r="AG187" s="94"/>
      <c r="AH187" s="263"/>
    </row>
    <row r="188" spans="1:34" ht="26.25" customHeight="1">
      <c r="A188" s="45" t="s">
        <v>240</v>
      </c>
      <c r="B188" s="121">
        <v>6000029134</v>
      </c>
      <c r="C188" s="2" t="s">
        <v>2888</v>
      </c>
      <c r="D188" s="2" t="s">
        <v>244</v>
      </c>
      <c r="E188" s="94">
        <v>1</v>
      </c>
      <c r="F188" s="74">
        <v>5</v>
      </c>
      <c r="G188" s="45">
        <f t="shared" si="10"/>
        <v>5</v>
      </c>
      <c r="H188" s="119" t="s">
        <v>243</v>
      </c>
      <c r="I188" s="128">
        <v>45358</v>
      </c>
      <c r="J188" s="158">
        <v>5</v>
      </c>
      <c r="K188" s="74"/>
      <c r="L188" s="156">
        <v>45344</v>
      </c>
      <c r="M188" s="90">
        <v>5</v>
      </c>
      <c r="N188" s="90"/>
      <c r="O188" s="90"/>
      <c r="P188" s="94" t="s">
        <v>1643</v>
      </c>
      <c r="Q188" s="94"/>
      <c r="R188" s="94">
        <v>5000258560</v>
      </c>
      <c r="S188" s="158">
        <v>5</v>
      </c>
      <c r="T188" s="90" t="s">
        <v>794</v>
      </c>
      <c r="U188" s="90">
        <v>8500068565</v>
      </c>
      <c r="V188" s="90">
        <v>5000207480</v>
      </c>
      <c r="W188" s="109">
        <v>45359</v>
      </c>
      <c r="X188" s="106">
        <v>5</v>
      </c>
      <c r="Y188" s="106">
        <v>5</v>
      </c>
      <c r="Z188" s="106" t="s">
        <v>3232</v>
      </c>
      <c r="AA188" s="106">
        <f t="shared" si="8"/>
        <v>0</v>
      </c>
      <c r="AB188" s="106">
        <f t="shared" si="9"/>
        <v>0</v>
      </c>
      <c r="AC188" s="94"/>
      <c r="AD188" s="94"/>
      <c r="AE188" s="94"/>
      <c r="AF188" s="94"/>
      <c r="AG188" s="94"/>
      <c r="AH188" s="263"/>
    </row>
    <row r="189" spans="1:34" s="97" customFormat="1" ht="26.25" customHeight="1">
      <c r="A189" s="45"/>
      <c r="B189" s="121"/>
      <c r="C189" s="2"/>
      <c r="D189" s="2"/>
      <c r="E189" s="94">
        <v>1</v>
      </c>
      <c r="F189" s="74">
        <v>5</v>
      </c>
      <c r="G189" s="45">
        <f t="shared" si="10"/>
        <v>5</v>
      </c>
      <c r="H189" s="119" t="s">
        <v>27</v>
      </c>
      <c r="I189" s="128">
        <v>45344</v>
      </c>
      <c r="J189" s="74">
        <v>5</v>
      </c>
      <c r="K189" s="74"/>
      <c r="L189" s="156">
        <v>45344</v>
      </c>
      <c r="M189" s="90">
        <v>5</v>
      </c>
      <c r="N189" s="90"/>
      <c r="O189" s="90"/>
      <c r="P189" s="94"/>
      <c r="Q189" s="94">
        <v>8500068566</v>
      </c>
      <c r="R189" s="94">
        <v>5000208353</v>
      </c>
      <c r="S189" s="74">
        <v>5</v>
      </c>
      <c r="T189" s="90" t="s">
        <v>794</v>
      </c>
      <c r="U189" s="90">
        <v>8500068565</v>
      </c>
      <c r="V189" s="90">
        <v>5000207480</v>
      </c>
      <c r="W189" s="109">
        <v>45359</v>
      </c>
      <c r="X189" s="106">
        <v>5</v>
      </c>
      <c r="Y189" s="106">
        <v>5</v>
      </c>
      <c r="Z189" s="106" t="s">
        <v>3232</v>
      </c>
      <c r="AA189" s="106">
        <f t="shared" si="8"/>
        <v>0</v>
      </c>
      <c r="AB189" s="106">
        <f t="shared" si="9"/>
        <v>0</v>
      </c>
      <c r="AC189" s="94"/>
      <c r="AD189" s="94"/>
      <c r="AE189" s="110"/>
      <c r="AF189" s="110"/>
      <c r="AG189" s="110"/>
      <c r="AH189" s="99"/>
    </row>
    <row r="190" spans="1:34" s="97" customFormat="1" ht="26.25" customHeight="1">
      <c r="A190" s="45"/>
      <c r="B190" s="121"/>
      <c r="C190" s="2"/>
      <c r="D190" s="2"/>
      <c r="E190" s="94">
        <v>1</v>
      </c>
      <c r="F190" s="74">
        <v>5</v>
      </c>
      <c r="G190" s="45">
        <f t="shared" si="10"/>
        <v>5</v>
      </c>
      <c r="H190" s="119" t="s">
        <v>46</v>
      </c>
      <c r="I190" s="128">
        <v>45344</v>
      </c>
      <c r="J190" s="74">
        <v>5</v>
      </c>
      <c r="K190" s="74"/>
      <c r="L190" s="156">
        <v>45344</v>
      </c>
      <c r="M190" s="90">
        <v>5</v>
      </c>
      <c r="N190" s="90"/>
      <c r="O190" s="90"/>
      <c r="P190" s="94"/>
      <c r="Q190" s="94">
        <v>8500068566</v>
      </c>
      <c r="R190" s="94">
        <v>5000208353</v>
      </c>
      <c r="S190" s="74">
        <v>5</v>
      </c>
      <c r="T190" s="90" t="s">
        <v>794</v>
      </c>
      <c r="U190" s="90">
        <v>8500068565</v>
      </c>
      <c r="V190" s="90">
        <v>5000207480</v>
      </c>
      <c r="W190" s="109">
        <v>45359</v>
      </c>
      <c r="X190" s="106">
        <v>5</v>
      </c>
      <c r="Y190" s="106">
        <v>5</v>
      </c>
      <c r="Z190" s="106" t="s">
        <v>3232</v>
      </c>
      <c r="AA190" s="106">
        <f t="shared" si="8"/>
        <v>0</v>
      </c>
      <c r="AB190" s="106">
        <f t="shared" si="9"/>
        <v>0</v>
      </c>
      <c r="AC190" s="94"/>
      <c r="AD190" s="94"/>
      <c r="AE190" s="110"/>
      <c r="AF190" s="110"/>
      <c r="AG190" s="110"/>
      <c r="AH190" s="99"/>
    </row>
    <row r="191" spans="1:34" s="97" customFormat="1" ht="26.25" customHeight="1">
      <c r="A191" s="45"/>
      <c r="B191" s="121"/>
      <c r="C191" s="2"/>
      <c r="D191" s="2"/>
      <c r="E191" s="94">
        <v>1</v>
      </c>
      <c r="F191" s="74">
        <v>5</v>
      </c>
      <c r="G191" s="45">
        <f>F191*E191</f>
        <v>5</v>
      </c>
      <c r="H191" s="119" t="s">
        <v>37</v>
      </c>
      <c r="I191" s="128">
        <v>45344</v>
      </c>
      <c r="J191" s="74">
        <v>5</v>
      </c>
      <c r="K191" s="74"/>
      <c r="L191" s="156">
        <v>45344</v>
      </c>
      <c r="M191" s="90">
        <v>5</v>
      </c>
      <c r="N191" s="90"/>
      <c r="O191" s="90"/>
      <c r="P191" s="94"/>
      <c r="Q191" s="94">
        <v>8500068566</v>
      </c>
      <c r="R191" s="94">
        <v>5000208353</v>
      </c>
      <c r="S191" s="74">
        <v>5</v>
      </c>
      <c r="T191" s="90" t="s">
        <v>794</v>
      </c>
      <c r="U191" s="90">
        <v>8500068565</v>
      </c>
      <c r="V191" s="90">
        <v>5000207480</v>
      </c>
      <c r="W191" s="109">
        <v>45359</v>
      </c>
      <c r="X191" s="106">
        <v>5</v>
      </c>
      <c r="Y191" s="106">
        <v>5</v>
      </c>
      <c r="Z191" s="106" t="s">
        <v>3232</v>
      </c>
      <c r="AA191" s="106">
        <f t="shared" si="8"/>
        <v>0</v>
      </c>
      <c r="AB191" s="106">
        <f t="shared" si="9"/>
        <v>0</v>
      </c>
      <c r="AC191" s="94"/>
      <c r="AD191" s="94"/>
      <c r="AE191" s="110"/>
      <c r="AF191" s="110"/>
      <c r="AG191" s="110"/>
      <c r="AH191" s="99"/>
    </row>
    <row r="192" spans="1:34" s="97" customFormat="1" ht="26.25" customHeight="1">
      <c r="A192" s="329" t="s">
        <v>240</v>
      </c>
      <c r="B192" s="330">
        <v>6000029134</v>
      </c>
      <c r="C192" s="267" t="s">
        <v>2891</v>
      </c>
      <c r="D192" s="267" t="s">
        <v>2890</v>
      </c>
      <c r="E192" s="269">
        <v>30</v>
      </c>
      <c r="F192" s="271">
        <v>60</v>
      </c>
      <c r="G192" s="329">
        <f t="shared" si="10"/>
        <v>1800</v>
      </c>
      <c r="H192" s="331" t="s">
        <v>27</v>
      </c>
      <c r="I192" s="128" t="s">
        <v>895</v>
      </c>
      <c r="J192" s="74"/>
      <c r="K192" s="74"/>
      <c r="L192" s="156"/>
      <c r="M192" s="90"/>
      <c r="N192" s="90"/>
      <c r="O192" s="90"/>
      <c r="P192" s="128" t="s">
        <v>895</v>
      </c>
      <c r="Q192" s="94">
        <v>8500068568</v>
      </c>
      <c r="R192" s="94">
        <v>5000258561</v>
      </c>
      <c r="S192" s="94"/>
      <c r="T192" s="90" t="s">
        <v>895</v>
      </c>
      <c r="U192" s="90">
        <v>8500068570</v>
      </c>
      <c r="V192" s="90">
        <v>5000258618</v>
      </c>
      <c r="W192" s="105"/>
      <c r="X192" s="106"/>
      <c r="Y192" s="106"/>
      <c r="Z192" s="106"/>
      <c r="AA192" s="106">
        <f t="shared" si="8"/>
        <v>0</v>
      </c>
      <c r="AB192" s="106">
        <f t="shared" si="9"/>
        <v>0</v>
      </c>
      <c r="AC192" s="94"/>
      <c r="AD192" s="94"/>
      <c r="AE192" s="110"/>
      <c r="AF192" s="110"/>
      <c r="AG192" s="110"/>
      <c r="AH192" s="99"/>
    </row>
    <row r="193" spans="1:34" ht="30.75" customHeight="1">
      <c r="A193" s="329"/>
      <c r="B193" s="330"/>
      <c r="C193" s="267"/>
      <c r="D193" s="267"/>
      <c r="E193" s="269">
        <v>30</v>
      </c>
      <c r="F193" s="271">
        <v>160</v>
      </c>
      <c r="G193" s="329">
        <f t="shared" si="10"/>
        <v>4800</v>
      </c>
      <c r="H193" s="331" t="s">
        <v>46</v>
      </c>
      <c r="I193" s="128" t="s">
        <v>895</v>
      </c>
      <c r="J193" s="74"/>
      <c r="K193" s="74"/>
      <c r="L193" s="156"/>
      <c r="M193" s="90"/>
      <c r="N193" s="90"/>
      <c r="O193" s="90"/>
      <c r="P193" s="128" t="s">
        <v>895</v>
      </c>
      <c r="Q193" s="94">
        <v>8500068568</v>
      </c>
      <c r="R193" s="94">
        <v>5000258561</v>
      </c>
      <c r="S193" s="94"/>
      <c r="T193" s="90" t="s">
        <v>895</v>
      </c>
      <c r="U193" s="90">
        <v>8500068570</v>
      </c>
      <c r="V193" s="90">
        <v>5000258618</v>
      </c>
      <c r="W193" s="105"/>
      <c r="X193" s="106"/>
      <c r="Y193" s="106"/>
      <c r="Z193" s="106"/>
      <c r="AA193" s="106">
        <f t="shared" si="8"/>
        <v>0</v>
      </c>
      <c r="AB193" s="106">
        <f t="shared" si="9"/>
        <v>0</v>
      </c>
      <c r="AC193" s="94"/>
      <c r="AD193" s="94"/>
      <c r="AE193" s="94"/>
      <c r="AF193" s="94"/>
      <c r="AG193" s="94"/>
      <c r="AH193" s="263"/>
    </row>
    <row r="194" spans="1:34" ht="26.25" customHeight="1">
      <c r="A194" s="329"/>
      <c r="B194" s="330"/>
      <c r="C194" s="267"/>
      <c r="D194" s="267"/>
      <c r="E194" s="269">
        <v>30</v>
      </c>
      <c r="F194" s="271">
        <v>100</v>
      </c>
      <c r="G194" s="329">
        <f t="shared" si="10"/>
        <v>3000</v>
      </c>
      <c r="H194" s="331" t="s">
        <v>37</v>
      </c>
      <c r="I194" s="128" t="s">
        <v>895</v>
      </c>
      <c r="J194" s="74"/>
      <c r="K194" s="74"/>
      <c r="L194" s="156"/>
      <c r="M194" s="90"/>
      <c r="N194" s="90"/>
      <c r="O194" s="90"/>
      <c r="P194" s="128" t="s">
        <v>895</v>
      </c>
      <c r="Q194" s="94">
        <v>8500068568</v>
      </c>
      <c r="R194" s="94">
        <v>5000258561</v>
      </c>
      <c r="S194" s="94"/>
      <c r="T194" s="90" t="s">
        <v>895</v>
      </c>
      <c r="U194" s="90">
        <v>8500068570</v>
      </c>
      <c r="V194" s="90">
        <v>5000258618</v>
      </c>
      <c r="W194" s="105"/>
      <c r="X194" s="106"/>
      <c r="Y194" s="106"/>
      <c r="Z194" s="106"/>
      <c r="AA194" s="106">
        <f t="shared" si="8"/>
        <v>0</v>
      </c>
      <c r="AB194" s="106">
        <f t="shared" si="9"/>
        <v>0</v>
      </c>
      <c r="AC194" s="94"/>
      <c r="AD194" s="94"/>
      <c r="AE194" s="94"/>
      <c r="AF194" s="94"/>
      <c r="AG194" s="94"/>
      <c r="AH194" s="263"/>
    </row>
    <row r="195" spans="1:34" ht="26.25" customHeight="1">
      <c r="A195" s="45" t="s">
        <v>240</v>
      </c>
      <c r="B195" s="121">
        <v>6000029134</v>
      </c>
      <c r="C195" s="2" t="s">
        <v>2891</v>
      </c>
      <c r="D195" s="2" t="s">
        <v>244</v>
      </c>
      <c r="E195" s="94">
        <v>1</v>
      </c>
      <c r="F195" s="74">
        <v>5</v>
      </c>
      <c r="G195" s="45">
        <f>F195*E195</f>
        <v>5</v>
      </c>
      <c r="H195" s="119" t="s">
        <v>27</v>
      </c>
      <c r="I195" s="128">
        <v>45358</v>
      </c>
      <c r="J195" s="74">
        <v>5</v>
      </c>
      <c r="K195" s="74"/>
      <c r="L195" s="156">
        <v>45358</v>
      </c>
      <c r="M195" s="90">
        <v>5</v>
      </c>
      <c r="N195" s="90"/>
      <c r="O195" s="90"/>
      <c r="P195" s="128" t="s">
        <v>1954</v>
      </c>
      <c r="Q195" s="94">
        <v>8500068572</v>
      </c>
      <c r="R195" s="94">
        <v>5000258564</v>
      </c>
      <c r="S195" s="74">
        <v>5</v>
      </c>
      <c r="T195" s="128" t="s">
        <v>1954</v>
      </c>
      <c r="U195" s="90"/>
      <c r="V195" s="90">
        <v>5000258619</v>
      </c>
      <c r="W195" s="109">
        <v>45359</v>
      </c>
      <c r="X195" s="106">
        <v>5</v>
      </c>
      <c r="Y195" s="106">
        <v>5</v>
      </c>
      <c r="Z195" s="106" t="s">
        <v>3232</v>
      </c>
      <c r="AA195" s="106">
        <f t="shared" si="8"/>
        <v>0</v>
      </c>
      <c r="AB195" s="106">
        <f t="shared" si="9"/>
        <v>0</v>
      </c>
      <c r="AC195" s="94"/>
      <c r="AD195" s="94"/>
      <c r="AE195" s="94"/>
      <c r="AF195" s="94"/>
      <c r="AG195" s="94"/>
      <c r="AH195" s="263"/>
    </row>
    <row r="196" spans="1:34" ht="26.25" customHeight="1">
      <c r="A196" s="45"/>
      <c r="B196" s="121"/>
      <c r="C196" s="2"/>
      <c r="D196" s="2"/>
      <c r="E196" s="94">
        <v>1</v>
      </c>
      <c r="F196" s="74">
        <v>5</v>
      </c>
      <c r="G196" s="45">
        <f>F196*E196</f>
        <v>5</v>
      </c>
      <c r="H196" s="119" t="s">
        <v>46</v>
      </c>
      <c r="I196" s="128">
        <v>45358</v>
      </c>
      <c r="J196" s="74">
        <v>5</v>
      </c>
      <c r="K196" s="74"/>
      <c r="L196" s="156">
        <v>45358</v>
      </c>
      <c r="M196" s="90">
        <v>5</v>
      </c>
      <c r="N196" s="90"/>
      <c r="O196" s="90"/>
      <c r="P196" s="128" t="s">
        <v>1954</v>
      </c>
      <c r="Q196" s="94">
        <v>8500068572</v>
      </c>
      <c r="R196" s="94">
        <v>5000258564</v>
      </c>
      <c r="S196" s="74">
        <v>5</v>
      </c>
      <c r="T196" s="128" t="s">
        <v>1954</v>
      </c>
      <c r="U196" s="90"/>
      <c r="V196" s="90"/>
      <c r="W196" s="109">
        <v>45359</v>
      </c>
      <c r="X196" s="106">
        <v>5</v>
      </c>
      <c r="Y196" s="106">
        <v>5</v>
      </c>
      <c r="Z196" s="106" t="s">
        <v>3232</v>
      </c>
      <c r="AA196" s="106">
        <f t="shared" si="8"/>
        <v>0</v>
      </c>
      <c r="AB196" s="106">
        <f t="shared" si="9"/>
        <v>0</v>
      </c>
      <c r="AC196" s="94"/>
      <c r="AD196" s="94"/>
      <c r="AE196" s="94"/>
      <c r="AF196" s="94"/>
      <c r="AG196" s="94"/>
      <c r="AH196" s="263"/>
    </row>
    <row r="197" spans="1:34" ht="26.25" customHeight="1">
      <c r="A197" s="45"/>
      <c r="B197" s="121"/>
      <c r="C197" s="2"/>
      <c r="D197" s="2"/>
      <c r="E197" s="94">
        <v>1</v>
      </c>
      <c r="F197" s="74">
        <v>5</v>
      </c>
      <c r="G197" s="45">
        <f>F197*E197</f>
        <v>5</v>
      </c>
      <c r="H197" s="119" t="s">
        <v>37</v>
      </c>
      <c r="I197" s="128">
        <v>45358</v>
      </c>
      <c r="J197" s="74">
        <v>5</v>
      </c>
      <c r="K197" s="74"/>
      <c r="L197" s="156">
        <v>45358</v>
      </c>
      <c r="M197" s="90">
        <v>5</v>
      </c>
      <c r="N197" s="90"/>
      <c r="O197" s="90"/>
      <c r="P197" s="128" t="s">
        <v>1954</v>
      </c>
      <c r="Q197" s="94">
        <v>8500068572</v>
      </c>
      <c r="R197" s="94">
        <v>5000258564</v>
      </c>
      <c r="S197" s="74">
        <v>5</v>
      </c>
      <c r="T197" s="128" t="s">
        <v>1954</v>
      </c>
      <c r="U197" s="90"/>
      <c r="V197" s="90"/>
      <c r="W197" s="109">
        <v>45359</v>
      </c>
      <c r="X197" s="106">
        <v>5</v>
      </c>
      <c r="Y197" s="106">
        <v>5</v>
      </c>
      <c r="Z197" s="106" t="s">
        <v>3232</v>
      </c>
      <c r="AA197" s="106">
        <f t="shared" si="8"/>
        <v>0</v>
      </c>
      <c r="AB197" s="106">
        <f t="shared" si="9"/>
        <v>0</v>
      </c>
      <c r="AC197" s="94"/>
      <c r="AD197" s="94"/>
      <c r="AE197" s="94"/>
      <c r="AF197" s="94"/>
      <c r="AG197" s="94"/>
      <c r="AH197" s="263"/>
    </row>
    <row r="198" spans="1:34" ht="26.25" customHeight="1">
      <c r="A198" s="45" t="s">
        <v>692</v>
      </c>
      <c r="B198" s="121">
        <v>6000028443</v>
      </c>
      <c r="C198" s="2" t="s">
        <v>1399</v>
      </c>
      <c r="D198" s="2" t="s">
        <v>2898</v>
      </c>
      <c r="E198" s="94">
        <v>10</v>
      </c>
      <c r="F198" s="74">
        <v>800</v>
      </c>
      <c r="G198" s="45">
        <f t="shared" si="10"/>
        <v>8000</v>
      </c>
      <c r="H198" s="119" t="s">
        <v>27</v>
      </c>
      <c r="I198" s="128">
        <v>45343</v>
      </c>
      <c r="J198" s="74">
        <v>800</v>
      </c>
      <c r="K198" s="74">
        <f>16+1</f>
        <v>17</v>
      </c>
      <c r="L198" s="156">
        <v>45346</v>
      </c>
      <c r="M198" s="90">
        <v>8000</v>
      </c>
      <c r="N198" s="90">
        <v>80</v>
      </c>
      <c r="O198" s="90"/>
      <c r="P198" s="94" t="s">
        <v>160</v>
      </c>
      <c r="Q198" s="94">
        <v>8500067119</v>
      </c>
      <c r="R198" s="94">
        <v>5000203516</v>
      </c>
      <c r="S198" s="74">
        <v>800</v>
      </c>
      <c r="T198" s="90" t="s">
        <v>1558</v>
      </c>
      <c r="U198" s="90">
        <v>8500067118</v>
      </c>
      <c r="V198" s="90">
        <v>5000217579</v>
      </c>
      <c r="W198" s="109">
        <v>45358</v>
      </c>
      <c r="X198" s="106">
        <v>800</v>
      </c>
      <c r="Y198" s="106">
        <v>8000</v>
      </c>
      <c r="Z198" s="106" t="s">
        <v>800</v>
      </c>
      <c r="AA198" s="106">
        <f t="shared" si="8"/>
        <v>0</v>
      </c>
      <c r="AB198" s="106">
        <f t="shared" si="9"/>
        <v>0</v>
      </c>
      <c r="AC198" s="94"/>
      <c r="AD198" s="94"/>
      <c r="AE198" s="94"/>
      <c r="AF198" s="94"/>
      <c r="AG198" s="94"/>
      <c r="AH198" s="263"/>
    </row>
    <row r="199" spans="1:34" ht="26.25" customHeight="1">
      <c r="A199" s="45"/>
      <c r="B199" s="121"/>
      <c r="C199" s="2"/>
      <c r="D199" s="2" t="s">
        <v>2899</v>
      </c>
      <c r="E199" s="94">
        <v>10</v>
      </c>
      <c r="F199" s="74">
        <v>1122</v>
      </c>
      <c r="G199" s="45">
        <f t="shared" si="10"/>
        <v>11220</v>
      </c>
      <c r="H199" s="119" t="s">
        <v>46</v>
      </c>
      <c r="I199" s="128">
        <v>45343</v>
      </c>
      <c r="J199" s="74">
        <v>1122</v>
      </c>
      <c r="K199" s="74">
        <f>24+3</f>
        <v>27</v>
      </c>
      <c r="L199" s="156">
        <v>45345</v>
      </c>
      <c r="M199" s="90">
        <v>11220</v>
      </c>
      <c r="N199" s="90">
        <v>112</v>
      </c>
      <c r="O199" s="90"/>
      <c r="P199" s="94" t="s">
        <v>160</v>
      </c>
      <c r="Q199" s="94">
        <v>8500067117</v>
      </c>
      <c r="R199" s="94">
        <v>5000203518</v>
      </c>
      <c r="S199" s="74">
        <v>1122</v>
      </c>
      <c r="T199" s="90" t="s">
        <v>1558</v>
      </c>
      <c r="U199" s="90">
        <v>8500067116</v>
      </c>
      <c r="V199" s="90">
        <v>5000213094</v>
      </c>
      <c r="W199" s="109">
        <v>45358</v>
      </c>
      <c r="X199" s="106">
        <v>1122</v>
      </c>
      <c r="Y199" s="106">
        <v>11220</v>
      </c>
      <c r="Z199" s="106" t="s">
        <v>800</v>
      </c>
      <c r="AA199" s="106">
        <f t="shared" si="8"/>
        <v>0</v>
      </c>
      <c r="AB199" s="106">
        <f t="shared" si="9"/>
        <v>0</v>
      </c>
      <c r="AC199" s="94"/>
      <c r="AD199" s="94"/>
      <c r="AE199" s="94"/>
      <c r="AF199" s="94"/>
      <c r="AG199" s="94"/>
      <c r="AH199" s="263"/>
    </row>
    <row r="200" spans="1:34" ht="26.25" customHeight="1">
      <c r="A200" s="45"/>
      <c r="B200" s="121"/>
      <c r="C200" s="2"/>
      <c r="D200" s="2" t="s">
        <v>2897</v>
      </c>
      <c r="E200" s="94">
        <v>10</v>
      </c>
      <c r="F200" s="74">
        <v>750</v>
      </c>
      <c r="G200" s="45">
        <f t="shared" si="10"/>
        <v>7500</v>
      </c>
      <c r="H200" s="119" t="s">
        <v>37</v>
      </c>
      <c r="I200" s="128">
        <v>45343</v>
      </c>
      <c r="J200" s="74">
        <v>750</v>
      </c>
      <c r="K200" s="74">
        <v>16</v>
      </c>
      <c r="L200" s="156">
        <v>45346</v>
      </c>
      <c r="M200" s="90">
        <v>7500</v>
      </c>
      <c r="N200" s="90">
        <v>75</v>
      </c>
      <c r="O200" s="90"/>
      <c r="P200" s="94" t="s">
        <v>160</v>
      </c>
      <c r="Q200" s="94">
        <v>8500067115</v>
      </c>
      <c r="R200" s="94">
        <v>5000203530</v>
      </c>
      <c r="S200" s="74">
        <v>750</v>
      </c>
      <c r="T200" s="90" t="s">
        <v>1558</v>
      </c>
      <c r="U200" s="90">
        <v>8500067114</v>
      </c>
      <c r="V200" s="90">
        <v>5000217580</v>
      </c>
      <c r="W200" s="109">
        <v>45358</v>
      </c>
      <c r="X200" s="106">
        <v>750</v>
      </c>
      <c r="Y200" s="106">
        <v>7500</v>
      </c>
      <c r="Z200" s="106" t="s">
        <v>800</v>
      </c>
      <c r="AA200" s="106">
        <f t="shared" ref="AA200:AA263" si="11">J200-X200</f>
        <v>0</v>
      </c>
      <c r="AB200" s="106">
        <f t="shared" ref="AB200:AB263" si="12">M200-Y200</f>
        <v>0</v>
      </c>
      <c r="AC200" s="94"/>
      <c r="AD200" s="94"/>
      <c r="AE200" s="94"/>
      <c r="AF200" s="94"/>
      <c r="AG200" s="94"/>
      <c r="AH200" s="263"/>
    </row>
    <row r="201" spans="1:34" ht="26.25" customHeight="1">
      <c r="A201" s="45"/>
      <c r="B201" s="121"/>
      <c r="C201" s="2"/>
      <c r="D201" s="2" t="s">
        <v>2900</v>
      </c>
      <c r="E201" s="94">
        <v>10</v>
      </c>
      <c r="F201" s="74">
        <v>100</v>
      </c>
      <c r="G201" s="45">
        <f t="shared" si="10"/>
        <v>1000</v>
      </c>
      <c r="H201" s="119" t="s">
        <v>146</v>
      </c>
      <c r="I201" s="128">
        <v>45343</v>
      </c>
      <c r="J201" s="74">
        <v>100</v>
      </c>
      <c r="K201" s="74">
        <f>2+2</f>
        <v>4</v>
      </c>
      <c r="L201" s="156">
        <v>45346</v>
      </c>
      <c r="M201" s="90">
        <v>1000</v>
      </c>
      <c r="N201" s="90">
        <v>10</v>
      </c>
      <c r="O201" s="90"/>
      <c r="P201" s="94" t="s">
        <v>160</v>
      </c>
      <c r="Q201" s="94">
        <v>8500067121</v>
      </c>
      <c r="R201" s="94">
        <v>5000203532</v>
      </c>
      <c r="S201" s="74">
        <v>100</v>
      </c>
      <c r="T201" s="90" t="s">
        <v>1558</v>
      </c>
      <c r="U201" s="90">
        <v>8500067120</v>
      </c>
      <c r="V201" s="90">
        <v>5000217581</v>
      </c>
      <c r="W201" s="109">
        <v>45358</v>
      </c>
      <c r="X201" s="106">
        <v>100</v>
      </c>
      <c r="Y201" s="106">
        <v>1000</v>
      </c>
      <c r="Z201" s="106" t="s">
        <v>800</v>
      </c>
      <c r="AA201" s="106">
        <f t="shared" si="11"/>
        <v>0</v>
      </c>
      <c r="AB201" s="106">
        <f t="shared" si="12"/>
        <v>0</v>
      </c>
      <c r="AC201" s="94"/>
      <c r="AD201" s="94"/>
      <c r="AE201" s="94"/>
      <c r="AF201" s="94"/>
      <c r="AG201" s="94"/>
      <c r="AH201" s="263"/>
    </row>
    <row r="202" spans="1:34" ht="26.25" customHeight="1">
      <c r="A202" s="45" t="s">
        <v>692</v>
      </c>
      <c r="B202" s="121">
        <v>6000028444</v>
      </c>
      <c r="C202" s="2" t="s">
        <v>1399</v>
      </c>
      <c r="D202" s="2" t="s">
        <v>2902</v>
      </c>
      <c r="E202" s="94">
        <v>10</v>
      </c>
      <c r="F202" s="74">
        <v>800</v>
      </c>
      <c r="G202" s="45">
        <f t="shared" si="10"/>
        <v>8000</v>
      </c>
      <c r="H202" s="119" t="s">
        <v>27</v>
      </c>
      <c r="I202" s="128">
        <v>45343</v>
      </c>
      <c r="J202" s="74">
        <v>800</v>
      </c>
      <c r="K202" s="74">
        <f>16+1</f>
        <v>17</v>
      </c>
      <c r="L202" s="156">
        <v>45343</v>
      </c>
      <c r="M202" s="90">
        <v>8000</v>
      </c>
      <c r="N202" s="90">
        <v>80</v>
      </c>
      <c r="O202" s="90" t="s">
        <v>1439</v>
      </c>
      <c r="P202" s="94" t="s">
        <v>160</v>
      </c>
      <c r="Q202" s="94">
        <v>8500067272</v>
      </c>
      <c r="R202" s="94">
        <v>5000203534</v>
      </c>
      <c r="S202" s="74">
        <v>800</v>
      </c>
      <c r="T202" s="90" t="s">
        <v>1558</v>
      </c>
      <c r="U202" s="90">
        <v>8500067271</v>
      </c>
      <c r="V202" s="90">
        <v>5000206671</v>
      </c>
      <c r="W202" s="109">
        <v>45345</v>
      </c>
      <c r="X202" s="106">
        <v>800</v>
      </c>
      <c r="Y202" s="106">
        <v>8000</v>
      </c>
      <c r="Z202" s="106" t="s">
        <v>800</v>
      </c>
      <c r="AA202" s="106">
        <f t="shared" si="11"/>
        <v>0</v>
      </c>
      <c r="AB202" s="106">
        <f t="shared" si="12"/>
        <v>0</v>
      </c>
      <c r="AC202" s="94"/>
      <c r="AD202" s="94"/>
      <c r="AE202" s="94"/>
      <c r="AF202" s="94"/>
      <c r="AG202" s="94"/>
      <c r="AH202" s="263"/>
    </row>
    <row r="203" spans="1:34" ht="26.25" customHeight="1">
      <c r="A203" s="45"/>
      <c r="B203" s="121"/>
      <c r="C203" s="2"/>
      <c r="D203" s="2" t="s">
        <v>2903</v>
      </c>
      <c r="E203" s="94">
        <v>10</v>
      </c>
      <c r="F203" s="74">
        <v>1122</v>
      </c>
      <c r="G203" s="45">
        <f t="shared" ref="G203:G213" si="13">F203*E203</f>
        <v>11220</v>
      </c>
      <c r="H203" s="119" t="s">
        <v>46</v>
      </c>
      <c r="I203" s="128">
        <v>45343</v>
      </c>
      <c r="J203" s="74">
        <v>1122</v>
      </c>
      <c r="K203" s="74">
        <f>24+2</f>
        <v>26</v>
      </c>
      <c r="L203" s="156">
        <v>45343</v>
      </c>
      <c r="M203" s="90">
        <v>11220</v>
      </c>
      <c r="N203" s="90">
        <v>112</v>
      </c>
      <c r="O203" s="90" t="s">
        <v>1754</v>
      </c>
      <c r="P203" s="94" t="s">
        <v>160</v>
      </c>
      <c r="Q203" s="94">
        <v>8500067267</v>
      </c>
      <c r="R203" s="94">
        <v>5000203535</v>
      </c>
      <c r="S203" s="74">
        <v>1122</v>
      </c>
      <c r="T203" s="90" t="s">
        <v>1558</v>
      </c>
      <c r="U203" s="90">
        <v>8500067265</v>
      </c>
      <c r="V203" s="90">
        <v>5000206677</v>
      </c>
      <c r="W203" s="109" t="s">
        <v>2946</v>
      </c>
      <c r="X203" s="106">
        <f>98+1024</f>
        <v>1122</v>
      </c>
      <c r="Y203" s="106">
        <f>980+10240</f>
        <v>11220</v>
      </c>
      <c r="Z203" s="106" t="s">
        <v>800</v>
      </c>
      <c r="AA203" s="106">
        <f t="shared" si="11"/>
        <v>0</v>
      </c>
      <c r="AB203" s="106">
        <f t="shared" si="12"/>
        <v>0</v>
      </c>
      <c r="AC203" s="94"/>
      <c r="AD203" s="94"/>
      <c r="AE203" s="94"/>
      <c r="AF203" s="94"/>
      <c r="AG203" s="94"/>
      <c r="AH203" s="263"/>
    </row>
    <row r="204" spans="1:34" ht="26.25" customHeight="1">
      <c r="A204" s="45"/>
      <c r="B204" s="121"/>
      <c r="C204" s="2"/>
      <c r="D204" s="2" t="s">
        <v>2901</v>
      </c>
      <c r="E204" s="94">
        <v>10</v>
      </c>
      <c r="F204" s="74">
        <v>750</v>
      </c>
      <c r="G204" s="45">
        <f t="shared" si="13"/>
        <v>7500</v>
      </c>
      <c r="H204" s="119" t="s">
        <v>37</v>
      </c>
      <c r="I204" s="128">
        <v>45343</v>
      </c>
      <c r="J204" s="74">
        <v>750</v>
      </c>
      <c r="K204" s="74">
        <v>16</v>
      </c>
      <c r="L204" s="156">
        <v>45343</v>
      </c>
      <c r="M204" s="90">
        <v>7500</v>
      </c>
      <c r="N204" s="90">
        <v>75</v>
      </c>
      <c r="O204" s="90" t="s">
        <v>1439</v>
      </c>
      <c r="P204" s="94" t="s">
        <v>160</v>
      </c>
      <c r="Q204" s="94">
        <v>8500067261</v>
      </c>
      <c r="R204" s="94">
        <v>5000203536</v>
      </c>
      <c r="S204" s="74">
        <v>750</v>
      </c>
      <c r="T204" s="90" t="s">
        <v>1558</v>
      </c>
      <c r="U204" s="90">
        <v>8500067220</v>
      </c>
      <c r="V204" s="90">
        <v>5000206679</v>
      </c>
      <c r="W204" s="109">
        <v>45357</v>
      </c>
      <c r="X204" s="106">
        <v>750</v>
      </c>
      <c r="Y204" s="106">
        <v>7500</v>
      </c>
      <c r="Z204" s="106" t="s">
        <v>800</v>
      </c>
      <c r="AA204" s="106">
        <f t="shared" si="11"/>
        <v>0</v>
      </c>
      <c r="AB204" s="106">
        <f t="shared" si="12"/>
        <v>0</v>
      </c>
      <c r="AC204" s="94"/>
      <c r="AD204" s="94"/>
      <c r="AE204" s="94"/>
      <c r="AF204" s="94"/>
      <c r="AG204" s="94"/>
      <c r="AH204" s="263"/>
    </row>
    <row r="205" spans="1:34" ht="26.25" customHeight="1">
      <c r="A205" s="45"/>
      <c r="B205" s="121"/>
      <c r="C205" s="2"/>
      <c r="D205" s="2" t="s">
        <v>2904</v>
      </c>
      <c r="E205" s="94">
        <v>10</v>
      </c>
      <c r="F205" s="74">
        <v>100</v>
      </c>
      <c r="G205" s="45">
        <f t="shared" si="13"/>
        <v>1000</v>
      </c>
      <c r="H205" s="119" t="s">
        <v>146</v>
      </c>
      <c r="I205" s="128">
        <v>45344</v>
      </c>
      <c r="J205" s="74">
        <v>100</v>
      </c>
      <c r="K205" s="74">
        <f>2+1</f>
        <v>3</v>
      </c>
      <c r="L205" s="156">
        <v>45343</v>
      </c>
      <c r="M205" s="90">
        <v>1000</v>
      </c>
      <c r="N205" s="90">
        <v>10</v>
      </c>
      <c r="O205" s="90" t="s">
        <v>1556</v>
      </c>
      <c r="P205" s="94" t="s">
        <v>160</v>
      </c>
      <c r="Q205" s="94">
        <v>8500067274</v>
      </c>
      <c r="R205" s="94">
        <v>5000207006</v>
      </c>
      <c r="S205" s="74">
        <v>100</v>
      </c>
      <c r="T205" s="90" t="s">
        <v>1558</v>
      </c>
      <c r="U205" s="90">
        <v>8500067273</v>
      </c>
      <c r="V205" s="90">
        <v>5000206681</v>
      </c>
      <c r="W205" s="109">
        <v>45357</v>
      </c>
      <c r="X205" s="106">
        <v>100</v>
      </c>
      <c r="Y205" s="106">
        <v>1000</v>
      </c>
      <c r="Z205" s="106" t="s">
        <v>800</v>
      </c>
      <c r="AA205" s="106">
        <f t="shared" si="11"/>
        <v>0</v>
      </c>
      <c r="AB205" s="106">
        <f t="shared" si="12"/>
        <v>0</v>
      </c>
      <c r="AC205" s="94"/>
      <c r="AD205" s="94"/>
      <c r="AE205" s="94"/>
      <c r="AF205" s="94"/>
      <c r="AG205" s="94"/>
      <c r="AH205" s="263"/>
    </row>
    <row r="206" spans="1:34" ht="26.25" customHeight="1">
      <c r="A206" s="45" t="s">
        <v>692</v>
      </c>
      <c r="B206" s="121">
        <v>6000028445</v>
      </c>
      <c r="C206" s="2" t="s">
        <v>1399</v>
      </c>
      <c r="D206" s="2" t="s">
        <v>2905</v>
      </c>
      <c r="E206" s="94">
        <v>10</v>
      </c>
      <c r="F206" s="74">
        <v>800</v>
      </c>
      <c r="G206" s="45">
        <f t="shared" si="13"/>
        <v>8000</v>
      </c>
      <c r="H206" s="119" t="s">
        <v>27</v>
      </c>
      <c r="I206" s="128">
        <v>45343</v>
      </c>
      <c r="J206" s="158">
        <v>800</v>
      </c>
      <c r="K206" s="74">
        <v>16</v>
      </c>
      <c r="L206" s="156">
        <v>45343</v>
      </c>
      <c r="M206" s="90">
        <v>8000</v>
      </c>
      <c r="N206" s="90">
        <v>80</v>
      </c>
      <c r="O206" s="90" t="s">
        <v>862</v>
      </c>
      <c r="P206" s="94" t="s">
        <v>160</v>
      </c>
      <c r="Q206" s="94">
        <v>8500067268</v>
      </c>
      <c r="R206" s="94">
        <v>5000203537</v>
      </c>
      <c r="S206" s="158">
        <v>800</v>
      </c>
      <c r="T206" s="90" t="s">
        <v>1558</v>
      </c>
      <c r="U206" s="90">
        <v>8500067266</v>
      </c>
      <c r="V206" s="90">
        <v>5000206650</v>
      </c>
      <c r="W206" s="109" t="s">
        <v>2963</v>
      </c>
      <c r="X206" s="106">
        <f>300+200+300</f>
        <v>800</v>
      </c>
      <c r="Y206" s="106">
        <f>3000+2000+3000</f>
        <v>8000</v>
      </c>
      <c r="Z206" s="106" t="s">
        <v>1944</v>
      </c>
      <c r="AA206" s="106">
        <f t="shared" si="11"/>
        <v>0</v>
      </c>
      <c r="AB206" s="106">
        <f t="shared" si="12"/>
        <v>0</v>
      </c>
      <c r="AC206" s="94"/>
      <c r="AD206" s="94"/>
      <c r="AE206" s="94"/>
      <c r="AF206" s="94"/>
      <c r="AG206" s="94"/>
      <c r="AH206" s="263"/>
    </row>
    <row r="207" spans="1:34" ht="30" customHeight="1">
      <c r="A207" s="45"/>
      <c r="B207" s="121"/>
      <c r="C207" s="2"/>
      <c r="D207" s="2" t="s">
        <v>2906</v>
      </c>
      <c r="E207" s="94">
        <v>10</v>
      </c>
      <c r="F207" s="74">
        <v>1122</v>
      </c>
      <c r="G207" s="45">
        <f t="shared" si="13"/>
        <v>11220</v>
      </c>
      <c r="H207" s="119" t="s">
        <v>46</v>
      </c>
      <c r="I207" s="128">
        <v>45343</v>
      </c>
      <c r="J207" s="74">
        <v>1122</v>
      </c>
      <c r="K207" s="74">
        <f>24+4</f>
        <v>28</v>
      </c>
      <c r="L207" s="156">
        <v>45343</v>
      </c>
      <c r="M207" s="90">
        <v>11220</v>
      </c>
      <c r="N207" s="90">
        <v>112</v>
      </c>
      <c r="O207" s="90" t="s">
        <v>1754</v>
      </c>
      <c r="P207" s="94" t="s">
        <v>160</v>
      </c>
      <c r="Q207" s="94">
        <v>8500067264</v>
      </c>
      <c r="R207" s="94">
        <v>5000202662</v>
      </c>
      <c r="S207" s="74">
        <v>1122</v>
      </c>
      <c r="T207" s="90" t="s">
        <v>1558</v>
      </c>
      <c r="U207" s="90">
        <v>8500067263</v>
      </c>
      <c r="V207" s="90">
        <v>5000206651</v>
      </c>
      <c r="W207" s="109" t="s">
        <v>3109</v>
      </c>
      <c r="X207" s="106">
        <f>200+510+43+200+72+97</f>
        <v>1122</v>
      </c>
      <c r="Y207" s="106">
        <f>2000+5100+430+2000+720+970</f>
        <v>11220</v>
      </c>
      <c r="Z207" s="106" t="s">
        <v>3191</v>
      </c>
      <c r="AA207" s="106">
        <f t="shared" si="11"/>
        <v>0</v>
      </c>
      <c r="AB207" s="106">
        <f t="shared" si="12"/>
        <v>0</v>
      </c>
      <c r="AC207" s="94"/>
      <c r="AD207" s="94"/>
      <c r="AE207" s="94"/>
      <c r="AF207" s="94"/>
      <c r="AG207" s="94"/>
      <c r="AH207" s="263"/>
    </row>
    <row r="208" spans="1:34" ht="26.25" customHeight="1">
      <c r="A208" s="45"/>
      <c r="B208" s="121"/>
      <c r="C208" s="2"/>
      <c r="D208" s="2" t="s">
        <v>2907</v>
      </c>
      <c r="E208" s="94">
        <v>10</v>
      </c>
      <c r="F208" s="74">
        <v>750</v>
      </c>
      <c r="G208" s="45">
        <f t="shared" si="13"/>
        <v>7500</v>
      </c>
      <c r="H208" s="119" t="s">
        <v>37</v>
      </c>
      <c r="I208" s="128">
        <v>45343</v>
      </c>
      <c r="J208" s="74">
        <v>750</v>
      </c>
      <c r="K208" s="74">
        <f>16+2</f>
        <v>18</v>
      </c>
      <c r="L208" s="156">
        <v>45343</v>
      </c>
      <c r="M208" s="90">
        <v>7500</v>
      </c>
      <c r="N208" s="90">
        <v>75</v>
      </c>
      <c r="O208" s="90" t="s">
        <v>862</v>
      </c>
      <c r="P208" s="94" t="s">
        <v>160</v>
      </c>
      <c r="Q208" s="94">
        <v>8500067262</v>
      </c>
      <c r="R208" s="94">
        <v>5000202664</v>
      </c>
      <c r="S208" s="74">
        <v>750</v>
      </c>
      <c r="T208" s="90" t="s">
        <v>1558</v>
      </c>
      <c r="U208" s="90">
        <v>8500067260</v>
      </c>
      <c r="V208" s="90">
        <v>5000206652</v>
      </c>
      <c r="W208" s="109" t="s">
        <v>3130</v>
      </c>
      <c r="X208" s="106">
        <f>200+38+512</f>
        <v>750</v>
      </c>
      <c r="Y208" s="106">
        <f>2000+380+5120</f>
        <v>7500</v>
      </c>
      <c r="Z208" s="106" t="s">
        <v>3131</v>
      </c>
      <c r="AA208" s="106">
        <f t="shared" si="11"/>
        <v>0</v>
      </c>
      <c r="AB208" s="106">
        <f t="shared" si="12"/>
        <v>0</v>
      </c>
      <c r="AC208" s="94"/>
      <c r="AD208" s="94"/>
      <c r="AE208" s="94"/>
      <c r="AF208" s="94"/>
      <c r="AG208" s="94"/>
      <c r="AH208" s="263"/>
    </row>
    <row r="209" spans="1:34" ht="26.25" customHeight="1">
      <c r="A209" s="45"/>
      <c r="B209" s="121"/>
      <c r="C209" s="2"/>
      <c r="D209" s="2" t="s">
        <v>2908</v>
      </c>
      <c r="E209" s="94">
        <v>10</v>
      </c>
      <c r="F209" s="74">
        <v>100</v>
      </c>
      <c r="G209" s="45">
        <f t="shared" si="13"/>
        <v>1000</v>
      </c>
      <c r="H209" s="119" t="s">
        <v>146</v>
      </c>
      <c r="I209" s="128">
        <v>45344</v>
      </c>
      <c r="J209" s="158">
        <v>100</v>
      </c>
      <c r="K209" s="74">
        <f>2+1</f>
        <v>3</v>
      </c>
      <c r="L209" s="156">
        <v>45343</v>
      </c>
      <c r="M209" s="90">
        <v>1000</v>
      </c>
      <c r="N209" s="90">
        <v>10</v>
      </c>
      <c r="O209" s="90" t="s">
        <v>1556</v>
      </c>
      <c r="P209" s="94" t="s">
        <v>160</v>
      </c>
      <c r="Q209" s="94">
        <v>8500067270</v>
      </c>
      <c r="R209" s="94">
        <v>5000207147</v>
      </c>
      <c r="S209" s="158">
        <v>100</v>
      </c>
      <c r="T209" s="90" t="s">
        <v>1558</v>
      </c>
      <c r="U209" s="90">
        <v>8500067269</v>
      </c>
      <c r="V209" s="90">
        <v>5000206654</v>
      </c>
      <c r="W209" s="109">
        <v>45365</v>
      </c>
      <c r="X209" s="106">
        <v>100</v>
      </c>
      <c r="Y209" s="106">
        <v>1000</v>
      </c>
      <c r="Z209" s="106" t="s">
        <v>800</v>
      </c>
      <c r="AA209" s="106">
        <f t="shared" si="11"/>
        <v>0</v>
      </c>
      <c r="AB209" s="106">
        <f t="shared" si="12"/>
        <v>0</v>
      </c>
      <c r="AC209" s="94"/>
      <c r="AD209" s="94"/>
      <c r="AE209" s="94"/>
      <c r="AF209" s="94"/>
      <c r="AG209" s="94"/>
      <c r="AH209" s="263"/>
    </row>
    <row r="210" spans="1:34" ht="26.25" customHeight="1">
      <c r="A210" s="45" t="s">
        <v>692</v>
      </c>
      <c r="B210" s="121">
        <v>6000028541</v>
      </c>
      <c r="C210" s="2" t="s">
        <v>1399</v>
      </c>
      <c r="D210" s="2" t="s">
        <v>2909</v>
      </c>
      <c r="E210" s="94">
        <v>10</v>
      </c>
      <c r="F210" s="74">
        <v>850</v>
      </c>
      <c r="G210" s="45">
        <f t="shared" si="13"/>
        <v>8500</v>
      </c>
      <c r="H210" s="119" t="s">
        <v>27</v>
      </c>
      <c r="I210" s="128">
        <v>45343</v>
      </c>
      <c r="J210" s="74">
        <v>850</v>
      </c>
      <c r="K210" s="74">
        <v>18</v>
      </c>
      <c r="L210" s="156">
        <v>45343</v>
      </c>
      <c r="M210" s="90">
        <v>8500</v>
      </c>
      <c r="N210" s="90">
        <v>85</v>
      </c>
      <c r="O210" s="90" t="s">
        <v>1791</v>
      </c>
      <c r="P210" s="94" t="s">
        <v>160</v>
      </c>
      <c r="Q210" s="94">
        <v>8500067386</v>
      </c>
      <c r="R210" s="94">
        <v>5000202678</v>
      </c>
      <c r="S210" s="74">
        <v>850</v>
      </c>
      <c r="T210" s="90" t="s">
        <v>1558</v>
      </c>
      <c r="U210" s="90">
        <v>8500067385</v>
      </c>
      <c r="V210" s="90">
        <v>5000206630</v>
      </c>
      <c r="W210" s="109">
        <v>45352</v>
      </c>
      <c r="X210" s="106">
        <v>850</v>
      </c>
      <c r="Y210" s="106">
        <v>8500</v>
      </c>
      <c r="Z210" s="106" t="s">
        <v>800</v>
      </c>
      <c r="AA210" s="106">
        <f t="shared" si="11"/>
        <v>0</v>
      </c>
      <c r="AB210" s="106">
        <f t="shared" si="12"/>
        <v>0</v>
      </c>
      <c r="AC210" s="94"/>
      <c r="AD210" s="94"/>
      <c r="AE210" s="94"/>
      <c r="AF210" s="94"/>
      <c r="AG210" s="94"/>
      <c r="AH210" s="263"/>
    </row>
    <row r="211" spans="1:34" ht="26.25" customHeight="1">
      <c r="A211" s="45"/>
      <c r="B211" s="121"/>
      <c r="C211" s="2"/>
      <c r="D211" s="2" t="s">
        <v>2910</v>
      </c>
      <c r="E211" s="94">
        <v>10</v>
      </c>
      <c r="F211" s="74">
        <v>1122</v>
      </c>
      <c r="G211" s="45">
        <f t="shared" si="13"/>
        <v>11220</v>
      </c>
      <c r="H211" s="119" t="s">
        <v>46</v>
      </c>
      <c r="I211" s="128">
        <v>45343</v>
      </c>
      <c r="J211" s="74">
        <v>1122</v>
      </c>
      <c r="K211" s="74">
        <f>24+3</f>
        <v>27</v>
      </c>
      <c r="L211" s="156">
        <v>45343</v>
      </c>
      <c r="M211" s="90">
        <v>11220</v>
      </c>
      <c r="N211" s="90">
        <v>112</v>
      </c>
      <c r="O211" s="90" t="s">
        <v>741</v>
      </c>
      <c r="P211" s="94" t="s">
        <v>160</v>
      </c>
      <c r="Q211" s="94">
        <v>8500067384</v>
      </c>
      <c r="R211" s="94">
        <v>5000202675</v>
      </c>
      <c r="S211" s="74">
        <v>1122</v>
      </c>
      <c r="T211" s="90" t="s">
        <v>1558</v>
      </c>
      <c r="U211" s="90">
        <v>8500067383</v>
      </c>
      <c r="V211" s="90">
        <v>5000206631</v>
      </c>
      <c r="W211" s="109">
        <v>45352</v>
      </c>
      <c r="X211" s="106">
        <v>1122</v>
      </c>
      <c r="Y211" s="106">
        <v>11220</v>
      </c>
      <c r="Z211" s="106" t="s">
        <v>800</v>
      </c>
      <c r="AA211" s="106">
        <f t="shared" si="11"/>
        <v>0</v>
      </c>
      <c r="AB211" s="106">
        <f t="shared" si="12"/>
        <v>0</v>
      </c>
      <c r="AC211" s="94"/>
      <c r="AD211" s="94"/>
      <c r="AE211" s="94"/>
      <c r="AF211" s="94"/>
      <c r="AG211" s="94"/>
      <c r="AH211" s="263"/>
    </row>
    <row r="212" spans="1:34" ht="26.25" customHeight="1">
      <c r="A212" s="45"/>
      <c r="B212" s="121"/>
      <c r="C212" s="2"/>
      <c r="D212" s="2" t="s">
        <v>2911</v>
      </c>
      <c r="E212" s="94">
        <v>10</v>
      </c>
      <c r="F212" s="74">
        <v>700</v>
      </c>
      <c r="G212" s="45">
        <f t="shared" si="13"/>
        <v>7000</v>
      </c>
      <c r="H212" s="119" t="s">
        <v>37</v>
      </c>
      <c r="I212" s="128">
        <v>45343</v>
      </c>
      <c r="J212" s="74">
        <v>700</v>
      </c>
      <c r="K212" s="74">
        <v>14</v>
      </c>
      <c r="L212" s="156">
        <v>45343</v>
      </c>
      <c r="M212" s="90">
        <v>7000</v>
      </c>
      <c r="N212" s="90">
        <v>70</v>
      </c>
      <c r="O212" s="90" t="s">
        <v>1791</v>
      </c>
      <c r="P212" s="94" t="s">
        <v>160</v>
      </c>
      <c r="Q212" s="94">
        <v>8500067382</v>
      </c>
      <c r="R212" s="94">
        <v>5000202674</v>
      </c>
      <c r="S212" s="74">
        <v>700</v>
      </c>
      <c r="T212" s="90" t="s">
        <v>1558</v>
      </c>
      <c r="U212" s="90">
        <v>8500067381</v>
      </c>
      <c r="V212" s="90">
        <v>5000206632</v>
      </c>
      <c r="W212" s="109">
        <v>45352</v>
      </c>
      <c r="X212" s="106">
        <v>700</v>
      </c>
      <c r="Y212" s="106">
        <v>7000</v>
      </c>
      <c r="Z212" s="106" t="s">
        <v>800</v>
      </c>
      <c r="AA212" s="106">
        <f t="shared" si="11"/>
        <v>0</v>
      </c>
      <c r="AB212" s="106">
        <f t="shared" si="12"/>
        <v>0</v>
      </c>
      <c r="AC212" s="94"/>
      <c r="AD212" s="94"/>
      <c r="AE212" s="94"/>
      <c r="AF212" s="94"/>
      <c r="AG212" s="94"/>
      <c r="AH212" s="263"/>
    </row>
    <row r="213" spans="1:34" ht="26.25" customHeight="1">
      <c r="A213" s="45"/>
      <c r="B213" s="121"/>
      <c r="C213" s="2"/>
      <c r="D213" s="2" t="s">
        <v>2912</v>
      </c>
      <c r="E213" s="94">
        <v>10</v>
      </c>
      <c r="F213" s="74">
        <v>100</v>
      </c>
      <c r="G213" s="45">
        <f t="shared" si="13"/>
        <v>1000</v>
      </c>
      <c r="H213" s="119" t="s">
        <v>146</v>
      </c>
      <c r="I213" s="128">
        <v>45344</v>
      </c>
      <c r="J213" s="74">
        <v>100</v>
      </c>
      <c r="K213" s="74">
        <f>2+4</f>
        <v>6</v>
      </c>
      <c r="L213" s="156">
        <v>45343</v>
      </c>
      <c r="M213" s="90">
        <v>1000</v>
      </c>
      <c r="N213" s="90">
        <v>10</v>
      </c>
      <c r="O213" s="90" t="s">
        <v>1388</v>
      </c>
      <c r="P213" s="94" t="s">
        <v>160</v>
      </c>
      <c r="Q213" s="94">
        <v>8500067388</v>
      </c>
      <c r="R213" s="94">
        <v>5000207164</v>
      </c>
      <c r="S213" s="74">
        <v>100</v>
      </c>
      <c r="T213" s="90" t="s">
        <v>1558</v>
      </c>
      <c r="U213" s="90">
        <v>8500067387</v>
      </c>
      <c r="V213" s="90">
        <v>5000206633</v>
      </c>
      <c r="W213" s="109">
        <v>45352</v>
      </c>
      <c r="X213" s="106">
        <v>100</v>
      </c>
      <c r="Y213" s="106">
        <v>1000</v>
      </c>
      <c r="Z213" s="106" t="s">
        <v>800</v>
      </c>
      <c r="AA213" s="106">
        <f t="shared" si="11"/>
        <v>0</v>
      </c>
      <c r="AB213" s="106">
        <f t="shared" si="12"/>
        <v>0</v>
      </c>
      <c r="AC213" s="94"/>
      <c r="AD213" s="94"/>
      <c r="AE213" s="94"/>
      <c r="AF213" s="94"/>
      <c r="AG213" s="94"/>
      <c r="AH213" s="263"/>
    </row>
    <row r="214" spans="1:34" ht="26.25" customHeight="1">
      <c r="A214" s="45" t="s">
        <v>692</v>
      </c>
      <c r="B214" s="121">
        <v>6000028542</v>
      </c>
      <c r="C214" s="2" t="s">
        <v>1399</v>
      </c>
      <c r="D214" s="2" t="s">
        <v>2913</v>
      </c>
      <c r="E214" s="94">
        <v>10</v>
      </c>
      <c r="F214" s="74">
        <v>850</v>
      </c>
      <c r="G214" s="45">
        <f t="shared" si="10"/>
        <v>8500</v>
      </c>
      <c r="H214" s="119" t="s">
        <v>27</v>
      </c>
      <c r="I214" s="128" t="s">
        <v>2924</v>
      </c>
      <c r="J214" s="74">
        <v>850</v>
      </c>
      <c r="K214" s="74">
        <f>18+5</f>
        <v>23</v>
      </c>
      <c r="L214" s="156">
        <v>45343</v>
      </c>
      <c r="M214" s="45">
        <v>8500</v>
      </c>
      <c r="N214" s="90">
        <v>85</v>
      </c>
      <c r="O214" s="90" t="s">
        <v>1439</v>
      </c>
      <c r="P214" s="94" t="s">
        <v>160</v>
      </c>
      <c r="Q214" s="94">
        <v>8500067394</v>
      </c>
      <c r="R214" s="94">
        <v>5000202668</v>
      </c>
      <c r="S214" s="74">
        <v>850</v>
      </c>
      <c r="T214" s="90" t="s">
        <v>1558</v>
      </c>
      <c r="U214" s="90">
        <v>8500067393</v>
      </c>
      <c r="V214" s="90">
        <v>5000206635</v>
      </c>
      <c r="W214" s="109">
        <v>45360</v>
      </c>
      <c r="X214" s="106">
        <v>850</v>
      </c>
      <c r="Y214" s="106">
        <v>8500</v>
      </c>
      <c r="Z214" s="106" t="s">
        <v>800</v>
      </c>
      <c r="AA214" s="106">
        <f t="shared" si="11"/>
        <v>0</v>
      </c>
      <c r="AB214" s="106">
        <f t="shared" si="12"/>
        <v>0</v>
      </c>
      <c r="AC214" s="94"/>
      <c r="AD214" s="94"/>
      <c r="AE214" s="94"/>
      <c r="AF214" s="94"/>
      <c r="AG214" s="94"/>
      <c r="AH214" s="263"/>
    </row>
    <row r="215" spans="1:34" ht="26.25" customHeight="1">
      <c r="A215" s="45"/>
      <c r="B215" s="121"/>
      <c r="C215" s="2"/>
      <c r="D215" s="2" t="s">
        <v>2914</v>
      </c>
      <c r="E215" s="94">
        <v>10</v>
      </c>
      <c r="F215" s="74">
        <v>1122</v>
      </c>
      <c r="G215" s="45">
        <f t="shared" si="10"/>
        <v>11220</v>
      </c>
      <c r="H215" s="119" t="s">
        <v>46</v>
      </c>
      <c r="I215" s="128">
        <v>45343</v>
      </c>
      <c r="J215" s="74">
        <v>1122</v>
      </c>
      <c r="K215" s="74">
        <f>24+2</f>
        <v>26</v>
      </c>
      <c r="L215" s="156">
        <v>45343</v>
      </c>
      <c r="M215" s="45">
        <v>11220</v>
      </c>
      <c r="N215" s="90">
        <v>112</v>
      </c>
      <c r="O215" s="90" t="s">
        <v>862</v>
      </c>
      <c r="P215" s="94" t="s">
        <v>160</v>
      </c>
      <c r="Q215" s="94">
        <v>8500097392</v>
      </c>
      <c r="R215" s="94">
        <v>5000202670</v>
      </c>
      <c r="S215" s="74">
        <v>1122</v>
      </c>
      <c r="T215" s="90" t="s">
        <v>1558</v>
      </c>
      <c r="U215" s="90">
        <v>8500067391</v>
      </c>
      <c r="V215" s="90">
        <v>5000206636</v>
      </c>
      <c r="W215" s="109">
        <v>45360</v>
      </c>
      <c r="X215" s="106">
        <v>1122</v>
      </c>
      <c r="Y215" s="106">
        <v>11220</v>
      </c>
      <c r="Z215" s="106" t="s">
        <v>800</v>
      </c>
      <c r="AA215" s="106">
        <f t="shared" si="11"/>
        <v>0</v>
      </c>
      <c r="AB215" s="106">
        <f t="shared" si="12"/>
        <v>0</v>
      </c>
      <c r="AC215" s="94"/>
      <c r="AD215" s="94"/>
      <c r="AE215" s="94"/>
      <c r="AF215" s="94"/>
      <c r="AG215" s="94"/>
      <c r="AH215" s="263"/>
    </row>
    <row r="216" spans="1:34" ht="26.25" customHeight="1">
      <c r="A216" s="45"/>
      <c r="B216" s="121"/>
      <c r="C216" s="2"/>
      <c r="D216" s="2" t="s">
        <v>2915</v>
      </c>
      <c r="E216" s="94">
        <v>10</v>
      </c>
      <c r="F216" s="74">
        <v>700</v>
      </c>
      <c r="G216" s="45">
        <f t="shared" si="10"/>
        <v>7000</v>
      </c>
      <c r="H216" s="119" t="s">
        <v>37</v>
      </c>
      <c r="I216" s="128">
        <v>45343</v>
      </c>
      <c r="J216" s="74">
        <v>700</v>
      </c>
      <c r="K216" s="74">
        <v>14</v>
      </c>
      <c r="L216" s="156">
        <v>45343</v>
      </c>
      <c r="M216" s="45">
        <v>7000</v>
      </c>
      <c r="N216" s="90">
        <v>70</v>
      </c>
      <c r="O216" s="90" t="s">
        <v>862</v>
      </c>
      <c r="P216" s="94" t="s">
        <v>160</v>
      </c>
      <c r="Q216" s="94">
        <v>8500067390</v>
      </c>
      <c r="R216" s="94">
        <v>5000202671</v>
      </c>
      <c r="S216" s="74">
        <v>700</v>
      </c>
      <c r="T216" s="90" t="s">
        <v>1558</v>
      </c>
      <c r="U216" s="90">
        <v>8500067389</v>
      </c>
      <c r="V216" s="90">
        <v>5000206637</v>
      </c>
      <c r="W216" s="109">
        <v>45360</v>
      </c>
      <c r="X216" s="106">
        <v>700</v>
      </c>
      <c r="Y216" s="106">
        <v>7000</v>
      </c>
      <c r="Z216" s="106" t="s">
        <v>800</v>
      </c>
      <c r="AA216" s="106">
        <f t="shared" si="11"/>
        <v>0</v>
      </c>
      <c r="AB216" s="106">
        <f t="shared" si="12"/>
        <v>0</v>
      </c>
      <c r="AC216" s="94"/>
      <c r="AD216" s="94"/>
      <c r="AE216" s="94"/>
      <c r="AF216" s="94"/>
      <c r="AG216" s="94"/>
      <c r="AH216" s="263"/>
    </row>
    <row r="217" spans="1:34" ht="26.25" customHeight="1">
      <c r="A217" s="45"/>
      <c r="B217" s="121"/>
      <c r="C217" s="2"/>
      <c r="D217" s="2" t="s">
        <v>2916</v>
      </c>
      <c r="E217" s="94">
        <v>10</v>
      </c>
      <c r="F217" s="74">
        <v>100</v>
      </c>
      <c r="G217" s="45">
        <f t="shared" si="10"/>
        <v>1000</v>
      </c>
      <c r="H217" s="119" t="s">
        <v>146</v>
      </c>
      <c r="I217" s="128">
        <v>45344</v>
      </c>
      <c r="J217" s="74">
        <v>100</v>
      </c>
      <c r="K217" s="74">
        <v>2</v>
      </c>
      <c r="L217" s="156">
        <v>45343</v>
      </c>
      <c r="M217" s="45">
        <v>1000</v>
      </c>
      <c r="N217" s="90">
        <v>10</v>
      </c>
      <c r="O217" s="90" t="s">
        <v>795</v>
      </c>
      <c r="P217" s="94" t="s">
        <v>160</v>
      </c>
      <c r="Q217" s="94">
        <v>8500067398</v>
      </c>
      <c r="R217" s="94">
        <v>5000207064</v>
      </c>
      <c r="S217" s="74">
        <v>100</v>
      </c>
      <c r="T217" s="90" t="s">
        <v>1558</v>
      </c>
      <c r="U217" s="90">
        <v>8500067397</v>
      </c>
      <c r="V217" s="90">
        <v>5000206638</v>
      </c>
      <c r="W217" s="109">
        <v>45360</v>
      </c>
      <c r="X217" s="106">
        <v>100</v>
      </c>
      <c r="Y217" s="106">
        <v>1000</v>
      </c>
      <c r="Z217" s="106" t="s">
        <v>800</v>
      </c>
      <c r="AA217" s="106">
        <f t="shared" si="11"/>
        <v>0</v>
      </c>
      <c r="AB217" s="106">
        <f t="shared" si="12"/>
        <v>0</v>
      </c>
      <c r="AC217" s="94"/>
      <c r="AD217" s="94"/>
      <c r="AE217" s="94"/>
      <c r="AF217" s="94"/>
      <c r="AG217" s="94"/>
      <c r="AH217" s="263"/>
    </row>
    <row r="218" spans="1:34" ht="26.25" customHeight="1">
      <c r="A218" s="45" t="s">
        <v>240</v>
      </c>
      <c r="B218" s="121">
        <v>6000028559</v>
      </c>
      <c r="C218" s="192" t="s">
        <v>2050</v>
      </c>
      <c r="D218" s="192">
        <v>240311</v>
      </c>
      <c r="E218" s="94">
        <v>30</v>
      </c>
      <c r="F218" s="74">
        <v>35</v>
      </c>
      <c r="G218" s="45">
        <f t="shared" si="10"/>
        <v>1050</v>
      </c>
      <c r="H218" s="119" t="s">
        <v>37</v>
      </c>
      <c r="I218" s="128">
        <v>45343</v>
      </c>
      <c r="J218" s="74">
        <v>35</v>
      </c>
      <c r="K218" s="74">
        <v>1</v>
      </c>
      <c r="L218" s="156">
        <v>45360</v>
      </c>
      <c r="M218" s="90">
        <v>1050</v>
      </c>
      <c r="N218" s="90">
        <v>10</v>
      </c>
      <c r="O218" s="90"/>
      <c r="P218" s="94" t="s">
        <v>28</v>
      </c>
      <c r="Q218" s="94">
        <v>8500067475</v>
      </c>
      <c r="R218" s="94">
        <v>5000202966</v>
      </c>
      <c r="S218" s="74">
        <v>35</v>
      </c>
      <c r="T218" s="90" t="s">
        <v>1666</v>
      </c>
      <c r="U218" s="90">
        <v>8500067474</v>
      </c>
      <c r="V218" s="90">
        <v>5000276669</v>
      </c>
      <c r="W218" s="109">
        <v>45363</v>
      </c>
      <c r="X218" s="106">
        <v>35</v>
      </c>
      <c r="Y218" s="106">
        <v>1050</v>
      </c>
      <c r="Z218" s="106" t="s">
        <v>800</v>
      </c>
      <c r="AA218" s="106">
        <f t="shared" si="11"/>
        <v>0</v>
      </c>
      <c r="AB218" s="106">
        <f t="shared" si="12"/>
        <v>0</v>
      </c>
      <c r="AC218" s="94" t="s">
        <v>3003</v>
      </c>
      <c r="AD218" s="94"/>
      <c r="AE218" s="94"/>
      <c r="AF218" s="94"/>
      <c r="AG218" s="94"/>
      <c r="AH218" s="263"/>
    </row>
    <row r="219" spans="1:34" ht="26.25" customHeight="1">
      <c r="A219" s="219" t="s">
        <v>240</v>
      </c>
      <c r="B219" s="251">
        <v>6000028559</v>
      </c>
      <c r="C219" s="245" t="s">
        <v>2051</v>
      </c>
      <c r="D219" s="245">
        <v>240311</v>
      </c>
      <c r="E219" s="94">
        <v>30</v>
      </c>
      <c r="F219" s="74">
        <v>50</v>
      </c>
      <c r="G219" s="45">
        <f t="shared" si="10"/>
        <v>1500</v>
      </c>
      <c r="H219" s="119" t="s">
        <v>46</v>
      </c>
      <c r="I219" s="128">
        <v>45343</v>
      </c>
      <c r="J219" s="74">
        <v>50</v>
      </c>
      <c r="K219" s="74">
        <v>3</v>
      </c>
      <c r="L219" s="156"/>
      <c r="M219" s="90"/>
      <c r="N219" s="90"/>
      <c r="O219" s="90"/>
      <c r="P219" s="94" t="s">
        <v>28</v>
      </c>
      <c r="Q219" s="94">
        <v>8500067479</v>
      </c>
      <c r="R219" s="94">
        <v>5000203049</v>
      </c>
      <c r="S219" s="74">
        <v>50</v>
      </c>
      <c r="T219" s="90" t="s">
        <v>895</v>
      </c>
      <c r="U219" s="90">
        <v>8500067478</v>
      </c>
      <c r="V219" s="90">
        <v>5000304294</v>
      </c>
      <c r="W219" s="109">
        <v>45351</v>
      </c>
      <c r="X219" s="106">
        <v>50</v>
      </c>
      <c r="Y219" s="106"/>
      <c r="Z219" s="106" t="s">
        <v>2112</v>
      </c>
      <c r="AA219" s="106">
        <f t="shared" si="11"/>
        <v>0</v>
      </c>
      <c r="AB219" s="106">
        <f t="shared" si="12"/>
        <v>0</v>
      </c>
      <c r="AC219" s="94"/>
      <c r="AD219" s="94"/>
      <c r="AE219" s="94"/>
      <c r="AF219" s="94"/>
      <c r="AG219" s="94"/>
      <c r="AH219" s="263"/>
    </row>
    <row r="220" spans="1:34" ht="26.25" customHeight="1">
      <c r="A220" s="219" t="s">
        <v>240</v>
      </c>
      <c r="B220" s="251">
        <v>6000028559</v>
      </c>
      <c r="C220" s="245" t="s">
        <v>581</v>
      </c>
      <c r="D220" s="245">
        <v>240311</v>
      </c>
      <c r="E220" s="94">
        <v>30</v>
      </c>
      <c r="F220" s="74">
        <v>50</v>
      </c>
      <c r="G220" s="45">
        <f t="shared" si="10"/>
        <v>1500</v>
      </c>
      <c r="H220" s="119" t="s">
        <v>46</v>
      </c>
      <c r="I220" s="128">
        <v>45343</v>
      </c>
      <c r="J220" s="74">
        <v>50</v>
      </c>
      <c r="K220" s="74">
        <v>2</v>
      </c>
      <c r="L220" s="156"/>
      <c r="M220" s="90"/>
      <c r="N220" s="90"/>
      <c r="O220" s="90"/>
      <c r="P220" s="94" t="s">
        <v>28</v>
      </c>
      <c r="Q220" s="94">
        <v>8500067485</v>
      </c>
      <c r="R220" s="94">
        <v>5000203114</v>
      </c>
      <c r="S220" s="74">
        <v>50</v>
      </c>
      <c r="T220" s="90" t="s">
        <v>895</v>
      </c>
      <c r="U220" s="90">
        <v>8500067484</v>
      </c>
      <c r="V220" s="90">
        <v>5000295855</v>
      </c>
      <c r="W220" s="109">
        <v>45351</v>
      </c>
      <c r="X220" s="106">
        <v>50</v>
      </c>
      <c r="Y220" s="106"/>
      <c r="Z220" s="106" t="s">
        <v>2112</v>
      </c>
      <c r="AA220" s="106">
        <f t="shared" si="11"/>
        <v>0</v>
      </c>
      <c r="AB220" s="106">
        <f t="shared" si="12"/>
        <v>0</v>
      </c>
      <c r="AC220" s="94"/>
      <c r="AD220" s="94"/>
      <c r="AE220" s="94"/>
      <c r="AF220" s="94"/>
      <c r="AG220" s="94"/>
      <c r="AH220" s="263"/>
    </row>
    <row r="221" spans="1:34" ht="26.25" customHeight="1">
      <c r="A221" s="219"/>
      <c r="B221" s="251"/>
      <c r="C221" s="245"/>
      <c r="D221" s="245"/>
      <c r="E221" s="94">
        <v>30</v>
      </c>
      <c r="F221" s="74">
        <v>35</v>
      </c>
      <c r="G221" s="45">
        <f t="shared" si="10"/>
        <v>1050</v>
      </c>
      <c r="H221" s="119" t="s">
        <v>37</v>
      </c>
      <c r="I221" s="128">
        <v>45343</v>
      </c>
      <c r="J221" s="74">
        <v>35</v>
      </c>
      <c r="K221" s="74">
        <v>1</v>
      </c>
      <c r="L221" s="156"/>
      <c r="M221" s="90"/>
      <c r="N221" s="90"/>
      <c r="O221" s="90"/>
      <c r="P221" s="94" t="s">
        <v>28</v>
      </c>
      <c r="Q221" s="94">
        <v>8500067485</v>
      </c>
      <c r="R221" s="94">
        <v>5000203114</v>
      </c>
      <c r="S221" s="74">
        <v>35</v>
      </c>
      <c r="T221" s="90" t="s">
        <v>895</v>
      </c>
      <c r="U221" s="90">
        <v>8500067484</v>
      </c>
      <c r="V221" s="90">
        <v>5000295855</v>
      </c>
      <c r="W221" s="109">
        <v>45351</v>
      </c>
      <c r="X221" s="106">
        <v>35</v>
      </c>
      <c r="Y221" s="106"/>
      <c r="Z221" s="106" t="s">
        <v>2112</v>
      </c>
      <c r="AA221" s="106">
        <f t="shared" si="11"/>
        <v>0</v>
      </c>
      <c r="AB221" s="106">
        <f t="shared" si="12"/>
        <v>0</v>
      </c>
      <c r="AC221" s="94"/>
      <c r="AD221" s="94"/>
      <c r="AE221" s="94"/>
      <c r="AF221" s="94"/>
      <c r="AG221" s="94"/>
      <c r="AH221" s="263"/>
    </row>
    <row r="222" spans="1:34" ht="26.25" customHeight="1">
      <c r="A222" s="45" t="s">
        <v>240</v>
      </c>
      <c r="B222" s="121">
        <v>6000028559</v>
      </c>
      <c r="C222" s="2" t="s">
        <v>584</v>
      </c>
      <c r="D222" s="2"/>
      <c r="E222" s="94">
        <v>10</v>
      </c>
      <c r="F222" s="74">
        <v>50</v>
      </c>
      <c r="G222" s="45">
        <f t="shared" si="10"/>
        <v>500</v>
      </c>
      <c r="H222" s="119" t="s">
        <v>27</v>
      </c>
      <c r="I222" s="128">
        <v>45343</v>
      </c>
      <c r="J222" s="74">
        <v>50</v>
      </c>
      <c r="K222" s="74">
        <v>2</v>
      </c>
      <c r="L222" s="156">
        <v>45357</v>
      </c>
      <c r="M222" s="90">
        <v>500</v>
      </c>
      <c r="N222" s="90">
        <v>5</v>
      </c>
      <c r="O222" s="90" t="s">
        <v>790</v>
      </c>
      <c r="P222" s="94" t="s">
        <v>28</v>
      </c>
      <c r="Q222" s="94">
        <v>8500067487</v>
      </c>
      <c r="R222" s="94">
        <v>5000203119</v>
      </c>
      <c r="S222" s="74">
        <v>50</v>
      </c>
      <c r="T222" s="90" t="s">
        <v>794</v>
      </c>
      <c r="U222" s="90">
        <v>8500067486</v>
      </c>
      <c r="V222" s="90">
        <v>5000268469</v>
      </c>
      <c r="W222" s="109">
        <v>45363</v>
      </c>
      <c r="X222" s="106">
        <v>50</v>
      </c>
      <c r="Y222" s="106">
        <v>500</v>
      </c>
      <c r="Z222" s="106" t="s">
        <v>800</v>
      </c>
      <c r="AA222" s="106">
        <f t="shared" si="11"/>
        <v>0</v>
      </c>
      <c r="AB222" s="106">
        <f t="shared" si="12"/>
        <v>0</v>
      </c>
      <c r="AC222" s="94" t="s">
        <v>3003</v>
      </c>
      <c r="AD222" s="94"/>
      <c r="AE222" s="94"/>
      <c r="AF222" s="94"/>
      <c r="AG222" s="94"/>
      <c r="AH222" s="263"/>
    </row>
    <row r="223" spans="1:34" ht="26.25" customHeight="1">
      <c r="A223" s="45"/>
      <c r="B223" s="121"/>
      <c r="C223" s="2"/>
      <c r="D223" s="2"/>
      <c r="E223" s="94">
        <v>10</v>
      </c>
      <c r="F223" s="74">
        <v>50</v>
      </c>
      <c r="G223" s="45">
        <f t="shared" si="10"/>
        <v>500</v>
      </c>
      <c r="H223" s="119" t="s">
        <v>46</v>
      </c>
      <c r="I223" s="128">
        <v>45343</v>
      </c>
      <c r="J223" s="74">
        <v>50</v>
      </c>
      <c r="K223" s="74">
        <v>2</v>
      </c>
      <c r="L223" s="156">
        <v>45357</v>
      </c>
      <c r="M223" s="90">
        <v>500</v>
      </c>
      <c r="N223" s="90">
        <v>5</v>
      </c>
      <c r="O223" s="90" t="s">
        <v>791</v>
      </c>
      <c r="P223" s="94" t="s">
        <v>28</v>
      </c>
      <c r="Q223" s="94">
        <v>8500067487</v>
      </c>
      <c r="R223" s="94">
        <v>5000203119</v>
      </c>
      <c r="S223" s="74">
        <v>50</v>
      </c>
      <c r="T223" s="90" t="s">
        <v>794</v>
      </c>
      <c r="U223" s="90">
        <v>8500067486</v>
      </c>
      <c r="V223" s="90">
        <v>5000268469</v>
      </c>
      <c r="W223" s="109">
        <v>45363</v>
      </c>
      <c r="X223" s="106">
        <v>50</v>
      </c>
      <c r="Y223" s="106">
        <v>500</v>
      </c>
      <c r="Z223" s="106" t="s">
        <v>800</v>
      </c>
      <c r="AA223" s="106">
        <f t="shared" si="11"/>
        <v>0</v>
      </c>
      <c r="AB223" s="106">
        <f t="shared" si="12"/>
        <v>0</v>
      </c>
      <c r="AC223" s="94" t="s">
        <v>3003</v>
      </c>
      <c r="AD223" s="511"/>
      <c r="AE223" s="94"/>
      <c r="AF223" s="94"/>
      <c r="AG223" s="94"/>
      <c r="AH223" s="263"/>
    </row>
    <row r="224" spans="1:34" ht="34.5" customHeight="1">
      <c r="A224" s="219" t="s">
        <v>240</v>
      </c>
      <c r="B224" s="251">
        <v>6000028560</v>
      </c>
      <c r="C224" s="245" t="s">
        <v>2050</v>
      </c>
      <c r="D224" s="245">
        <v>240318</v>
      </c>
      <c r="E224" s="94">
        <v>30</v>
      </c>
      <c r="F224" s="74">
        <v>50</v>
      </c>
      <c r="G224" s="45">
        <f t="shared" si="10"/>
        <v>1500</v>
      </c>
      <c r="H224" s="119" t="s">
        <v>46</v>
      </c>
      <c r="I224" s="128">
        <v>45343</v>
      </c>
      <c r="J224" s="74">
        <v>50</v>
      </c>
      <c r="K224" s="74">
        <v>1</v>
      </c>
      <c r="L224" s="156"/>
      <c r="M224" s="90"/>
      <c r="N224" s="90"/>
      <c r="O224" s="90"/>
      <c r="P224" s="94" t="s">
        <v>28</v>
      </c>
      <c r="Q224" s="94">
        <v>8500067490</v>
      </c>
      <c r="R224" s="94">
        <v>5000202967</v>
      </c>
      <c r="S224" s="74">
        <v>50</v>
      </c>
      <c r="T224" s="90" t="s">
        <v>895</v>
      </c>
      <c r="U224" s="90">
        <v>8500067489</v>
      </c>
      <c r="V224" s="90">
        <v>5000295923</v>
      </c>
      <c r="W224" s="109">
        <v>45351</v>
      </c>
      <c r="X224" s="106">
        <v>50</v>
      </c>
      <c r="Y224" s="106"/>
      <c r="Z224" s="106" t="s">
        <v>2112</v>
      </c>
      <c r="AA224" s="106">
        <f t="shared" si="11"/>
        <v>0</v>
      </c>
      <c r="AB224" s="106">
        <f t="shared" si="12"/>
        <v>0</v>
      </c>
      <c r="AC224" s="94"/>
      <c r="AD224" s="509"/>
      <c r="AE224" s="94"/>
      <c r="AF224" s="94"/>
      <c r="AG224" s="94"/>
      <c r="AH224" s="263"/>
    </row>
    <row r="225" spans="1:34" ht="33" customHeight="1">
      <c r="A225" s="219" t="s">
        <v>240</v>
      </c>
      <c r="B225" s="251">
        <v>6000028560</v>
      </c>
      <c r="C225" s="245" t="s">
        <v>2051</v>
      </c>
      <c r="D225" s="245"/>
      <c r="E225" s="94">
        <v>30</v>
      </c>
      <c r="F225" s="74">
        <v>35</v>
      </c>
      <c r="G225" s="45">
        <f t="shared" si="10"/>
        <v>1050</v>
      </c>
      <c r="H225" s="119" t="s">
        <v>27</v>
      </c>
      <c r="I225" s="128">
        <v>45343</v>
      </c>
      <c r="J225" s="74">
        <v>35</v>
      </c>
      <c r="K225" s="74">
        <v>1</v>
      </c>
      <c r="L225" s="156"/>
      <c r="M225" s="90"/>
      <c r="N225" s="90"/>
      <c r="O225" s="90"/>
      <c r="P225" s="94" t="s">
        <v>28</v>
      </c>
      <c r="Q225" s="94">
        <v>8500067497</v>
      </c>
      <c r="R225" s="94">
        <v>5000203064</v>
      </c>
      <c r="S225" s="74">
        <v>35</v>
      </c>
      <c r="T225" s="90" t="s">
        <v>895</v>
      </c>
      <c r="U225" s="90">
        <v>8500067496</v>
      </c>
      <c r="V225" s="90">
        <v>5000304293</v>
      </c>
      <c r="W225" s="109">
        <v>45351</v>
      </c>
      <c r="X225" s="106">
        <v>35</v>
      </c>
      <c r="Y225" s="106"/>
      <c r="Z225" s="106" t="s">
        <v>2112</v>
      </c>
      <c r="AA225" s="106">
        <f t="shared" si="11"/>
        <v>0</v>
      </c>
      <c r="AB225" s="106">
        <f t="shared" si="12"/>
        <v>0</v>
      </c>
      <c r="AC225" s="94"/>
      <c r="AD225" s="510"/>
      <c r="AE225" s="94"/>
      <c r="AF225" s="94"/>
      <c r="AG225" s="94"/>
      <c r="AH225" s="263"/>
    </row>
    <row r="226" spans="1:34" ht="26.25" customHeight="1">
      <c r="A226" s="219" t="s">
        <v>240</v>
      </c>
      <c r="B226" s="251">
        <v>6000028560</v>
      </c>
      <c r="C226" s="245" t="s">
        <v>581</v>
      </c>
      <c r="D226" s="245"/>
      <c r="E226" s="94">
        <v>30</v>
      </c>
      <c r="F226" s="74">
        <v>50</v>
      </c>
      <c r="G226" s="45">
        <f t="shared" si="10"/>
        <v>1500</v>
      </c>
      <c r="H226" s="119" t="s">
        <v>46</v>
      </c>
      <c r="I226" s="128">
        <v>45343</v>
      </c>
      <c r="J226" s="74">
        <v>50</v>
      </c>
      <c r="K226" s="74">
        <v>2</v>
      </c>
      <c r="L226" s="156"/>
      <c r="M226" s="90"/>
      <c r="N226" s="90"/>
      <c r="O226" s="90"/>
      <c r="P226" s="94" t="s">
        <v>28</v>
      </c>
      <c r="Q226" s="94">
        <v>8500067499</v>
      </c>
      <c r="R226" s="94">
        <v>5000203115</v>
      </c>
      <c r="S226" s="74">
        <v>50</v>
      </c>
      <c r="T226" s="90" t="s">
        <v>895</v>
      </c>
      <c r="U226" s="90">
        <v>8500067498</v>
      </c>
      <c r="V226" s="90">
        <v>5000295864</v>
      </c>
      <c r="W226" s="109">
        <v>45351</v>
      </c>
      <c r="X226" s="106">
        <v>50</v>
      </c>
      <c r="Y226" s="106"/>
      <c r="Z226" s="106" t="s">
        <v>2112</v>
      </c>
      <c r="AA226" s="106">
        <f t="shared" si="11"/>
        <v>0</v>
      </c>
      <c r="AB226" s="106">
        <f t="shared" si="12"/>
        <v>0</v>
      </c>
      <c r="AC226" s="94"/>
      <c r="AD226" s="94"/>
      <c r="AE226" s="94"/>
      <c r="AF226" s="94"/>
      <c r="AG226" s="94"/>
      <c r="AH226" s="263"/>
    </row>
    <row r="227" spans="1:34" ht="26.25" customHeight="1">
      <c r="A227" s="219" t="s">
        <v>240</v>
      </c>
      <c r="B227" s="251">
        <v>6000028560</v>
      </c>
      <c r="C227" s="245" t="s">
        <v>584</v>
      </c>
      <c r="D227" s="245"/>
      <c r="E227" s="94">
        <v>10</v>
      </c>
      <c r="F227" s="74">
        <v>50</v>
      </c>
      <c r="G227" s="45">
        <f t="shared" si="10"/>
        <v>500</v>
      </c>
      <c r="H227" s="119" t="s">
        <v>37</v>
      </c>
      <c r="I227" s="128">
        <v>45343</v>
      </c>
      <c r="J227" s="74">
        <v>50</v>
      </c>
      <c r="K227" s="74">
        <v>2</v>
      </c>
      <c r="L227" s="237"/>
      <c r="M227" s="45"/>
      <c r="N227" s="90"/>
      <c r="O227" s="90"/>
      <c r="P227" s="94" t="s">
        <v>28</v>
      </c>
      <c r="Q227" s="94">
        <v>8500067502</v>
      </c>
      <c r="R227" s="94">
        <v>5000203122</v>
      </c>
      <c r="S227" s="74">
        <v>50</v>
      </c>
      <c r="T227" s="90" t="s">
        <v>895</v>
      </c>
      <c r="U227" s="90">
        <v>8500067500</v>
      </c>
      <c r="V227" s="90">
        <v>5000277689</v>
      </c>
      <c r="W227" s="109">
        <v>45351</v>
      </c>
      <c r="X227" s="106">
        <v>50</v>
      </c>
      <c r="Y227" s="106"/>
      <c r="Z227" s="106" t="s">
        <v>2112</v>
      </c>
      <c r="AA227" s="106">
        <f t="shared" si="11"/>
        <v>0</v>
      </c>
      <c r="AB227" s="106">
        <f t="shared" si="12"/>
        <v>0</v>
      </c>
      <c r="AC227" s="94"/>
      <c r="AD227" s="94"/>
      <c r="AE227" s="94"/>
      <c r="AF227" s="94"/>
      <c r="AG227" s="94"/>
      <c r="AH227" s="263"/>
    </row>
    <row r="228" spans="1:34" ht="26.25" customHeight="1">
      <c r="A228" s="219" t="s">
        <v>240</v>
      </c>
      <c r="B228" s="251">
        <v>6000028561</v>
      </c>
      <c r="C228" s="245" t="s">
        <v>581</v>
      </c>
      <c r="D228" s="245">
        <v>240318</v>
      </c>
      <c r="E228" s="94">
        <v>30</v>
      </c>
      <c r="F228" s="74">
        <v>35</v>
      </c>
      <c r="G228" s="45">
        <f t="shared" si="10"/>
        <v>1050</v>
      </c>
      <c r="H228" s="119" t="s">
        <v>27</v>
      </c>
      <c r="I228" s="128">
        <v>45343</v>
      </c>
      <c r="J228" s="74">
        <v>35</v>
      </c>
      <c r="K228" s="74"/>
      <c r="L228" s="237"/>
      <c r="M228" s="90"/>
      <c r="N228" s="90"/>
      <c r="O228" s="90"/>
      <c r="P228" s="94" t="s">
        <v>28</v>
      </c>
      <c r="Q228" s="94">
        <v>8500067512</v>
      </c>
      <c r="R228" s="94">
        <v>5000203116</v>
      </c>
      <c r="S228" s="74">
        <v>35</v>
      </c>
      <c r="T228" s="90" t="s">
        <v>895</v>
      </c>
      <c r="U228" s="90">
        <v>8500067508</v>
      </c>
      <c r="V228" s="90">
        <v>5000295908</v>
      </c>
      <c r="W228" s="109">
        <v>45351</v>
      </c>
      <c r="X228" s="106">
        <v>35</v>
      </c>
      <c r="Y228" s="106"/>
      <c r="Z228" s="106" t="s">
        <v>2112</v>
      </c>
      <c r="AA228" s="106">
        <f t="shared" si="11"/>
        <v>0</v>
      </c>
      <c r="AB228" s="106">
        <f t="shared" si="12"/>
        <v>0</v>
      </c>
      <c r="AC228" s="94"/>
      <c r="AD228" s="94"/>
      <c r="AE228" s="94"/>
      <c r="AF228" s="94"/>
      <c r="AG228" s="94"/>
      <c r="AH228" s="263"/>
    </row>
    <row r="229" spans="1:34" ht="26.25" customHeight="1">
      <c r="A229" s="219"/>
      <c r="B229" s="251"/>
      <c r="C229" s="245"/>
      <c r="D229" s="245"/>
      <c r="E229" s="94">
        <v>30</v>
      </c>
      <c r="F229" s="74">
        <v>50</v>
      </c>
      <c r="G229" s="45">
        <f t="shared" si="10"/>
        <v>1500</v>
      </c>
      <c r="H229" s="119" t="s">
        <v>46</v>
      </c>
      <c r="I229" s="128">
        <v>45343</v>
      </c>
      <c r="J229" s="74">
        <v>50</v>
      </c>
      <c r="K229" s="74">
        <v>1</v>
      </c>
      <c r="L229" s="237"/>
      <c r="M229" s="90"/>
      <c r="N229" s="90"/>
      <c r="O229" s="90"/>
      <c r="P229" s="94" t="s">
        <v>28</v>
      </c>
      <c r="Q229" s="94">
        <v>8500067512</v>
      </c>
      <c r="R229" s="94">
        <v>5000203116</v>
      </c>
      <c r="S229" s="74">
        <v>50</v>
      </c>
      <c r="T229" s="90" t="s">
        <v>895</v>
      </c>
      <c r="U229" s="90">
        <v>8500067508</v>
      </c>
      <c r="V229" s="90">
        <v>5000295908</v>
      </c>
      <c r="W229" s="109">
        <v>45351</v>
      </c>
      <c r="X229" s="106">
        <v>50</v>
      </c>
      <c r="Y229" s="106"/>
      <c r="Z229" s="106" t="s">
        <v>2112</v>
      </c>
      <c r="AA229" s="106">
        <f t="shared" si="11"/>
        <v>0</v>
      </c>
      <c r="AB229" s="106">
        <f t="shared" si="12"/>
        <v>0</v>
      </c>
      <c r="AC229" s="94"/>
      <c r="AD229" s="94"/>
      <c r="AE229" s="94"/>
      <c r="AF229" s="94"/>
      <c r="AG229" s="94"/>
      <c r="AH229" s="263"/>
    </row>
    <row r="230" spans="1:34" ht="26.25" customHeight="1">
      <c r="A230" s="219"/>
      <c r="B230" s="251"/>
      <c r="C230" s="245"/>
      <c r="D230" s="245"/>
      <c r="E230" s="94">
        <v>30</v>
      </c>
      <c r="F230" s="74">
        <v>35</v>
      </c>
      <c r="G230" s="45">
        <f t="shared" si="10"/>
        <v>1050</v>
      </c>
      <c r="H230" s="119" t="s">
        <v>37</v>
      </c>
      <c r="I230" s="128">
        <v>45343</v>
      </c>
      <c r="J230" s="74">
        <v>35</v>
      </c>
      <c r="K230" s="74"/>
      <c r="L230" s="156"/>
      <c r="M230" s="90"/>
      <c r="N230" s="90"/>
      <c r="O230" s="90"/>
      <c r="P230" s="94" t="s">
        <v>28</v>
      </c>
      <c r="Q230" s="94">
        <v>8500067512</v>
      </c>
      <c r="R230" s="94">
        <v>5000203117</v>
      </c>
      <c r="S230" s="74">
        <v>35</v>
      </c>
      <c r="T230" s="90" t="s">
        <v>895</v>
      </c>
      <c r="U230" s="90">
        <v>8500067508</v>
      </c>
      <c r="V230" s="90">
        <v>5000304295</v>
      </c>
      <c r="W230" s="109">
        <v>45351</v>
      </c>
      <c r="X230" s="106">
        <v>35</v>
      </c>
      <c r="Y230" s="106"/>
      <c r="Z230" s="106" t="s">
        <v>2112</v>
      </c>
      <c r="AA230" s="106">
        <f t="shared" si="11"/>
        <v>0</v>
      </c>
      <c r="AB230" s="106">
        <f t="shared" si="12"/>
        <v>0</v>
      </c>
      <c r="AC230" s="94"/>
      <c r="AD230" s="94"/>
      <c r="AE230" s="94"/>
      <c r="AF230" s="94"/>
      <c r="AG230" s="94"/>
      <c r="AH230" s="263"/>
    </row>
    <row r="231" spans="1:34" ht="26.25" customHeight="1">
      <c r="A231" s="45" t="s">
        <v>240</v>
      </c>
      <c r="B231" s="121">
        <v>6000028561</v>
      </c>
      <c r="C231" s="2" t="s">
        <v>584</v>
      </c>
      <c r="D231" s="2"/>
      <c r="E231" s="94">
        <v>10</v>
      </c>
      <c r="F231" s="74">
        <v>50</v>
      </c>
      <c r="G231" s="45">
        <f t="shared" si="10"/>
        <v>500</v>
      </c>
      <c r="H231" s="119" t="s">
        <v>27</v>
      </c>
      <c r="I231" s="128">
        <v>45343</v>
      </c>
      <c r="J231" s="74">
        <v>50</v>
      </c>
      <c r="K231" s="74">
        <v>1</v>
      </c>
      <c r="L231" s="156">
        <v>45357</v>
      </c>
      <c r="M231" s="90">
        <v>500</v>
      </c>
      <c r="N231" s="90">
        <v>5</v>
      </c>
      <c r="O231" s="90" t="s">
        <v>791</v>
      </c>
      <c r="P231" s="94" t="s">
        <v>28</v>
      </c>
      <c r="Q231" s="94">
        <v>8500067517</v>
      </c>
      <c r="R231" s="94">
        <v>5000203124</v>
      </c>
      <c r="S231" s="74">
        <v>50</v>
      </c>
      <c r="T231" s="90" t="s">
        <v>794</v>
      </c>
      <c r="U231" s="90">
        <v>8500067514</v>
      </c>
      <c r="V231" s="90">
        <v>5000268468</v>
      </c>
      <c r="W231" s="109">
        <v>45366</v>
      </c>
      <c r="X231" s="106">
        <v>50</v>
      </c>
      <c r="Y231" s="106">
        <v>500</v>
      </c>
      <c r="Z231" s="106" t="s">
        <v>800</v>
      </c>
      <c r="AA231" s="106">
        <f t="shared" si="11"/>
        <v>0</v>
      </c>
      <c r="AB231" s="106">
        <f t="shared" si="12"/>
        <v>0</v>
      </c>
      <c r="AC231" s="94" t="s">
        <v>3003</v>
      </c>
      <c r="AD231" s="94"/>
      <c r="AE231" s="94"/>
      <c r="AF231" s="94"/>
      <c r="AG231" s="94"/>
      <c r="AH231" s="263"/>
    </row>
    <row r="232" spans="1:34" ht="26.25" customHeight="1">
      <c r="A232" s="219" t="s">
        <v>240</v>
      </c>
      <c r="B232" s="251">
        <v>6000028561</v>
      </c>
      <c r="C232" s="245" t="s">
        <v>2052</v>
      </c>
      <c r="D232" s="245"/>
      <c r="E232" s="94">
        <v>30</v>
      </c>
      <c r="F232" s="74">
        <v>50</v>
      </c>
      <c r="G232" s="45">
        <f t="shared" si="10"/>
        <v>1500</v>
      </c>
      <c r="H232" s="119" t="s">
        <v>46</v>
      </c>
      <c r="I232" s="128">
        <v>45343</v>
      </c>
      <c r="J232" s="74">
        <v>50</v>
      </c>
      <c r="K232" s="74">
        <v>2</v>
      </c>
      <c r="L232" s="156"/>
      <c r="M232" s="90"/>
      <c r="N232" s="90"/>
      <c r="O232" s="90"/>
      <c r="P232" s="94" t="s">
        <v>28</v>
      </c>
      <c r="Q232" s="94">
        <v>8500067520</v>
      </c>
      <c r="R232" s="94">
        <v>5000203126</v>
      </c>
      <c r="S232" s="74">
        <v>50</v>
      </c>
      <c r="T232" s="90" t="s">
        <v>895</v>
      </c>
      <c r="U232" s="90">
        <v>8500067519</v>
      </c>
      <c r="V232" s="90">
        <v>5000277681</v>
      </c>
      <c r="W232" s="109">
        <v>45351</v>
      </c>
      <c r="X232" s="106">
        <v>50</v>
      </c>
      <c r="Y232" s="106"/>
      <c r="Z232" s="106" t="s">
        <v>2112</v>
      </c>
      <c r="AA232" s="106">
        <f t="shared" si="11"/>
        <v>0</v>
      </c>
      <c r="AB232" s="106">
        <f t="shared" si="12"/>
        <v>0</v>
      </c>
      <c r="AC232" s="94"/>
      <c r="AD232" s="94"/>
      <c r="AE232" s="94"/>
      <c r="AF232" s="94"/>
      <c r="AG232" s="94"/>
      <c r="AH232" s="263"/>
    </row>
    <row r="233" spans="1:34" ht="26.25" customHeight="1">
      <c r="A233" s="45" t="s">
        <v>240</v>
      </c>
      <c r="B233" s="121">
        <v>6000028561</v>
      </c>
      <c r="C233" s="2" t="s">
        <v>587</v>
      </c>
      <c r="D233" s="2"/>
      <c r="E233" s="94">
        <v>30</v>
      </c>
      <c r="F233" s="74">
        <v>35</v>
      </c>
      <c r="G233" s="45">
        <f t="shared" si="10"/>
        <v>1050</v>
      </c>
      <c r="H233" s="119" t="s">
        <v>46</v>
      </c>
      <c r="I233" s="128">
        <v>45343</v>
      </c>
      <c r="J233" s="74">
        <v>35</v>
      </c>
      <c r="K233" s="74">
        <v>1</v>
      </c>
      <c r="L233" s="156">
        <v>45363</v>
      </c>
      <c r="M233" s="90">
        <v>1050</v>
      </c>
      <c r="N233" s="90">
        <v>11</v>
      </c>
      <c r="O233" s="90"/>
      <c r="P233" s="94" t="s">
        <v>28</v>
      </c>
      <c r="Q233" s="94">
        <v>8500067523</v>
      </c>
      <c r="R233" s="94">
        <v>5000203129</v>
      </c>
      <c r="S233" s="74">
        <v>35</v>
      </c>
      <c r="T233" s="90" t="s">
        <v>1643</v>
      </c>
      <c r="U233" s="90">
        <v>8500067522</v>
      </c>
      <c r="V233" s="90"/>
      <c r="W233" s="109">
        <v>45366</v>
      </c>
      <c r="X233" s="106">
        <v>35</v>
      </c>
      <c r="Y233" s="106">
        <v>1050</v>
      </c>
      <c r="Z233" s="106" t="s">
        <v>800</v>
      </c>
      <c r="AA233" s="106">
        <f t="shared" si="11"/>
        <v>0</v>
      </c>
      <c r="AB233" s="106">
        <f t="shared" si="12"/>
        <v>0</v>
      </c>
      <c r="AC233" s="94" t="s">
        <v>3003</v>
      </c>
      <c r="AD233" s="94"/>
      <c r="AE233" s="94"/>
      <c r="AF233" s="94"/>
      <c r="AG233" s="94"/>
      <c r="AH233" s="263"/>
    </row>
    <row r="234" spans="1:34" ht="26.25" customHeight="1">
      <c r="A234" s="45"/>
      <c r="B234" s="121"/>
      <c r="C234" s="2"/>
      <c r="D234" s="2"/>
      <c r="E234" s="94">
        <v>30</v>
      </c>
      <c r="F234" s="74">
        <v>35</v>
      </c>
      <c r="G234" s="45">
        <f t="shared" si="10"/>
        <v>1050</v>
      </c>
      <c r="H234" s="119" t="s">
        <v>37</v>
      </c>
      <c r="I234" s="128">
        <v>45343</v>
      </c>
      <c r="J234" s="74">
        <v>35</v>
      </c>
      <c r="K234" s="74">
        <v>1</v>
      </c>
      <c r="L234" s="156">
        <v>45363</v>
      </c>
      <c r="M234" s="90">
        <v>1050</v>
      </c>
      <c r="N234" s="90">
        <v>11</v>
      </c>
      <c r="O234" s="90" t="s">
        <v>1575</v>
      </c>
      <c r="P234" s="94" t="s">
        <v>28</v>
      </c>
      <c r="Q234" s="94">
        <v>8500067523</v>
      </c>
      <c r="R234" s="94">
        <v>5000203129</v>
      </c>
      <c r="S234" s="74">
        <v>35</v>
      </c>
      <c r="T234" s="90" t="s">
        <v>794</v>
      </c>
      <c r="U234" s="90">
        <v>8500067522</v>
      </c>
      <c r="V234" s="90">
        <v>5000296218</v>
      </c>
      <c r="W234" s="109">
        <v>45364</v>
      </c>
      <c r="X234" s="106">
        <v>35</v>
      </c>
      <c r="Y234" s="106">
        <v>1050</v>
      </c>
      <c r="Z234" s="106" t="s">
        <v>800</v>
      </c>
      <c r="AA234" s="106">
        <f t="shared" si="11"/>
        <v>0</v>
      </c>
      <c r="AB234" s="106">
        <f t="shared" si="12"/>
        <v>0</v>
      </c>
      <c r="AC234" s="94" t="s">
        <v>3003</v>
      </c>
      <c r="AD234" s="94"/>
      <c r="AE234" s="94"/>
      <c r="AF234" s="94"/>
      <c r="AG234" s="94"/>
      <c r="AH234" s="263"/>
    </row>
    <row r="235" spans="1:34" ht="26.25" customHeight="1">
      <c r="A235" s="45"/>
      <c r="B235" s="121"/>
      <c r="C235" s="2"/>
      <c r="D235" s="2"/>
      <c r="E235" s="94" t="s">
        <v>2234</v>
      </c>
      <c r="F235" s="74">
        <v>35</v>
      </c>
      <c r="G235" s="45"/>
      <c r="H235" s="119" t="s">
        <v>46</v>
      </c>
      <c r="I235" s="128">
        <v>45343</v>
      </c>
      <c r="J235" s="74">
        <v>35</v>
      </c>
      <c r="K235" s="74">
        <v>1</v>
      </c>
      <c r="L235" s="156"/>
      <c r="M235" s="90"/>
      <c r="N235" s="90"/>
      <c r="O235" s="90"/>
      <c r="P235" s="94"/>
      <c r="Q235" s="94"/>
      <c r="R235" s="94"/>
      <c r="S235" s="74">
        <v>35</v>
      </c>
      <c r="T235" s="90"/>
      <c r="U235" s="90"/>
      <c r="V235" s="90"/>
      <c r="W235" s="109"/>
      <c r="X235" s="106">
        <v>35</v>
      </c>
      <c r="Y235" s="106"/>
      <c r="Z235" s="106"/>
      <c r="AA235" s="106">
        <f t="shared" si="11"/>
        <v>0</v>
      </c>
      <c r="AB235" s="106">
        <f t="shared" si="12"/>
        <v>0</v>
      </c>
      <c r="AC235" s="94" t="s">
        <v>3003</v>
      </c>
      <c r="AD235" s="94"/>
      <c r="AE235" s="94"/>
      <c r="AF235" s="94"/>
      <c r="AG235" s="94"/>
      <c r="AH235" s="263"/>
    </row>
    <row r="236" spans="1:34" ht="26.25" customHeight="1">
      <c r="A236" s="45"/>
      <c r="B236" s="121"/>
      <c r="C236" s="2"/>
      <c r="D236" s="2"/>
      <c r="E236" s="94" t="s">
        <v>2234</v>
      </c>
      <c r="F236" s="74">
        <v>35</v>
      </c>
      <c r="G236" s="45"/>
      <c r="H236" s="119" t="s">
        <v>37</v>
      </c>
      <c r="I236" s="128">
        <v>45343</v>
      </c>
      <c r="J236" s="74">
        <v>35</v>
      </c>
      <c r="K236" s="74">
        <v>1</v>
      </c>
      <c r="L236" s="156"/>
      <c r="M236" s="90"/>
      <c r="N236" s="90"/>
      <c r="O236" s="90"/>
      <c r="P236" s="94"/>
      <c r="Q236" s="94"/>
      <c r="R236" s="94"/>
      <c r="S236" s="74">
        <v>35</v>
      </c>
      <c r="T236" s="90"/>
      <c r="U236" s="90"/>
      <c r="V236" s="90"/>
      <c r="W236" s="109"/>
      <c r="X236" s="106">
        <v>35</v>
      </c>
      <c r="Y236" s="106"/>
      <c r="Z236" s="106" t="s">
        <v>800</v>
      </c>
      <c r="AA236" s="106">
        <f t="shared" si="11"/>
        <v>0</v>
      </c>
      <c r="AB236" s="106">
        <f t="shared" si="12"/>
        <v>0</v>
      </c>
      <c r="AC236" s="94" t="s">
        <v>3003</v>
      </c>
      <c r="AD236" s="94"/>
      <c r="AE236" s="94"/>
      <c r="AF236" s="94"/>
      <c r="AG236" s="94"/>
      <c r="AH236" s="263"/>
    </row>
    <row r="237" spans="1:34" ht="26.25" customHeight="1">
      <c r="A237" s="219" t="s">
        <v>240</v>
      </c>
      <c r="B237" s="251">
        <v>6000028562</v>
      </c>
      <c r="C237" s="245" t="s">
        <v>2050</v>
      </c>
      <c r="D237" s="245">
        <v>240401</v>
      </c>
      <c r="E237" s="253">
        <v>30</v>
      </c>
      <c r="F237" s="253">
        <v>35</v>
      </c>
      <c r="G237" s="219">
        <f t="shared" si="10"/>
        <v>1050</v>
      </c>
      <c r="H237" s="119" t="s">
        <v>27</v>
      </c>
      <c r="I237" s="128">
        <v>45343</v>
      </c>
      <c r="J237" s="74">
        <v>35</v>
      </c>
      <c r="K237" s="74">
        <v>0</v>
      </c>
      <c r="L237" s="156"/>
      <c r="M237" s="90"/>
      <c r="N237" s="90"/>
      <c r="O237" s="90"/>
      <c r="P237" s="94" t="s">
        <v>28</v>
      </c>
      <c r="Q237" s="94">
        <v>8500067526</v>
      </c>
      <c r="R237" s="94">
        <v>5000203044</v>
      </c>
      <c r="S237" s="74">
        <v>35</v>
      </c>
      <c r="T237" s="90" t="s">
        <v>895</v>
      </c>
      <c r="U237" s="90">
        <v>8500067525</v>
      </c>
      <c r="V237" s="90">
        <v>5000295920</v>
      </c>
      <c r="W237" s="109">
        <v>45351</v>
      </c>
      <c r="X237" s="106">
        <v>35</v>
      </c>
      <c r="Y237" s="106"/>
      <c r="Z237" s="106" t="s">
        <v>2112</v>
      </c>
      <c r="AA237" s="106">
        <f t="shared" si="11"/>
        <v>0</v>
      </c>
      <c r="AB237" s="106">
        <f t="shared" si="12"/>
        <v>0</v>
      </c>
      <c r="AC237" s="94"/>
      <c r="AD237" s="94"/>
      <c r="AE237" s="94"/>
      <c r="AF237" s="94"/>
      <c r="AG237" s="94"/>
      <c r="AH237" s="263"/>
    </row>
    <row r="238" spans="1:34" ht="26.25" customHeight="1">
      <c r="A238" s="219"/>
      <c r="B238" s="251"/>
      <c r="C238" s="245"/>
      <c r="D238" s="245"/>
      <c r="E238" s="253">
        <v>30</v>
      </c>
      <c r="F238" s="253">
        <v>50</v>
      </c>
      <c r="G238" s="219">
        <f t="shared" si="10"/>
        <v>1500</v>
      </c>
      <c r="H238" s="119" t="s">
        <v>46</v>
      </c>
      <c r="I238" s="128">
        <v>45343</v>
      </c>
      <c r="J238" s="74">
        <v>50</v>
      </c>
      <c r="K238" s="74">
        <v>2</v>
      </c>
      <c r="L238" s="156"/>
      <c r="M238" s="90"/>
      <c r="N238" s="90"/>
      <c r="O238" s="90"/>
      <c r="P238" s="94" t="s">
        <v>28</v>
      </c>
      <c r="Q238" s="94">
        <v>8500067526</v>
      </c>
      <c r="R238" s="94">
        <v>5000203044</v>
      </c>
      <c r="S238" s="74">
        <v>50</v>
      </c>
      <c r="T238" s="90" t="s">
        <v>895</v>
      </c>
      <c r="U238" s="90">
        <v>8500067525</v>
      </c>
      <c r="V238" s="90">
        <v>5000295920</v>
      </c>
      <c r="W238" s="109">
        <v>45351</v>
      </c>
      <c r="X238" s="106">
        <v>50</v>
      </c>
      <c r="Y238" s="106"/>
      <c r="Z238" s="106" t="s">
        <v>2112</v>
      </c>
      <c r="AA238" s="106">
        <f t="shared" si="11"/>
        <v>0</v>
      </c>
      <c r="AB238" s="106">
        <f t="shared" si="12"/>
        <v>0</v>
      </c>
      <c r="AC238" s="94"/>
      <c r="AD238" s="94"/>
      <c r="AE238" s="94"/>
      <c r="AF238" s="94"/>
      <c r="AG238" s="94"/>
      <c r="AH238" s="263"/>
    </row>
    <row r="239" spans="1:34" ht="26.25" customHeight="1">
      <c r="A239" s="219"/>
      <c r="B239" s="251"/>
      <c r="C239" s="245"/>
      <c r="D239" s="245"/>
      <c r="E239" s="253">
        <v>30</v>
      </c>
      <c r="F239" s="253">
        <v>35</v>
      </c>
      <c r="G239" s="219">
        <f t="shared" si="10"/>
        <v>1050</v>
      </c>
      <c r="H239" s="119" t="s">
        <v>37</v>
      </c>
      <c r="I239" s="128">
        <v>45343</v>
      </c>
      <c r="J239" s="74">
        <v>35</v>
      </c>
      <c r="K239" s="74">
        <f>2+1</f>
        <v>3</v>
      </c>
      <c r="L239" s="156"/>
      <c r="M239" s="90"/>
      <c r="N239" s="90"/>
      <c r="O239" s="90"/>
      <c r="P239" s="94" t="s">
        <v>28</v>
      </c>
      <c r="Q239" s="94">
        <v>8500067526</v>
      </c>
      <c r="R239" s="94">
        <v>5000203044</v>
      </c>
      <c r="S239" s="74">
        <v>35</v>
      </c>
      <c r="T239" s="90" t="s">
        <v>895</v>
      </c>
      <c r="U239" s="90">
        <v>8500067525</v>
      </c>
      <c r="V239" s="90">
        <v>5000277686</v>
      </c>
      <c r="W239" s="109">
        <v>45351</v>
      </c>
      <c r="X239" s="106">
        <v>35</v>
      </c>
      <c r="Y239" s="106"/>
      <c r="Z239" s="106" t="s">
        <v>2112</v>
      </c>
      <c r="AA239" s="106">
        <f t="shared" si="11"/>
        <v>0</v>
      </c>
      <c r="AB239" s="106">
        <f t="shared" si="12"/>
        <v>0</v>
      </c>
      <c r="AC239" s="94"/>
      <c r="AD239" s="94"/>
      <c r="AE239" s="94"/>
      <c r="AF239" s="94"/>
      <c r="AG239" s="94"/>
      <c r="AH239" s="263"/>
    </row>
    <row r="240" spans="1:34" ht="26.25" customHeight="1">
      <c r="A240" s="219"/>
      <c r="B240" s="251"/>
      <c r="C240" s="245" t="s">
        <v>584</v>
      </c>
      <c r="D240" s="245"/>
      <c r="E240" s="253">
        <v>10</v>
      </c>
      <c r="F240" s="218">
        <v>50</v>
      </c>
      <c r="G240" s="219">
        <f t="shared" si="10"/>
        <v>500</v>
      </c>
      <c r="H240" s="119" t="s">
        <v>46</v>
      </c>
      <c r="I240" s="128">
        <v>45343</v>
      </c>
      <c r="J240" s="74">
        <v>50</v>
      </c>
      <c r="K240" s="74">
        <v>2</v>
      </c>
      <c r="L240" s="156"/>
      <c r="M240" s="90"/>
      <c r="N240" s="90"/>
      <c r="O240" s="90"/>
      <c r="P240" s="94" t="s">
        <v>28</v>
      </c>
      <c r="Q240" s="94">
        <v>8500067535</v>
      </c>
      <c r="R240" s="94">
        <v>5000203125</v>
      </c>
      <c r="S240" s="74">
        <v>50</v>
      </c>
      <c r="T240" s="90" t="s">
        <v>895</v>
      </c>
      <c r="U240" s="90">
        <v>8500067534</v>
      </c>
      <c r="V240" s="90">
        <v>5000277712</v>
      </c>
      <c r="W240" s="109">
        <v>45351</v>
      </c>
      <c r="X240" s="106">
        <v>50</v>
      </c>
      <c r="Y240" s="106"/>
      <c r="Z240" s="106" t="s">
        <v>2112</v>
      </c>
      <c r="AA240" s="106">
        <f t="shared" si="11"/>
        <v>0</v>
      </c>
      <c r="AB240" s="106">
        <f t="shared" si="12"/>
        <v>0</v>
      </c>
      <c r="AC240" s="94"/>
      <c r="AD240" s="94"/>
      <c r="AE240" s="94"/>
      <c r="AF240" s="94"/>
      <c r="AG240" s="94"/>
      <c r="AH240" s="263"/>
    </row>
    <row r="241" spans="1:34" ht="26.25" customHeight="1">
      <c r="A241" s="219"/>
      <c r="B241" s="251"/>
      <c r="C241" s="245" t="s">
        <v>587</v>
      </c>
      <c r="D241" s="245"/>
      <c r="E241" s="253">
        <v>30</v>
      </c>
      <c r="F241" s="218">
        <v>35</v>
      </c>
      <c r="G241" s="219">
        <f t="shared" si="10"/>
        <v>1050</v>
      </c>
      <c r="H241" s="119" t="s">
        <v>27</v>
      </c>
      <c r="I241" s="128">
        <v>45343</v>
      </c>
      <c r="J241" s="74">
        <v>35</v>
      </c>
      <c r="K241" s="74">
        <v>1</v>
      </c>
      <c r="L241" s="156"/>
      <c r="M241" s="90"/>
      <c r="N241" s="90"/>
      <c r="O241" s="90"/>
      <c r="P241" s="94" t="s">
        <v>28</v>
      </c>
      <c r="Q241" s="94">
        <v>8500067537</v>
      </c>
      <c r="R241" s="94">
        <v>5000203165</v>
      </c>
      <c r="S241" s="74">
        <v>35</v>
      </c>
      <c r="T241" s="90"/>
      <c r="U241" s="90"/>
      <c r="V241" s="90"/>
      <c r="W241" s="109">
        <v>45351</v>
      </c>
      <c r="X241" s="106">
        <v>35</v>
      </c>
      <c r="Y241" s="106"/>
      <c r="Z241" s="106" t="s">
        <v>2112</v>
      </c>
      <c r="AA241" s="106">
        <f t="shared" si="11"/>
        <v>0</v>
      </c>
      <c r="AB241" s="106">
        <f t="shared" si="12"/>
        <v>0</v>
      </c>
      <c r="AC241" s="94"/>
      <c r="AD241" s="94"/>
      <c r="AE241" s="94"/>
      <c r="AF241" s="94"/>
      <c r="AG241" s="94"/>
      <c r="AH241" s="263"/>
    </row>
    <row r="242" spans="1:34" ht="26.25" customHeight="1">
      <c r="A242" s="219"/>
      <c r="B242" s="251"/>
      <c r="C242" s="245"/>
      <c r="D242" s="245"/>
      <c r="E242" s="253" t="s">
        <v>2234</v>
      </c>
      <c r="F242" s="218">
        <v>35</v>
      </c>
      <c r="G242" s="219">
        <v>0</v>
      </c>
      <c r="H242" s="119" t="s">
        <v>27</v>
      </c>
      <c r="I242" s="128">
        <v>45343</v>
      </c>
      <c r="J242" s="74">
        <v>35</v>
      </c>
      <c r="K242" s="74">
        <v>1</v>
      </c>
      <c r="L242" s="156"/>
      <c r="M242" s="90"/>
      <c r="N242" s="90"/>
      <c r="O242" s="90"/>
      <c r="P242" s="94"/>
      <c r="Q242" s="94"/>
      <c r="R242" s="94"/>
      <c r="S242" s="74">
        <v>35</v>
      </c>
      <c r="T242" s="90"/>
      <c r="U242" s="90"/>
      <c r="V242" s="90"/>
      <c r="W242" s="109">
        <v>45351</v>
      </c>
      <c r="X242" s="106">
        <v>35</v>
      </c>
      <c r="Y242" s="106"/>
      <c r="Z242" s="106" t="s">
        <v>2112</v>
      </c>
      <c r="AA242" s="106">
        <f t="shared" si="11"/>
        <v>0</v>
      </c>
      <c r="AB242" s="106">
        <f t="shared" si="12"/>
        <v>0</v>
      </c>
      <c r="AC242" s="94"/>
      <c r="AD242" s="94"/>
      <c r="AE242" s="94"/>
      <c r="AF242" s="94"/>
      <c r="AG242" s="94"/>
      <c r="AH242" s="263"/>
    </row>
    <row r="243" spans="1:34" ht="26.25" customHeight="1">
      <c r="A243" s="45" t="s">
        <v>692</v>
      </c>
      <c r="B243" s="121">
        <v>6000028442</v>
      </c>
      <c r="C243" s="2" t="s">
        <v>1529</v>
      </c>
      <c r="D243" s="2" t="s">
        <v>3126</v>
      </c>
      <c r="E243" s="94">
        <v>20</v>
      </c>
      <c r="F243" s="74">
        <v>250</v>
      </c>
      <c r="G243" s="45">
        <f t="shared" si="10"/>
        <v>5000</v>
      </c>
      <c r="H243" s="119" t="s">
        <v>27</v>
      </c>
      <c r="I243" s="128">
        <v>45344</v>
      </c>
      <c r="J243" s="74">
        <v>250</v>
      </c>
      <c r="K243" s="74">
        <f>4+2</f>
        <v>6</v>
      </c>
      <c r="L243" s="156">
        <v>45358</v>
      </c>
      <c r="M243" s="90">
        <v>5000</v>
      </c>
      <c r="N243" s="90">
        <v>50</v>
      </c>
      <c r="O243" s="90" t="s">
        <v>1340</v>
      </c>
      <c r="P243" s="94" t="s">
        <v>160</v>
      </c>
      <c r="Q243" s="94">
        <v>8500068497</v>
      </c>
      <c r="R243" s="94">
        <v>5000207213</v>
      </c>
      <c r="S243" s="74">
        <v>250</v>
      </c>
      <c r="T243" s="90" t="s">
        <v>1558</v>
      </c>
      <c r="U243" s="90">
        <v>8500068496</v>
      </c>
      <c r="V243" s="90">
        <v>5000273616</v>
      </c>
      <c r="W243" s="109">
        <v>45407</v>
      </c>
      <c r="X243" s="106">
        <v>250</v>
      </c>
      <c r="Y243" s="106">
        <v>5000</v>
      </c>
      <c r="Z243" s="106" t="s">
        <v>1783</v>
      </c>
      <c r="AA243" s="106">
        <f t="shared" si="11"/>
        <v>0</v>
      </c>
      <c r="AB243" s="106">
        <f t="shared" si="12"/>
        <v>0</v>
      </c>
      <c r="AC243" s="94"/>
      <c r="AD243" s="94"/>
      <c r="AE243" s="94"/>
      <c r="AF243" s="94"/>
      <c r="AG243" s="94"/>
      <c r="AH243" s="263"/>
    </row>
    <row r="244" spans="1:34" ht="26.25" customHeight="1">
      <c r="A244" s="45"/>
      <c r="B244" s="121"/>
      <c r="C244" s="2"/>
      <c r="D244" s="2" t="s">
        <v>3127</v>
      </c>
      <c r="E244" s="94">
        <v>20</v>
      </c>
      <c r="F244" s="74">
        <v>590</v>
      </c>
      <c r="G244" s="45">
        <f t="shared" si="10"/>
        <v>11800</v>
      </c>
      <c r="H244" s="119" t="s">
        <v>46</v>
      </c>
      <c r="I244" s="128">
        <v>45344</v>
      </c>
      <c r="J244" s="74">
        <v>590</v>
      </c>
      <c r="K244" s="74">
        <f>7+3</f>
        <v>10</v>
      </c>
      <c r="L244" s="156">
        <v>45358</v>
      </c>
      <c r="M244" s="90">
        <v>11800</v>
      </c>
      <c r="N244" s="90">
        <f>68+50</f>
        <v>118</v>
      </c>
      <c r="O244" s="90" t="s">
        <v>1784</v>
      </c>
      <c r="P244" s="94" t="s">
        <v>160</v>
      </c>
      <c r="Q244" s="94">
        <v>8500068495</v>
      </c>
      <c r="R244" s="94">
        <v>5000207214</v>
      </c>
      <c r="S244" s="74">
        <v>590</v>
      </c>
      <c r="T244" s="90" t="s">
        <v>1558</v>
      </c>
      <c r="U244" s="90">
        <v>8500068494</v>
      </c>
      <c r="V244" s="90">
        <v>5000273618</v>
      </c>
      <c r="W244" s="109">
        <v>45407</v>
      </c>
      <c r="X244" s="106">
        <v>590</v>
      </c>
      <c r="Y244" s="106">
        <v>11800</v>
      </c>
      <c r="Z244" s="106" t="s">
        <v>2197</v>
      </c>
      <c r="AA244" s="106">
        <f t="shared" si="11"/>
        <v>0</v>
      </c>
      <c r="AB244" s="106">
        <f t="shared" si="12"/>
        <v>0</v>
      </c>
      <c r="AC244" s="94"/>
      <c r="AD244" s="94"/>
      <c r="AE244" s="94"/>
      <c r="AF244" s="94"/>
      <c r="AG244" s="94"/>
      <c r="AH244" s="263"/>
    </row>
    <row r="245" spans="1:34" ht="26.25" customHeight="1">
      <c r="A245" s="45"/>
      <c r="B245" s="121"/>
      <c r="C245" s="2"/>
      <c r="D245" s="2" t="s">
        <v>3128</v>
      </c>
      <c r="E245" s="94">
        <v>20</v>
      </c>
      <c r="F245" s="74">
        <v>300</v>
      </c>
      <c r="G245" s="45">
        <f t="shared" si="10"/>
        <v>6000</v>
      </c>
      <c r="H245" s="119" t="s">
        <v>37</v>
      </c>
      <c r="I245" s="128" t="s">
        <v>3102</v>
      </c>
      <c r="J245" s="74">
        <f>285+15</f>
        <v>300</v>
      </c>
      <c r="K245" s="74">
        <f>5+3</f>
        <v>8</v>
      </c>
      <c r="L245" s="156">
        <v>45358</v>
      </c>
      <c r="M245" s="90">
        <v>6000</v>
      </c>
      <c r="N245" s="90">
        <v>60</v>
      </c>
      <c r="O245" s="90" t="s">
        <v>1584</v>
      </c>
      <c r="P245" s="94" t="s">
        <v>160</v>
      </c>
      <c r="Q245" s="94">
        <v>8500068493</v>
      </c>
      <c r="R245" s="94">
        <v>5000207215</v>
      </c>
      <c r="S245" s="74">
        <v>300</v>
      </c>
      <c r="T245" s="90" t="s">
        <v>1558</v>
      </c>
      <c r="U245" s="90">
        <v>8500068492</v>
      </c>
      <c r="V245" s="90">
        <v>5000273620</v>
      </c>
      <c r="W245" s="109">
        <v>45402</v>
      </c>
      <c r="X245" s="106">
        <v>300</v>
      </c>
      <c r="Y245" s="106">
        <v>6000</v>
      </c>
      <c r="Z245" s="106" t="s">
        <v>798</v>
      </c>
      <c r="AA245" s="106">
        <f t="shared" si="11"/>
        <v>0</v>
      </c>
      <c r="AB245" s="106">
        <f t="shared" si="12"/>
        <v>0</v>
      </c>
      <c r="AC245" s="94"/>
      <c r="AD245" s="94"/>
      <c r="AE245" s="94"/>
      <c r="AF245" s="94"/>
      <c r="AG245" s="94"/>
      <c r="AH245" s="263"/>
    </row>
    <row r="246" spans="1:34" ht="26.25" customHeight="1">
      <c r="A246" s="45"/>
      <c r="B246" s="121"/>
      <c r="C246" s="2"/>
      <c r="D246" s="2" t="s">
        <v>3129</v>
      </c>
      <c r="E246" s="94">
        <v>20</v>
      </c>
      <c r="F246" s="74">
        <v>400</v>
      </c>
      <c r="G246" s="45">
        <f t="shared" si="10"/>
        <v>8000</v>
      </c>
      <c r="H246" s="119" t="s">
        <v>146</v>
      </c>
      <c r="I246" s="128">
        <v>45344</v>
      </c>
      <c r="J246" s="74">
        <v>400</v>
      </c>
      <c r="K246" s="74">
        <f>5+2</f>
        <v>7</v>
      </c>
      <c r="L246" s="156">
        <v>45358</v>
      </c>
      <c r="M246" s="90">
        <v>8000</v>
      </c>
      <c r="N246" s="90">
        <v>80</v>
      </c>
      <c r="O246" s="90" t="s">
        <v>1784</v>
      </c>
      <c r="P246" s="94" t="s">
        <v>160</v>
      </c>
      <c r="Q246" s="94">
        <v>8500068499</v>
      </c>
      <c r="R246" s="94">
        <v>5000207212</v>
      </c>
      <c r="S246" s="74">
        <v>400</v>
      </c>
      <c r="T246" s="90" t="s">
        <v>1558</v>
      </c>
      <c r="U246" s="90">
        <v>8500068498</v>
      </c>
      <c r="V246" s="90">
        <v>5000273622</v>
      </c>
      <c r="W246" s="109">
        <v>45414</v>
      </c>
      <c r="X246" s="106">
        <v>400</v>
      </c>
      <c r="Y246" s="106">
        <v>8000</v>
      </c>
      <c r="Z246" s="106" t="s">
        <v>1783</v>
      </c>
      <c r="AA246" s="106">
        <f t="shared" si="11"/>
        <v>0</v>
      </c>
      <c r="AB246" s="106">
        <f t="shared" si="12"/>
        <v>0</v>
      </c>
      <c r="AC246" s="94"/>
      <c r="AD246" s="94"/>
      <c r="AE246" s="94"/>
      <c r="AF246" s="94"/>
      <c r="AG246" s="94"/>
      <c r="AH246" s="263"/>
    </row>
    <row r="247" spans="1:34" ht="26.25" customHeight="1">
      <c r="A247" s="45" t="s">
        <v>240</v>
      </c>
      <c r="B247" s="121">
        <v>6000029093</v>
      </c>
      <c r="C247" s="2" t="s">
        <v>1385</v>
      </c>
      <c r="D247" s="2" t="s">
        <v>2926</v>
      </c>
      <c r="E247" s="94">
        <v>20</v>
      </c>
      <c r="F247" s="74">
        <v>150</v>
      </c>
      <c r="G247" s="45">
        <f t="shared" ref="G247:G275" si="14">F247*E247</f>
        <v>3000</v>
      </c>
      <c r="H247" s="119" t="s">
        <v>27</v>
      </c>
      <c r="I247" s="128">
        <v>45344</v>
      </c>
      <c r="J247" s="74">
        <v>150</v>
      </c>
      <c r="K247" s="74">
        <f>2+1</f>
        <v>3</v>
      </c>
      <c r="L247" s="156">
        <v>45344</v>
      </c>
      <c r="M247" s="90">
        <v>3000</v>
      </c>
      <c r="N247" s="90">
        <v>30</v>
      </c>
      <c r="O247" s="90" t="s">
        <v>922</v>
      </c>
      <c r="P247" s="94" t="s">
        <v>28</v>
      </c>
      <c r="Q247" s="94" t="s">
        <v>2927</v>
      </c>
      <c r="R247" s="94"/>
      <c r="S247" s="74">
        <v>150</v>
      </c>
      <c r="T247" s="90" t="s">
        <v>794</v>
      </c>
      <c r="U247" s="90">
        <v>8500068294</v>
      </c>
      <c r="V247" s="90" t="s">
        <v>2927</v>
      </c>
      <c r="W247" s="109">
        <v>45344</v>
      </c>
      <c r="X247" s="106">
        <v>150</v>
      </c>
      <c r="Y247" s="106">
        <v>3000</v>
      </c>
      <c r="Z247" s="106" t="s">
        <v>1784</v>
      </c>
      <c r="AA247" s="106">
        <f t="shared" si="11"/>
        <v>0</v>
      </c>
      <c r="AB247" s="106">
        <f t="shared" si="12"/>
        <v>0</v>
      </c>
      <c r="AC247" s="94"/>
      <c r="AD247" s="94"/>
      <c r="AE247" s="94"/>
      <c r="AF247" s="94"/>
      <c r="AG247" s="94"/>
      <c r="AH247" s="263"/>
    </row>
    <row r="248" spans="1:34" ht="26.25" customHeight="1">
      <c r="B248" s="45"/>
      <c r="C248" s="2"/>
      <c r="D248" s="2"/>
      <c r="E248" s="94">
        <v>20</v>
      </c>
      <c r="F248" s="74">
        <v>150</v>
      </c>
      <c r="G248" s="45">
        <f t="shared" si="14"/>
        <v>3000</v>
      </c>
      <c r="H248" s="119" t="s">
        <v>46</v>
      </c>
      <c r="I248" s="128">
        <v>45344</v>
      </c>
      <c r="J248" s="74">
        <v>150</v>
      </c>
      <c r="K248" s="74">
        <f>2+1</f>
        <v>3</v>
      </c>
      <c r="L248" s="156">
        <v>45344</v>
      </c>
      <c r="M248" s="90">
        <v>3000</v>
      </c>
      <c r="N248" s="90">
        <v>30</v>
      </c>
      <c r="O248" s="90" t="s">
        <v>922</v>
      </c>
      <c r="P248" s="94" t="s">
        <v>28</v>
      </c>
      <c r="Q248" s="94"/>
      <c r="R248" s="94"/>
      <c r="S248" s="74">
        <v>150</v>
      </c>
      <c r="T248" s="90" t="s">
        <v>794</v>
      </c>
      <c r="U248" s="90">
        <v>8500068294</v>
      </c>
      <c r="V248" s="90" t="s">
        <v>2927</v>
      </c>
      <c r="W248" s="109">
        <v>45344</v>
      </c>
      <c r="X248" s="106">
        <v>150</v>
      </c>
      <c r="Y248" s="106">
        <v>3000</v>
      </c>
      <c r="Z248" s="106" t="s">
        <v>2929</v>
      </c>
      <c r="AA248" s="106">
        <f t="shared" si="11"/>
        <v>0</v>
      </c>
      <c r="AB248" s="106">
        <f t="shared" si="12"/>
        <v>0</v>
      </c>
      <c r="AC248" s="94"/>
      <c r="AD248" s="94"/>
      <c r="AE248" s="94"/>
      <c r="AF248" s="94"/>
      <c r="AG248" s="94"/>
      <c r="AH248" s="263"/>
    </row>
    <row r="249" spans="1:34" ht="26.25" customHeight="1">
      <c r="A249" s="45" t="s">
        <v>868</v>
      </c>
      <c r="B249" s="121">
        <v>6000028687</v>
      </c>
      <c r="C249" s="2" t="s">
        <v>1544</v>
      </c>
      <c r="D249" s="2">
        <v>6000028687</v>
      </c>
      <c r="E249" s="94">
        <v>20</v>
      </c>
      <c r="F249" s="74">
        <v>100</v>
      </c>
      <c r="G249" s="45">
        <f t="shared" si="14"/>
        <v>2000</v>
      </c>
      <c r="H249" s="119" t="s">
        <v>243</v>
      </c>
      <c r="I249" s="128">
        <v>45351</v>
      </c>
      <c r="J249" s="74">
        <v>100</v>
      </c>
      <c r="K249" s="74">
        <v>1</v>
      </c>
      <c r="L249" s="156">
        <v>45356</v>
      </c>
      <c r="M249" s="90">
        <v>2000</v>
      </c>
      <c r="N249" s="90">
        <v>50</v>
      </c>
      <c r="O249" s="90" t="s">
        <v>1663</v>
      </c>
      <c r="P249" s="94" t="s">
        <v>28</v>
      </c>
      <c r="Q249" s="94">
        <v>8500067806</v>
      </c>
      <c r="R249" s="94">
        <v>5000239964</v>
      </c>
      <c r="S249" s="74">
        <v>100</v>
      </c>
      <c r="T249" s="90" t="s">
        <v>655</v>
      </c>
      <c r="U249" s="90">
        <v>8500067805</v>
      </c>
      <c r="V249" s="90">
        <v>5000263843</v>
      </c>
      <c r="W249" s="109">
        <v>45378</v>
      </c>
      <c r="X249" s="106">
        <v>100</v>
      </c>
      <c r="Y249" s="106">
        <v>2000</v>
      </c>
      <c r="Z249" s="106" t="s">
        <v>1472</v>
      </c>
      <c r="AA249" s="106">
        <f t="shared" si="11"/>
        <v>0</v>
      </c>
      <c r="AB249" s="106">
        <f t="shared" si="12"/>
        <v>0</v>
      </c>
      <c r="AC249" s="94"/>
      <c r="AD249" s="94"/>
      <c r="AE249" s="94"/>
      <c r="AF249" s="94"/>
      <c r="AG249" s="94"/>
      <c r="AH249" s="263"/>
    </row>
    <row r="250" spans="1:34" ht="26.25" customHeight="1">
      <c r="A250" s="45"/>
      <c r="B250" s="121"/>
      <c r="C250" s="2"/>
      <c r="D250" s="2"/>
      <c r="E250" s="94">
        <v>20</v>
      </c>
      <c r="F250" s="74">
        <v>130</v>
      </c>
      <c r="G250" s="45">
        <f t="shared" si="14"/>
        <v>2600</v>
      </c>
      <c r="H250" s="119" t="s">
        <v>27</v>
      </c>
      <c r="I250" s="128">
        <v>45351</v>
      </c>
      <c r="J250" s="74">
        <v>130</v>
      </c>
      <c r="K250" s="74">
        <v>1</v>
      </c>
      <c r="L250" s="156">
        <v>45356</v>
      </c>
      <c r="M250" s="90">
        <v>2600</v>
      </c>
      <c r="N250" s="90">
        <v>50</v>
      </c>
      <c r="O250" s="90" t="s">
        <v>1663</v>
      </c>
      <c r="P250" s="94" t="s">
        <v>28</v>
      </c>
      <c r="Q250" s="94">
        <v>8500067806</v>
      </c>
      <c r="R250" s="94">
        <v>5000239964</v>
      </c>
      <c r="S250" s="74">
        <v>130</v>
      </c>
      <c r="T250" s="90" t="s">
        <v>655</v>
      </c>
      <c r="U250" s="90">
        <v>8500067805</v>
      </c>
      <c r="V250" s="90">
        <v>5000263843</v>
      </c>
      <c r="W250" s="109">
        <v>45379</v>
      </c>
      <c r="X250" s="106">
        <v>130</v>
      </c>
      <c r="Y250" s="106">
        <v>2600</v>
      </c>
      <c r="Z250" s="106" t="s">
        <v>3215</v>
      </c>
      <c r="AA250" s="106">
        <f t="shared" si="11"/>
        <v>0</v>
      </c>
      <c r="AB250" s="106">
        <f t="shared" si="12"/>
        <v>0</v>
      </c>
      <c r="AC250" s="94"/>
      <c r="AD250" s="94"/>
      <c r="AE250" s="94"/>
      <c r="AF250" s="94"/>
      <c r="AG250" s="94"/>
      <c r="AH250" s="263"/>
    </row>
    <row r="251" spans="1:34" ht="26.25" customHeight="1">
      <c r="A251" s="45"/>
      <c r="B251" s="121"/>
      <c r="C251" s="2"/>
      <c r="D251" s="2"/>
      <c r="E251" s="94">
        <v>20</v>
      </c>
      <c r="F251" s="74">
        <v>550</v>
      </c>
      <c r="G251" s="45">
        <f t="shared" si="14"/>
        <v>11000</v>
      </c>
      <c r="H251" s="119" t="s">
        <v>46</v>
      </c>
      <c r="I251" s="128">
        <v>45351</v>
      </c>
      <c r="J251" s="74">
        <v>550</v>
      </c>
      <c r="K251" s="74">
        <f>6+2</f>
        <v>8</v>
      </c>
      <c r="L251" s="156">
        <v>45356</v>
      </c>
      <c r="M251" s="90">
        <v>11000</v>
      </c>
      <c r="N251" s="90">
        <v>100</v>
      </c>
      <c r="O251" s="90"/>
      <c r="P251" s="94" t="s">
        <v>28</v>
      </c>
      <c r="Q251" s="94">
        <v>8500067806</v>
      </c>
      <c r="R251" s="94">
        <v>5000239964</v>
      </c>
      <c r="S251" s="74">
        <v>550</v>
      </c>
      <c r="T251" s="90" t="s">
        <v>655</v>
      </c>
      <c r="U251" s="90">
        <v>8500067805</v>
      </c>
      <c r="V251" s="90">
        <v>5000263843</v>
      </c>
      <c r="W251" s="109">
        <v>45379</v>
      </c>
      <c r="X251" s="106">
        <v>550</v>
      </c>
      <c r="Y251" s="106">
        <v>11000</v>
      </c>
      <c r="Z251" s="106" t="s">
        <v>1460</v>
      </c>
      <c r="AA251" s="106">
        <f t="shared" si="11"/>
        <v>0</v>
      </c>
      <c r="AB251" s="106">
        <f t="shared" si="12"/>
        <v>0</v>
      </c>
      <c r="AC251" s="94"/>
      <c r="AD251" s="94"/>
      <c r="AE251" s="94"/>
      <c r="AF251" s="94"/>
      <c r="AG251" s="94"/>
      <c r="AH251" s="263"/>
    </row>
    <row r="252" spans="1:34" ht="26.25" customHeight="1">
      <c r="A252" s="45"/>
      <c r="B252" s="121"/>
      <c r="C252" s="2"/>
      <c r="D252" s="2"/>
      <c r="E252" s="94">
        <v>20</v>
      </c>
      <c r="F252" s="74">
        <v>400</v>
      </c>
      <c r="G252" s="45">
        <f t="shared" si="14"/>
        <v>8000</v>
      </c>
      <c r="H252" s="119" t="s">
        <v>37</v>
      </c>
      <c r="I252" s="128">
        <v>45351</v>
      </c>
      <c r="J252" s="74">
        <v>400</v>
      </c>
      <c r="K252" s="74">
        <v>4</v>
      </c>
      <c r="L252" s="156">
        <v>45356</v>
      </c>
      <c r="M252" s="90">
        <v>8000</v>
      </c>
      <c r="N252" s="90">
        <v>100</v>
      </c>
      <c r="O252" s="90" t="s">
        <v>1875</v>
      </c>
      <c r="P252" s="94" t="s">
        <v>28</v>
      </c>
      <c r="Q252" s="94">
        <v>8500067806</v>
      </c>
      <c r="R252" s="94">
        <v>5000239964</v>
      </c>
      <c r="S252" s="74">
        <v>400</v>
      </c>
      <c r="T252" s="90" t="s">
        <v>655</v>
      </c>
      <c r="U252" s="90">
        <v>8500067805</v>
      </c>
      <c r="V252" s="90">
        <v>5000263843</v>
      </c>
      <c r="W252" s="109">
        <v>45373</v>
      </c>
      <c r="X252" s="106">
        <v>400</v>
      </c>
      <c r="Y252" s="106">
        <v>8000</v>
      </c>
      <c r="Z252" s="106" t="s">
        <v>927</v>
      </c>
      <c r="AA252" s="106">
        <f t="shared" si="11"/>
        <v>0</v>
      </c>
      <c r="AB252" s="106">
        <f t="shared" si="12"/>
        <v>0</v>
      </c>
      <c r="AC252" s="94"/>
      <c r="AD252" s="94"/>
      <c r="AE252" s="94"/>
      <c r="AF252" s="94"/>
      <c r="AG252" s="94"/>
      <c r="AH252" s="263"/>
    </row>
    <row r="253" spans="1:34" ht="26.25" customHeight="1">
      <c r="A253" s="45" t="s">
        <v>868</v>
      </c>
      <c r="B253" s="121">
        <v>6000028687</v>
      </c>
      <c r="C253" s="2" t="s">
        <v>1546</v>
      </c>
      <c r="D253" s="2">
        <v>6000028687</v>
      </c>
      <c r="E253" s="94">
        <v>20</v>
      </c>
      <c r="F253" s="74">
        <v>140</v>
      </c>
      <c r="G253" s="45">
        <f t="shared" si="14"/>
        <v>2800</v>
      </c>
      <c r="H253" s="119" t="s">
        <v>243</v>
      </c>
      <c r="I253" s="128">
        <v>45351</v>
      </c>
      <c r="J253" s="74">
        <v>140</v>
      </c>
      <c r="K253" s="74">
        <f>1+1</f>
        <v>2</v>
      </c>
      <c r="L253" s="156">
        <v>45356</v>
      </c>
      <c r="M253" s="90">
        <v>2800</v>
      </c>
      <c r="N253" s="90">
        <v>50</v>
      </c>
      <c r="O253" s="90" t="s">
        <v>1768</v>
      </c>
      <c r="P253" s="94" t="s">
        <v>28</v>
      </c>
      <c r="Q253" s="94">
        <v>8500067808</v>
      </c>
      <c r="R253" s="94">
        <v>5000239963</v>
      </c>
      <c r="S253" s="74">
        <v>140</v>
      </c>
      <c r="T253" s="90" t="s">
        <v>655</v>
      </c>
      <c r="U253" s="90">
        <v>8500067807</v>
      </c>
      <c r="V253" s="90">
        <v>5000263846</v>
      </c>
      <c r="W253" s="109">
        <v>45377</v>
      </c>
      <c r="X253" s="106">
        <v>140</v>
      </c>
      <c r="Y253" s="106">
        <v>2800</v>
      </c>
      <c r="Z253" s="106" t="s">
        <v>800</v>
      </c>
      <c r="AA253" s="106">
        <f t="shared" si="11"/>
        <v>0</v>
      </c>
      <c r="AB253" s="106">
        <f t="shared" si="12"/>
        <v>0</v>
      </c>
      <c r="AC253" s="94"/>
      <c r="AD253" s="94"/>
      <c r="AE253" s="94"/>
      <c r="AF253" s="94"/>
      <c r="AG253" s="94"/>
      <c r="AH253" s="263"/>
    </row>
    <row r="254" spans="1:34" ht="26.25" customHeight="1">
      <c r="A254" s="45"/>
      <c r="B254" s="121"/>
      <c r="C254" s="2"/>
      <c r="D254" s="2"/>
      <c r="E254" s="94">
        <v>20</v>
      </c>
      <c r="F254" s="74">
        <v>230</v>
      </c>
      <c r="G254" s="45">
        <f t="shared" si="14"/>
        <v>4600</v>
      </c>
      <c r="H254" s="119" t="s">
        <v>27</v>
      </c>
      <c r="I254" s="128">
        <v>45351</v>
      </c>
      <c r="J254" s="74">
        <v>230</v>
      </c>
      <c r="K254" s="74">
        <v>4</v>
      </c>
      <c r="L254" s="156">
        <v>45356</v>
      </c>
      <c r="M254" s="90">
        <v>4600</v>
      </c>
      <c r="N254" s="90">
        <v>50</v>
      </c>
      <c r="O254" s="90" t="s">
        <v>897</v>
      </c>
      <c r="P254" s="94" t="s">
        <v>28</v>
      </c>
      <c r="Q254" s="94">
        <v>8500067808</v>
      </c>
      <c r="R254" s="94">
        <v>5000239963</v>
      </c>
      <c r="S254" s="74">
        <v>230</v>
      </c>
      <c r="T254" s="90" t="s">
        <v>655</v>
      </c>
      <c r="U254" s="90">
        <v>8500067807</v>
      </c>
      <c r="V254" s="90">
        <v>5000263846</v>
      </c>
      <c r="W254" s="109">
        <v>45358</v>
      </c>
      <c r="X254" s="106">
        <v>230</v>
      </c>
      <c r="Y254" s="106">
        <v>4600</v>
      </c>
      <c r="Z254" s="106" t="s">
        <v>1980</v>
      </c>
      <c r="AA254" s="106">
        <f t="shared" si="11"/>
        <v>0</v>
      </c>
      <c r="AB254" s="106">
        <f t="shared" si="12"/>
        <v>0</v>
      </c>
      <c r="AC254" s="94"/>
      <c r="AD254" s="94"/>
      <c r="AE254" s="94"/>
      <c r="AF254" s="94"/>
      <c r="AG254" s="94"/>
      <c r="AH254" s="263"/>
    </row>
    <row r="255" spans="1:34" ht="26.25" customHeight="1">
      <c r="A255" s="45"/>
      <c r="B255" s="121"/>
      <c r="C255" s="2"/>
      <c r="D255" s="2"/>
      <c r="E255" s="94">
        <v>20</v>
      </c>
      <c r="F255" s="74">
        <v>130</v>
      </c>
      <c r="G255" s="45">
        <f t="shared" si="14"/>
        <v>2600</v>
      </c>
      <c r="H255" s="119" t="s">
        <v>46</v>
      </c>
      <c r="I255" s="128">
        <v>45351</v>
      </c>
      <c r="J255" s="74">
        <v>130</v>
      </c>
      <c r="K255" s="74">
        <v>1</v>
      </c>
      <c r="L255" s="156">
        <v>45356</v>
      </c>
      <c r="M255" s="90">
        <v>2600</v>
      </c>
      <c r="N255" s="90">
        <v>50</v>
      </c>
      <c r="O255" s="90" t="s">
        <v>1583</v>
      </c>
      <c r="P255" s="94" t="s">
        <v>28</v>
      </c>
      <c r="Q255" s="94">
        <v>8500067808</v>
      </c>
      <c r="R255" s="94">
        <v>5000239963</v>
      </c>
      <c r="S255" s="74"/>
      <c r="T255" s="90" t="s">
        <v>655</v>
      </c>
      <c r="U255" s="90">
        <v>8500067807</v>
      </c>
      <c r="V255" s="90">
        <v>5000263846</v>
      </c>
      <c r="W255" s="109">
        <v>45358</v>
      </c>
      <c r="X255" s="106">
        <v>130</v>
      </c>
      <c r="Y255" s="106">
        <v>2600</v>
      </c>
      <c r="Z255" s="106" t="s">
        <v>1980</v>
      </c>
      <c r="AA255" s="106">
        <f t="shared" si="11"/>
        <v>0</v>
      </c>
      <c r="AB255" s="106">
        <f t="shared" si="12"/>
        <v>0</v>
      </c>
      <c r="AC255" s="94"/>
      <c r="AD255" s="94"/>
      <c r="AE255" s="94"/>
      <c r="AF255" s="94"/>
      <c r="AG255" s="94"/>
      <c r="AH255" s="263"/>
    </row>
    <row r="256" spans="1:34" ht="26.25" customHeight="1">
      <c r="A256" s="45" t="s">
        <v>868</v>
      </c>
      <c r="B256" s="121">
        <v>6000028688</v>
      </c>
      <c r="C256" s="2" t="s">
        <v>1544</v>
      </c>
      <c r="D256" s="2">
        <v>6000028688</v>
      </c>
      <c r="E256" s="94">
        <v>20</v>
      </c>
      <c r="F256" s="74">
        <v>50</v>
      </c>
      <c r="G256" s="45">
        <f t="shared" si="14"/>
        <v>1000</v>
      </c>
      <c r="H256" s="119" t="s">
        <v>243</v>
      </c>
      <c r="I256" s="128">
        <v>45348</v>
      </c>
      <c r="J256" s="74">
        <v>50</v>
      </c>
      <c r="K256" s="74">
        <v>1</v>
      </c>
      <c r="L256" s="156">
        <v>45356</v>
      </c>
      <c r="M256" s="90">
        <v>1000</v>
      </c>
      <c r="N256" s="90">
        <v>20</v>
      </c>
      <c r="O256" s="90" t="s">
        <v>1663</v>
      </c>
      <c r="P256" s="94" t="s">
        <v>28</v>
      </c>
      <c r="Q256" s="94">
        <v>8500067800</v>
      </c>
      <c r="R256" s="94">
        <v>5000225747</v>
      </c>
      <c r="S256" s="74">
        <v>50</v>
      </c>
      <c r="T256" s="90" t="s">
        <v>655</v>
      </c>
      <c r="U256" s="90">
        <v>8500067799</v>
      </c>
      <c r="V256" s="90">
        <v>5000263737</v>
      </c>
      <c r="W256" s="109">
        <v>45381</v>
      </c>
      <c r="X256" s="106">
        <v>50</v>
      </c>
      <c r="Y256" s="106">
        <v>1000</v>
      </c>
      <c r="Z256" s="106" t="s">
        <v>3227</v>
      </c>
      <c r="AA256" s="106">
        <f t="shared" si="11"/>
        <v>0</v>
      </c>
      <c r="AB256" s="106">
        <f t="shared" si="12"/>
        <v>0</v>
      </c>
      <c r="AC256" s="94"/>
      <c r="AD256" s="94"/>
      <c r="AE256" s="94"/>
      <c r="AF256" s="94"/>
      <c r="AG256" s="94"/>
      <c r="AH256" s="263"/>
    </row>
    <row r="257" spans="1:34" ht="26.25" customHeight="1">
      <c r="A257" s="45"/>
      <c r="B257" s="121"/>
      <c r="C257" s="2"/>
      <c r="D257" s="2"/>
      <c r="E257" s="94">
        <v>20</v>
      </c>
      <c r="F257" s="74">
        <v>300</v>
      </c>
      <c r="G257" s="45">
        <f t="shared" si="14"/>
        <v>6000</v>
      </c>
      <c r="H257" s="119" t="s">
        <v>27</v>
      </c>
      <c r="I257" s="128">
        <v>45346</v>
      </c>
      <c r="J257" s="74">
        <v>300</v>
      </c>
      <c r="K257" s="74">
        <f>3+1</f>
        <v>4</v>
      </c>
      <c r="L257" s="156">
        <v>45356</v>
      </c>
      <c r="M257" s="90">
        <v>6000</v>
      </c>
      <c r="N257" s="90">
        <v>100</v>
      </c>
      <c r="O257" s="90" t="s">
        <v>1583</v>
      </c>
      <c r="P257" s="94" t="s">
        <v>28</v>
      </c>
      <c r="Q257" s="94">
        <v>8500067800</v>
      </c>
      <c r="R257" s="94">
        <v>5000217537</v>
      </c>
      <c r="S257" s="74">
        <v>300</v>
      </c>
      <c r="T257" s="90" t="s">
        <v>655</v>
      </c>
      <c r="U257" s="90">
        <v>8500067799</v>
      </c>
      <c r="V257" s="90">
        <v>5000263737</v>
      </c>
      <c r="W257" s="109">
        <v>45381</v>
      </c>
      <c r="X257" s="106">
        <v>300</v>
      </c>
      <c r="Y257" s="106">
        <v>6000</v>
      </c>
      <c r="Z257" s="106" t="s">
        <v>3227</v>
      </c>
      <c r="AA257" s="106">
        <f t="shared" si="11"/>
        <v>0</v>
      </c>
      <c r="AB257" s="106">
        <f t="shared" si="12"/>
        <v>0</v>
      </c>
      <c r="AC257" s="94"/>
      <c r="AD257" s="94"/>
      <c r="AE257" s="94"/>
      <c r="AF257" s="94"/>
      <c r="AG257" s="94"/>
      <c r="AH257" s="263"/>
    </row>
    <row r="258" spans="1:34" ht="26.25" customHeight="1">
      <c r="A258" s="45"/>
      <c r="B258" s="121"/>
      <c r="C258" s="2"/>
      <c r="D258" s="2"/>
      <c r="E258" s="94">
        <v>20</v>
      </c>
      <c r="F258" s="74">
        <v>450</v>
      </c>
      <c r="G258" s="45">
        <f t="shared" si="14"/>
        <v>9000</v>
      </c>
      <c r="H258" s="119" t="s">
        <v>46</v>
      </c>
      <c r="I258" s="128">
        <v>45348</v>
      </c>
      <c r="J258" s="74">
        <v>450</v>
      </c>
      <c r="K258" s="74">
        <v>5</v>
      </c>
      <c r="L258" s="156">
        <v>45356</v>
      </c>
      <c r="M258" s="90">
        <v>9000</v>
      </c>
      <c r="N258" s="90">
        <v>100</v>
      </c>
      <c r="O258" s="90" t="s">
        <v>1959</v>
      </c>
      <c r="P258" s="94" t="s">
        <v>28</v>
      </c>
      <c r="Q258" s="94">
        <v>8500067800</v>
      </c>
      <c r="R258" s="94">
        <v>5000225747</v>
      </c>
      <c r="S258" s="74">
        <v>450</v>
      </c>
      <c r="T258" s="90" t="s">
        <v>655</v>
      </c>
      <c r="U258" s="90">
        <v>8500067799</v>
      </c>
      <c r="V258" s="90">
        <v>5000263737</v>
      </c>
      <c r="W258" s="109">
        <v>45383</v>
      </c>
      <c r="X258" s="106">
        <v>450</v>
      </c>
      <c r="Y258" s="106">
        <v>9000</v>
      </c>
      <c r="Z258" s="106" t="s">
        <v>1460</v>
      </c>
      <c r="AA258" s="106">
        <f t="shared" si="11"/>
        <v>0</v>
      </c>
      <c r="AB258" s="106">
        <f t="shared" si="12"/>
        <v>0</v>
      </c>
      <c r="AC258" s="94"/>
      <c r="AD258" s="94"/>
      <c r="AE258" s="94"/>
      <c r="AF258" s="94"/>
      <c r="AG258" s="94"/>
      <c r="AH258" s="263"/>
    </row>
    <row r="259" spans="1:34" ht="26.25" customHeight="1">
      <c r="A259" s="45"/>
      <c r="B259" s="121"/>
      <c r="C259" s="2"/>
      <c r="D259" s="2"/>
      <c r="E259" s="94">
        <v>20</v>
      </c>
      <c r="F259" s="74">
        <v>300</v>
      </c>
      <c r="G259" s="45">
        <f t="shared" si="14"/>
        <v>6000</v>
      </c>
      <c r="H259" s="119" t="s">
        <v>37</v>
      </c>
      <c r="I259" s="128">
        <v>45346</v>
      </c>
      <c r="J259" s="74">
        <v>300</v>
      </c>
      <c r="K259" s="74">
        <f>3+1</f>
        <v>4</v>
      </c>
      <c r="L259" s="156">
        <v>45356</v>
      </c>
      <c r="M259" s="90">
        <v>6000</v>
      </c>
      <c r="N259" s="90">
        <v>100</v>
      </c>
      <c r="O259" s="90" t="s">
        <v>1553</v>
      </c>
      <c r="P259" s="94" t="s">
        <v>28</v>
      </c>
      <c r="Q259" s="94">
        <v>8500067800</v>
      </c>
      <c r="R259" s="94">
        <v>5000217537</v>
      </c>
      <c r="S259" s="74">
        <v>300</v>
      </c>
      <c r="T259" s="90" t="s">
        <v>655</v>
      </c>
      <c r="U259" s="90">
        <v>8500067799</v>
      </c>
      <c r="V259" s="90">
        <v>5000263737</v>
      </c>
      <c r="W259" s="109">
        <v>45373</v>
      </c>
      <c r="X259" s="106">
        <v>300</v>
      </c>
      <c r="Y259" s="106">
        <v>6000</v>
      </c>
      <c r="Z259" s="106" t="s">
        <v>927</v>
      </c>
      <c r="AA259" s="106">
        <f t="shared" si="11"/>
        <v>0</v>
      </c>
      <c r="AB259" s="106">
        <f t="shared" si="12"/>
        <v>0</v>
      </c>
      <c r="AC259" s="94"/>
      <c r="AD259" s="94"/>
      <c r="AE259" s="94"/>
      <c r="AF259" s="94"/>
      <c r="AG259" s="94"/>
      <c r="AH259" s="263"/>
    </row>
    <row r="260" spans="1:34" ht="26.25" customHeight="1">
      <c r="A260" s="45" t="s">
        <v>868</v>
      </c>
      <c r="B260" s="121">
        <v>6000028688</v>
      </c>
      <c r="C260" s="2" t="s">
        <v>869</v>
      </c>
      <c r="D260" s="2">
        <v>6000028688</v>
      </c>
      <c r="E260" s="94">
        <v>20</v>
      </c>
      <c r="F260" s="74">
        <v>100</v>
      </c>
      <c r="G260" s="45">
        <f t="shared" si="14"/>
        <v>2000</v>
      </c>
      <c r="H260" s="119" t="s">
        <v>27</v>
      </c>
      <c r="I260" s="128">
        <v>45348</v>
      </c>
      <c r="J260" s="74">
        <v>100</v>
      </c>
      <c r="K260" s="74">
        <v>1</v>
      </c>
      <c r="L260" s="156">
        <v>45350</v>
      </c>
      <c r="M260" s="90">
        <v>2000</v>
      </c>
      <c r="N260" s="90">
        <v>50</v>
      </c>
      <c r="O260" s="90" t="s">
        <v>1369</v>
      </c>
      <c r="P260" s="94" t="s">
        <v>28</v>
      </c>
      <c r="Q260" s="94">
        <v>8500067802</v>
      </c>
      <c r="R260" s="94">
        <v>5000225760</v>
      </c>
      <c r="S260" s="74">
        <v>100</v>
      </c>
      <c r="T260" s="90" t="s">
        <v>655</v>
      </c>
      <c r="U260" s="90">
        <v>8500068701</v>
      </c>
      <c r="V260" s="90">
        <v>5000236183</v>
      </c>
      <c r="W260" s="109">
        <v>45363</v>
      </c>
      <c r="X260" s="106">
        <v>100</v>
      </c>
      <c r="Y260" s="106">
        <v>2000</v>
      </c>
      <c r="Z260" s="106" t="s">
        <v>1502</v>
      </c>
      <c r="AA260" s="106">
        <f t="shared" si="11"/>
        <v>0</v>
      </c>
      <c r="AB260" s="106">
        <f t="shared" si="12"/>
        <v>0</v>
      </c>
      <c r="AC260" s="94"/>
      <c r="AD260" s="94"/>
      <c r="AE260" s="94"/>
      <c r="AF260" s="94"/>
      <c r="AG260" s="94"/>
      <c r="AH260" s="263"/>
    </row>
    <row r="261" spans="1:34" ht="26.25" customHeight="1">
      <c r="A261" s="45"/>
      <c r="B261" s="121"/>
      <c r="C261" s="2"/>
      <c r="D261" s="2"/>
      <c r="E261" s="94">
        <v>20</v>
      </c>
      <c r="F261" s="74">
        <v>80</v>
      </c>
      <c r="G261" s="45">
        <f t="shared" si="14"/>
        <v>1600</v>
      </c>
      <c r="H261" s="119" t="s">
        <v>37</v>
      </c>
      <c r="I261" s="128">
        <v>45348</v>
      </c>
      <c r="J261" s="74">
        <v>80</v>
      </c>
      <c r="K261" s="74">
        <v>1</v>
      </c>
      <c r="L261" s="156">
        <v>45350</v>
      </c>
      <c r="M261" s="90">
        <v>1600</v>
      </c>
      <c r="N261" s="90">
        <v>30</v>
      </c>
      <c r="O261" s="90" t="s">
        <v>1369</v>
      </c>
      <c r="P261" s="94" t="s">
        <v>28</v>
      </c>
      <c r="Q261" s="94">
        <v>8500067802</v>
      </c>
      <c r="R261" s="94">
        <v>5000225760</v>
      </c>
      <c r="S261" s="74">
        <v>80</v>
      </c>
      <c r="T261" s="90" t="s">
        <v>655</v>
      </c>
      <c r="U261" s="90">
        <v>8500068701</v>
      </c>
      <c r="V261" s="90">
        <v>5000236183</v>
      </c>
      <c r="W261" s="109">
        <v>45362</v>
      </c>
      <c r="X261" s="106">
        <v>80</v>
      </c>
      <c r="Y261" s="106">
        <v>1600</v>
      </c>
      <c r="Z261" s="106" t="s">
        <v>197</v>
      </c>
      <c r="AA261" s="106">
        <f t="shared" si="11"/>
        <v>0</v>
      </c>
      <c r="AB261" s="106">
        <f t="shared" si="12"/>
        <v>0</v>
      </c>
      <c r="AC261" s="94"/>
      <c r="AD261" s="94"/>
      <c r="AE261" s="94"/>
      <c r="AF261" s="94"/>
      <c r="AG261" s="94"/>
      <c r="AH261" s="263"/>
    </row>
    <row r="262" spans="1:34" ht="26.25" customHeight="1">
      <c r="A262" s="45" t="s">
        <v>868</v>
      </c>
      <c r="B262" s="121">
        <v>6000028688</v>
      </c>
      <c r="C262" s="2" t="s">
        <v>1546</v>
      </c>
      <c r="D262" s="2">
        <v>6000028688</v>
      </c>
      <c r="E262" s="94">
        <v>20</v>
      </c>
      <c r="F262" s="74">
        <v>50</v>
      </c>
      <c r="G262" s="45">
        <f t="shared" si="14"/>
        <v>1000</v>
      </c>
      <c r="H262" s="119" t="s">
        <v>243</v>
      </c>
      <c r="I262" s="128">
        <v>45348</v>
      </c>
      <c r="J262" s="74">
        <v>50</v>
      </c>
      <c r="K262" s="74">
        <f>1+1</f>
        <v>2</v>
      </c>
      <c r="L262" s="156">
        <v>45356</v>
      </c>
      <c r="M262" s="90">
        <v>1000</v>
      </c>
      <c r="N262" s="90">
        <v>20</v>
      </c>
      <c r="O262" s="90" t="s">
        <v>1890</v>
      </c>
      <c r="P262" s="94" t="s">
        <v>28</v>
      </c>
      <c r="Q262" s="94">
        <v>8500067804</v>
      </c>
      <c r="R262" s="94">
        <v>5000225743</v>
      </c>
      <c r="S262" s="74">
        <v>50</v>
      </c>
      <c r="T262" s="90" t="s">
        <v>655</v>
      </c>
      <c r="U262" s="90">
        <v>8500067803</v>
      </c>
      <c r="V262" s="90">
        <v>5000263738</v>
      </c>
      <c r="W262" s="109">
        <v>45377</v>
      </c>
      <c r="X262" s="106">
        <v>50</v>
      </c>
      <c r="Y262" s="106">
        <v>1000</v>
      </c>
      <c r="Z262" s="106" t="s">
        <v>800</v>
      </c>
      <c r="AA262" s="106">
        <f t="shared" si="11"/>
        <v>0</v>
      </c>
      <c r="AB262" s="106">
        <f t="shared" si="12"/>
        <v>0</v>
      </c>
      <c r="AC262" s="94"/>
      <c r="AD262" s="94"/>
      <c r="AE262" s="94"/>
      <c r="AF262" s="94"/>
      <c r="AG262" s="94"/>
      <c r="AH262" s="263"/>
    </row>
    <row r="263" spans="1:34" ht="31.5" customHeight="1">
      <c r="A263" s="45"/>
      <c r="B263" s="121"/>
      <c r="C263" s="2"/>
      <c r="D263" s="2"/>
      <c r="E263" s="94">
        <v>20</v>
      </c>
      <c r="F263" s="74">
        <v>100</v>
      </c>
      <c r="G263" s="45">
        <f t="shared" si="14"/>
        <v>2000</v>
      </c>
      <c r="H263" s="119" t="s">
        <v>27</v>
      </c>
      <c r="I263" s="128">
        <v>45348</v>
      </c>
      <c r="J263" s="74">
        <v>100</v>
      </c>
      <c r="K263" s="74">
        <f>1+1</f>
        <v>2</v>
      </c>
      <c r="L263" s="156">
        <v>45356</v>
      </c>
      <c r="M263" s="90">
        <v>2000</v>
      </c>
      <c r="N263" s="90">
        <v>50</v>
      </c>
      <c r="O263" s="90" t="s">
        <v>1890</v>
      </c>
      <c r="P263" s="94" t="s">
        <v>28</v>
      </c>
      <c r="Q263" s="94">
        <v>8500067804</v>
      </c>
      <c r="R263" s="94">
        <v>5000225743</v>
      </c>
      <c r="S263" s="74"/>
      <c r="T263" s="90" t="s">
        <v>655</v>
      </c>
      <c r="U263" s="90">
        <v>8500067803</v>
      </c>
      <c r="V263" s="90">
        <v>5000263738</v>
      </c>
      <c r="W263" s="109">
        <v>45358</v>
      </c>
      <c r="X263" s="106">
        <v>100</v>
      </c>
      <c r="Y263" s="106">
        <v>2000</v>
      </c>
      <c r="Z263" s="106" t="s">
        <v>1980</v>
      </c>
      <c r="AA263" s="106">
        <f t="shared" si="11"/>
        <v>0</v>
      </c>
      <c r="AB263" s="106">
        <f t="shared" si="12"/>
        <v>0</v>
      </c>
      <c r="AC263" s="94"/>
      <c r="AD263" s="94"/>
      <c r="AE263" s="94"/>
      <c r="AF263" s="94"/>
      <c r="AG263" s="94"/>
      <c r="AH263" s="263"/>
    </row>
    <row r="264" spans="1:34" ht="26.25" customHeight="1">
      <c r="A264" s="45"/>
      <c r="B264" s="121"/>
      <c r="C264" s="2"/>
      <c r="D264" s="2"/>
      <c r="E264" s="94">
        <v>20</v>
      </c>
      <c r="F264" s="74">
        <v>150</v>
      </c>
      <c r="G264" s="45">
        <f t="shared" si="14"/>
        <v>3000</v>
      </c>
      <c r="H264" s="119" t="s">
        <v>46</v>
      </c>
      <c r="I264" s="128">
        <v>45348</v>
      </c>
      <c r="J264" s="74">
        <v>150</v>
      </c>
      <c r="K264" s="74">
        <v>2</v>
      </c>
      <c r="L264" s="156">
        <v>45356</v>
      </c>
      <c r="M264" s="90">
        <v>3000</v>
      </c>
      <c r="N264" s="90">
        <v>50</v>
      </c>
      <c r="O264" s="90" t="s">
        <v>1890</v>
      </c>
      <c r="P264" s="94" t="s">
        <v>28</v>
      </c>
      <c r="Q264" s="94">
        <v>8500067804</v>
      </c>
      <c r="R264" s="94">
        <v>5000225743</v>
      </c>
      <c r="S264" s="74"/>
      <c r="T264" s="90" t="s">
        <v>655</v>
      </c>
      <c r="U264" s="90">
        <v>8500067803</v>
      </c>
      <c r="V264" s="90">
        <v>5000263738</v>
      </c>
      <c r="W264" s="109">
        <v>45358</v>
      </c>
      <c r="X264" s="106">
        <v>150</v>
      </c>
      <c r="Y264" s="106">
        <v>3000</v>
      </c>
      <c r="Z264" s="106" t="s">
        <v>1980</v>
      </c>
      <c r="AA264" s="106">
        <f t="shared" ref="AA264:AA301" si="15">J264-X264</f>
        <v>0</v>
      </c>
      <c r="AB264" s="106">
        <f t="shared" ref="AB264:AB301" si="16">M264-Y264</f>
        <v>0</v>
      </c>
      <c r="AC264" s="94"/>
      <c r="AD264" s="94"/>
      <c r="AE264" s="94"/>
      <c r="AF264" s="94"/>
      <c r="AG264" s="94"/>
      <c r="AH264" s="263"/>
    </row>
    <row r="265" spans="1:34" ht="26.25" customHeight="1">
      <c r="A265" s="45" t="s">
        <v>868</v>
      </c>
      <c r="B265" s="121">
        <v>6000028689</v>
      </c>
      <c r="C265" s="2" t="s">
        <v>1544</v>
      </c>
      <c r="D265" s="2">
        <v>6000028689</v>
      </c>
      <c r="E265" s="94">
        <v>20</v>
      </c>
      <c r="F265" s="74">
        <v>435</v>
      </c>
      <c r="G265" s="45">
        <f t="shared" si="14"/>
        <v>8700</v>
      </c>
      <c r="H265" s="119" t="s">
        <v>243</v>
      </c>
      <c r="I265" s="128">
        <v>45346</v>
      </c>
      <c r="J265" s="158">
        <v>435</v>
      </c>
      <c r="K265" s="74">
        <v>5</v>
      </c>
      <c r="L265" s="156">
        <v>45356</v>
      </c>
      <c r="M265" s="90">
        <v>8700</v>
      </c>
      <c r="N265" s="90">
        <v>100</v>
      </c>
      <c r="O265" s="90" t="s">
        <v>1555</v>
      </c>
      <c r="P265" s="94" t="s">
        <v>28</v>
      </c>
      <c r="Q265" s="94">
        <v>8500067703</v>
      </c>
      <c r="R265" s="94">
        <v>5000217550</v>
      </c>
      <c r="S265" s="158">
        <v>435</v>
      </c>
      <c r="T265" s="90" t="s">
        <v>655</v>
      </c>
      <c r="U265" s="90">
        <v>8500067702</v>
      </c>
      <c r="V265" s="90">
        <v>5000263739</v>
      </c>
      <c r="W265" s="109">
        <v>45379</v>
      </c>
      <c r="X265" s="106">
        <v>435</v>
      </c>
      <c r="Y265" s="106">
        <v>8700</v>
      </c>
      <c r="Z265" s="106" t="s">
        <v>1472</v>
      </c>
      <c r="AA265" s="106">
        <f t="shared" si="15"/>
        <v>0</v>
      </c>
      <c r="AB265" s="106">
        <f t="shared" si="16"/>
        <v>0</v>
      </c>
      <c r="AC265" s="94"/>
      <c r="AD265" s="94"/>
      <c r="AE265" s="94"/>
      <c r="AF265" s="94"/>
      <c r="AG265" s="94"/>
      <c r="AH265" s="263"/>
    </row>
    <row r="266" spans="1:34" ht="26.25" customHeight="1">
      <c r="A266" s="45" t="s">
        <v>868</v>
      </c>
      <c r="B266" s="121">
        <v>6000028689</v>
      </c>
      <c r="C266" s="2" t="s">
        <v>869</v>
      </c>
      <c r="D266" s="2">
        <v>6000028689</v>
      </c>
      <c r="E266" s="94">
        <v>20</v>
      </c>
      <c r="F266" s="74">
        <v>400</v>
      </c>
      <c r="G266" s="45">
        <f t="shared" si="14"/>
        <v>8000</v>
      </c>
      <c r="H266" s="119" t="s">
        <v>27</v>
      </c>
      <c r="I266" s="128">
        <v>45346</v>
      </c>
      <c r="J266" s="74">
        <v>400</v>
      </c>
      <c r="K266" s="74">
        <f>4+1</f>
        <v>5</v>
      </c>
      <c r="L266" s="156">
        <v>45350</v>
      </c>
      <c r="M266" s="90">
        <v>8000</v>
      </c>
      <c r="N266" s="90">
        <v>100</v>
      </c>
      <c r="O266" s="90"/>
      <c r="P266" s="94" t="s">
        <v>28</v>
      </c>
      <c r="Q266" s="94">
        <v>8500067705</v>
      </c>
      <c r="R266" s="94">
        <v>5000217554</v>
      </c>
      <c r="S266" s="74">
        <v>400</v>
      </c>
      <c r="T266" s="90" t="s">
        <v>655</v>
      </c>
      <c r="U266" s="90">
        <v>8500067704</v>
      </c>
      <c r="V266" s="90">
        <v>5000236181</v>
      </c>
      <c r="W266" s="109">
        <v>45364</v>
      </c>
      <c r="X266" s="106">
        <v>400</v>
      </c>
      <c r="Y266" s="106">
        <v>8000</v>
      </c>
      <c r="Z266" s="106" t="s">
        <v>1502</v>
      </c>
      <c r="AA266" s="106">
        <f t="shared" si="15"/>
        <v>0</v>
      </c>
      <c r="AB266" s="106">
        <f t="shared" si="16"/>
        <v>0</v>
      </c>
      <c r="AC266" s="94"/>
      <c r="AD266" s="94"/>
      <c r="AE266" s="94"/>
      <c r="AF266" s="94"/>
      <c r="AG266" s="94"/>
      <c r="AH266" s="263"/>
    </row>
    <row r="267" spans="1:34" ht="26.25" customHeight="1">
      <c r="A267" s="45"/>
      <c r="B267" s="121"/>
      <c r="C267" s="2"/>
      <c r="D267" s="2"/>
      <c r="E267" s="94">
        <v>20</v>
      </c>
      <c r="F267" s="74">
        <v>100</v>
      </c>
      <c r="G267" s="45">
        <f t="shared" si="14"/>
        <v>2000</v>
      </c>
      <c r="H267" s="119" t="s">
        <v>46</v>
      </c>
      <c r="I267" s="128">
        <v>45346</v>
      </c>
      <c r="J267" s="74">
        <v>100</v>
      </c>
      <c r="K267" s="74">
        <v>2</v>
      </c>
      <c r="L267" s="156">
        <v>45350</v>
      </c>
      <c r="M267" s="90">
        <v>2000</v>
      </c>
      <c r="N267" s="90">
        <v>50</v>
      </c>
      <c r="O267" s="90" t="s">
        <v>1613</v>
      </c>
      <c r="P267" s="94" t="s">
        <v>28</v>
      </c>
      <c r="Q267" s="94">
        <v>8500067705</v>
      </c>
      <c r="R267" s="94">
        <v>5000217554</v>
      </c>
      <c r="S267" s="74">
        <v>100</v>
      </c>
      <c r="T267" s="90" t="s">
        <v>655</v>
      </c>
      <c r="U267" s="90">
        <v>8500067704</v>
      </c>
      <c r="V267" s="90">
        <v>5000236181</v>
      </c>
      <c r="W267" s="109">
        <v>45351</v>
      </c>
      <c r="X267" s="106">
        <v>100</v>
      </c>
      <c r="Y267" s="106">
        <v>2000</v>
      </c>
      <c r="Z267" s="106" t="s">
        <v>1460</v>
      </c>
      <c r="AA267" s="106">
        <f t="shared" si="15"/>
        <v>0</v>
      </c>
      <c r="AB267" s="106">
        <f t="shared" si="16"/>
        <v>0</v>
      </c>
      <c r="AC267" s="94"/>
      <c r="AD267" s="94"/>
      <c r="AE267" s="94"/>
      <c r="AF267" s="94"/>
      <c r="AG267" s="94"/>
      <c r="AH267" s="263"/>
    </row>
    <row r="268" spans="1:34" ht="26.25" customHeight="1">
      <c r="A268" s="45"/>
      <c r="B268" s="121"/>
      <c r="C268" s="2"/>
      <c r="D268" s="2"/>
      <c r="E268" s="94">
        <v>20</v>
      </c>
      <c r="F268" s="74">
        <v>450</v>
      </c>
      <c r="G268" s="45">
        <f t="shared" si="14"/>
        <v>9000</v>
      </c>
      <c r="H268" s="119" t="s">
        <v>37</v>
      </c>
      <c r="I268" s="128">
        <v>45346</v>
      </c>
      <c r="J268" s="74">
        <v>450</v>
      </c>
      <c r="K268" s="74">
        <v>6</v>
      </c>
      <c r="L268" s="156">
        <v>45350</v>
      </c>
      <c r="M268" s="90">
        <v>9000</v>
      </c>
      <c r="N268" s="90">
        <v>100</v>
      </c>
      <c r="O268" s="90"/>
      <c r="P268" s="94" t="s">
        <v>28</v>
      </c>
      <c r="Q268" s="94">
        <v>8500067705</v>
      </c>
      <c r="R268" s="94">
        <v>5000217554</v>
      </c>
      <c r="S268" s="74">
        <v>450</v>
      </c>
      <c r="T268" s="90" t="s">
        <v>655</v>
      </c>
      <c r="U268" s="90">
        <v>8500067704</v>
      </c>
      <c r="V268" s="90">
        <v>5000236181</v>
      </c>
      <c r="W268" s="109">
        <v>45367</v>
      </c>
      <c r="X268" s="106">
        <v>450</v>
      </c>
      <c r="Y268" s="106">
        <v>9000</v>
      </c>
      <c r="Z268" s="106" t="s">
        <v>197</v>
      </c>
      <c r="AA268" s="106">
        <f t="shared" si="15"/>
        <v>0</v>
      </c>
      <c r="AB268" s="106">
        <f t="shared" si="16"/>
        <v>0</v>
      </c>
      <c r="AC268" s="94"/>
      <c r="AD268" s="94"/>
      <c r="AE268" s="94"/>
      <c r="AF268" s="94"/>
      <c r="AG268" s="94"/>
      <c r="AH268" s="263"/>
    </row>
    <row r="269" spans="1:34" ht="26.25" customHeight="1">
      <c r="A269" s="45" t="s">
        <v>868</v>
      </c>
      <c r="B269" s="121">
        <v>6000028689</v>
      </c>
      <c r="C269" s="2" t="s">
        <v>1545</v>
      </c>
      <c r="D269" s="2">
        <v>6000028689</v>
      </c>
      <c r="E269" s="94">
        <v>20</v>
      </c>
      <c r="F269" s="218">
        <v>95</v>
      </c>
      <c r="G269" s="219">
        <f t="shared" si="14"/>
        <v>1900</v>
      </c>
      <c r="H269" s="227" t="s">
        <v>243</v>
      </c>
      <c r="I269" s="133" t="s">
        <v>895</v>
      </c>
      <c r="J269" s="158"/>
      <c r="K269" s="74">
        <v>1</v>
      </c>
      <c r="L269" s="162"/>
      <c r="M269" s="90"/>
      <c r="N269" s="90">
        <v>45</v>
      </c>
      <c r="O269" s="90"/>
      <c r="P269" s="94"/>
      <c r="Q269" s="94"/>
      <c r="R269" s="94"/>
      <c r="S269" s="94"/>
      <c r="T269" s="90" t="s">
        <v>895</v>
      </c>
      <c r="U269" s="90">
        <v>8500067706</v>
      </c>
      <c r="V269" s="90">
        <v>5000290472</v>
      </c>
      <c r="W269" s="105"/>
      <c r="X269" s="106"/>
      <c r="Y269" s="106"/>
      <c r="Z269" s="106"/>
      <c r="AA269" s="106">
        <f t="shared" si="15"/>
        <v>0</v>
      </c>
      <c r="AB269" s="106">
        <f t="shared" si="16"/>
        <v>0</v>
      </c>
      <c r="AC269" s="94"/>
      <c r="AD269" s="94"/>
      <c r="AE269" s="94"/>
      <c r="AF269" s="94"/>
      <c r="AG269" s="94"/>
      <c r="AH269" s="263"/>
    </row>
    <row r="270" spans="1:34" ht="26.25" customHeight="1">
      <c r="A270" s="45"/>
      <c r="B270" s="121"/>
      <c r="C270" s="2"/>
      <c r="D270" s="2"/>
      <c r="E270" s="94">
        <v>20</v>
      </c>
      <c r="F270" s="74">
        <v>100</v>
      </c>
      <c r="G270" s="45">
        <f t="shared" si="14"/>
        <v>2000</v>
      </c>
      <c r="H270" s="119" t="s">
        <v>46</v>
      </c>
      <c r="I270" s="128">
        <v>45346</v>
      </c>
      <c r="J270" s="158">
        <v>100</v>
      </c>
      <c r="K270" s="74">
        <v>2</v>
      </c>
      <c r="L270" s="156">
        <v>45356</v>
      </c>
      <c r="M270" s="90">
        <v>2000</v>
      </c>
      <c r="N270" s="90">
        <v>50</v>
      </c>
      <c r="O270" s="90" t="s">
        <v>897</v>
      </c>
      <c r="P270" s="94" t="s">
        <v>28</v>
      </c>
      <c r="Q270" s="94">
        <v>8500067707</v>
      </c>
      <c r="R270" s="94">
        <v>5000217558</v>
      </c>
      <c r="S270" s="158">
        <v>100</v>
      </c>
      <c r="T270" s="90" t="s">
        <v>655</v>
      </c>
      <c r="U270" s="90">
        <v>8500067706</v>
      </c>
      <c r="V270" s="90">
        <v>5000263840</v>
      </c>
      <c r="W270" s="109">
        <v>45398</v>
      </c>
      <c r="X270" s="106">
        <v>100</v>
      </c>
      <c r="Y270" s="106">
        <v>2000</v>
      </c>
      <c r="Z270" s="106" t="s">
        <v>800</v>
      </c>
      <c r="AA270" s="106">
        <f t="shared" si="15"/>
        <v>0</v>
      </c>
      <c r="AB270" s="106">
        <f t="shared" si="16"/>
        <v>0</v>
      </c>
      <c r="AC270" s="94"/>
      <c r="AD270" s="94"/>
      <c r="AE270" s="94"/>
      <c r="AF270" s="94"/>
      <c r="AG270" s="94"/>
      <c r="AH270" s="263"/>
    </row>
    <row r="271" spans="1:34" ht="26.25" customHeight="1">
      <c r="A271" s="45" t="s">
        <v>1610</v>
      </c>
      <c r="B271" s="121">
        <v>6000028913</v>
      </c>
      <c r="C271" s="2" t="s">
        <v>1752</v>
      </c>
      <c r="D271" s="2" t="s">
        <v>2936</v>
      </c>
      <c r="E271" s="94">
        <v>4</v>
      </c>
      <c r="F271" s="74">
        <v>300</v>
      </c>
      <c r="G271" s="45">
        <f t="shared" si="14"/>
        <v>1200</v>
      </c>
      <c r="H271" s="119" t="s">
        <v>27</v>
      </c>
      <c r="I271" s="128">
        <v>45349</v>
      </c>
      <c r="J271" s="158">
        <v>300</v>
      </c>
      <c r="K271" s="74">
        <v>13</v>
      </c>
      <c r="L271" s="156">
        <v>45349</v>
      </c>
      <c r="M271" s="90">
        <v>1200</v>
      </c>
      <c r="N271" s="90">
        <v>6</v>
      </c>
      <c r="O271" s="90" t="s">
        <v>1344</v>
      </c>
      <c r="P271" s="94" t="s">
        <v>139</v>
      </c>
      <c r="Q271" s="94">
        <v>8500068218</v>
      </c>
      <c r="R271" s="94">
        <v>5000234925</v>
      </c>
      <c r="S271" s="158">
        <v>300</v>
      </c>
      <c r="T271" s="90" t="s">
        <v>152</v>
      </c>
      <c r="U271" s="90">
        <v>8500068217</v>
      </c>
      <c r="V271" s="90">
        <v>5000230640</v>
      </c>
      <c r="W271" s="109">
        <v>45360</v>
      </c>
      <c r="X271" s="106">
        <v>300</v>
      </c>
      <c r="Y271" s="106">
        <v>1200</v>
      </c>
      <c r="Z271" s="106" t="s">
        <v>800</v>
      </c>
      <c r="AA271" s="106">
        <f t="shared" si="15"/>
        <v>0</v>
      </c>
      <c r="AB271" s="106">
        <f t="shared" si="16"/>
        <v>0</v>
      </c>
      <c r="AC271" s="94"/>
      <c r="AD271" s="94"/>
      <c r="AE271" s="94"/>
      <c r="AF271" s="94"/>
      <c r="AG271" s="94"/>
      <c r="AH271" s="263"/>
    </row>
    <row r="272" spans="1:34" ht="26.25" customHeight="1">
      <c r="A272" s="45"/>
      <c r="B272" s="121"/>
      <c r="C272" s="2"/>
      <c r="D272" s="2"/>
      <c r="E272" s="94">
        <v>4</v>
      </c>
      <c r="F272" s="74">
        <v>600</v>
      </c>
      <c r="G272" s="45">
        <f t="shared" si="14"/>
        <v>2400</v>
      </c>
      <c r="H272" s="119" t="s">
        <v>46</v>
      </c>
      <c r="I272" s="128">
        <v>45349</v>
      </c>
      <c r="J272" s="158">
        <v>600</v>
      </c>
      <c r="K272" s="74">
        <v>11</v>
      </c>
      <c r="L272" s="156">
        <v>45349</v>
      </c>
      <c r="M272" s="90">
        <v>2400</v>
      </c>
      <c r="N272" s="90">
        <v>12</v>
      </c>
      <c r="O272" s="90" t="s">
        <v>845</v>
      </c>
      <c r="P272" s="94" t="s">
        <v>139</v>
      </c>
      <c r="Q272" s="94">
        <v>8500068218</v>
      </c>
      <c r="R272" s="94">
        <v>5000234925</v>
      </c>
      <c r="S272" s="158">
        <v>600</v>
      </c>
      <c r="T272" s="90" t="s">
        <v>152</v>
      </c>
      <c r="U272" s="90">
        <v>8500068217</v>
      </c>
      <c r="V272" s="90">
        <v>5000230640</v>
      </c>
      <c r="W272" s="109">
        <v>45356</v>
      </c>
      <c r="X272" s="106">
        <v>600</v>
      </c>
      <c r="Y272" s="106">
        <v>2400</v>
      </c>
      <c r="Z272" s="106" t="s">
        <v>800</v>
      </c>
      <c r="AA272" s="106">
        <f t="shared" si="15"/>
        <v>0</v>
      </c>
      <c r="AB272" s="106">
        <f t="shared" si="16"/>
        <v>0</v>
      </c>
      <c r="AC272" s="94"/>
      <c r="AD272" s="94"/>
      <c r="AE272" s="94"/>
      <c r="AF272" s="94"/>
      <c r="AG272" s="94"/>
      <c r="AH272" s="263"/>
    </row>
    <row r="273" spans="1:34" ht="27" customHeight="1">
      <c r="A273" s="45"/>
      <c r="B273" s="121"/>
      <c r="C273" s="2"/>
      <c r="D273" s="2"/>
      <c r="E273" s="192">
        <v>4</v>
      </c>
      <c r="F273" s="192">
        <v>2100</v>
      </c>
      <c r="G273" s="45">
        <f t="shared" si="14"/>
        <v>8400</v>
      </c>
      <c r="H273" s="119" t="s">
        <v>37</v>
      </c>
      <c r="I273" s="128">
        <v>45348</v>
      </c>
      <c r="J273" s="192">
        <v>2100</v>
      </c>
      <c r="K273" s="74">
        <v>23</v>
      </c>
      <c r="L273" s="156">
        <v>45349</v>
      </c>
      <c r="M273" s="90">
        <v>8400</v>
      </c>
      <c r="N273" s="90">
        <v>42</v>
      </c>
      <c r="O273" s="90" t="s">
        <v>1791</v>
      </c>
      <c r="P273" s="94" t="s">
        <v>160</v>
      </c>
      <c r="Q273" s="94">
        <v>8500068218</v>
      </c>
      <c r="R273" s="94">
        <v>5000225683</v>
      </c>
      <c r="S273" s="192">
        <v>2100</v>
      </c>
      <c r="T273" s="90" t="s">
        <v>152</v>
      </c>
      <c r="U273" s="90">
        <v>8500068217</v>
      </c>
      <c r="V273" s="90">
        <v>5000230640</v>
      </c>
      <c r="W273" s="109" t="s">
        <v>2978</v>
      </c>
      <c r="X273" s="106">
        <f>600+1500</f>
        <v>2100</v>
      </c>
      <c r="Y273" s="106">
        <f>2400+6000</f>
        <v>8400</v>
      </c>
      <c r="Z273" s="106" t="s">
        <v>2979</v>
      </c>
      <c r="AA273" s="106">
        <f t="shared" si="15"/>
        <v>0</v>
      </c>
      <c r="AB273" s="106">
        <f t="shared" si="16"/>
        <v>0</v>
      </c>
      <c r="AC273" s="94"/>
      <c r="AD273" s="94"/>
      <c r="AE273" s="94"/>
      <c r="AF273" s="94"/>
      <c r="AG273" s="94"/>
      <c r="AH273" s="263"/>
    </row>
    <row r="274" spans="1:34" ht="26.25" customHeight="1">
      <c r="A274" s="45"/>
      <c r="B274" s="121"/>
      <c r="C274" s="2"/>
      <c r="D274" s="2"/>
      <c r="E274" s="192">
        <v>4</v>
      </c>
      <c r="F274" s="192">
        <v>2100</v>
      </c>
      <c r="G274" s="45">
        <f t="shared" si="14"/>
        <v>8400</v>
      </c>
      <c r="H274" s="119" t="s">
        <v>146</v>
      </c>
      <c r="I274" s="128">
        <v>45348</v>
      </c>
      <c r="J274" s="192">
        <v>2100</v>
      </c>
      <c r="K274" s="74">
        <v>23</v>
      </c>
      <c r="L274" s="156">
        <v>45349</v>
      </c>
      <c r="M274" s="90">
        <v>8400</v>
      </c>
      <c r="N274" s="90">
        <v>42</v>
      </c>
      <c r="O274" s="90" t="s">
        <v>1784</v>
      </c>
      <c r="P274" s="94" t="s">
        <v>160</v>
      </c>
      <c r="Q274" s="94">
        <v>8500068218</v>
      </c>
      <c r="R274" s="94">
        <v>5000225683</v>
      </c>
      <c r="S274" s="192">
        <v>2100</v>
      </c>
      <c r="T274" s="90" t="s">
        <v>152</v>
      </c>
      <c r="U274" s="90">
        <v>8500068217</v>
      </c>
      <c r="V274" s="90">
        <v>5000230640</v>
      </c>
      <c r="W274" s="109" t="s">
        <v>3107</v>
      </c>
      <c r="X274" s="106">
        <f>600+1500</f>
        <v>2100</v>
      </c>
      <c r="Y274" s="106">
        <f>2400+6000</f>
        <v>8400</v>
      </c>
      <c r="Z274" s="106" t="s">
        <v>3108</v>
      </c>
      <c r="AA274" s="106">
        <f t="shared" si="15"/>
        <v>0</v>
      </c>
      <c r="AB274" s="106">
        <f t="shared" si="16"/>
        <v>0</v>
      </c>
      <c r="AC274" s="94"/>
      <c r="AD274" s="94"/>
      <c r="AE274" s="94"/>
      <c r="AF274" s="94"/>
      <c r="AG274" s="94"/>
      <c r="AH274" s="263"/>
    </row>
    <row r="275" spans="1:34" ht="26.25" customHeight="1">
      <c r="A275" s="45" t="s">
        <v>1610</v>
      </c>
      <c r="B275" s="121">
        <v>6000028914</v>
      </c>
      <c r="C275" s="2" t="s">
        <v>1752</v>
      </c>
      <c r="D275" s="2" t="s">
        <v>2937</v>
      </c>
      <c r="E275" s="192">
        <v>4</v>
      </c>
      <c r="F275" s="192">
        <v>5100</v>
      </c>
      <c r="G275" s="45">
        <f t="shared" si="14"/>
        <v>20400</v>
      </c>
      <c r="H275" s="119" t="s">
        <v>37</v>
      </c>
      <c r="I275" s="128">
        <v>45346</v>
      </c>
      <c r="J275" s="192">
        <v>5100</v>
      </c>
      <c r="K275" s="74">
        <v>53</v>
      </c>
      <c r="L275" s="156">
        <v>45349</v>
      </c>
      <c r="M275" s="90">
        <v>20400</v>
      </c>
      <c r="N275" s="90">
        <v>102</v>
      </c>
      <c r="O275" s="90" t="s">
        <v>1784</v>
      </c>
      <c r="P275" s="94" t="s">
        <v>160</v>
      </c>
      <c r="Q275" s="94">
        <v>8500068206</v>
      </c>
      <c r="R275" s="94">
        <v>5000225595</v>
      </c>
      <c r="S275" s="192">
        <v>5100</v>
      </c>
      <c r="T275" s="90" t="s">
        <v>152</v>
      </c>
      <c r="U275" s="90">
        <v>8500068215</v>
      </c>
      <c r="V275" s="90">
        <v>5000230647</v>
      </c>
      <c r="W275" s="109" t="s">
        <v>2989</v>
      </c>
      <c r="X275" s="106">
        <f>3000+2100</f>
        <v>5100</v>
      </c>
      <c r="Y275" s="106">
        <f>12000+8400</f>
        <v>20400</v>
      </c>
      <c r="Z275" s="106" t="s">
        <v>2781</v>
      </c>
      <c r="AA275" s="106">
        <f t="shared" si="15"/>
        <v>0</v>
      </c>
      <c r="AB275" s="106">
        <f t="shared" si="16"/>
        <v>0</v>
      </c>
      <c r="AC275" s="94"/>
      <c r="AD275" s="94"/>
      <c r="AE275" s="94"/>
      <c r="AF275" s="94"/>
      <c r="AG275" s="94"/>
      <c r="AH275" s="263"/>
    </row>
    <row r="276" spans="1:34" ht="48.75" customHeight="1">
      <c r="A276" s="45" t="s">
        <v>1610</v>
      </c>
      <c r="B276" s="121">
        <v>6000028916</v>
      </c>
      <c r="C276" s="2" t="s">
        <v>1752</v>
      </c>
      <c r="D276" s="192" t="s">
        <v>2938</v>
      </c>
      <c r="E276" s="192">
        <v>4</v>
      </c>
      <c r="F276" s="192">
        <v>5100</v>
      </c>
      <c r="G276" s="45">
        <f>F276*E276</f>
        <v>20400</v>
      </c>
      <c r="H276" s="119" t="s">
        <v>37</v>
      </c>
      <c r="I276" s="128">
        <v>45348</v>
      </c>
      <c r="J276" s="192">
        <f>3348+1752</f>
        <v>5100</v>
      </c>
      <c r="K276" s="74">
        <f>52+13</f>
        <v>65</v>
      </c>
      <c r="L276" s="156">
        <v>45349</v>
      </c>
      <c r="M276" s="90">
        <v>20400</v>
      </c>
      <c r="N276" s="90">
        <v>102</v>
      </c>
      <c r="O276" s="90" t="s">
        <v>2955</v>
      </c>
      <c r="P276" s="94" t="s">
        <v>160</v>
      </c>
      <c r="Q276" s="94">
        <v>8500068210</v>
      </c>
      <c r="R276" s="53" t="s">
        <v>2949</v>
      </c>
      <c r="S276" s="192">
        <f>3348+1752</f>
        <v>5100</v>
      </c>
      <c r="T276" s="90" t="s">
        <v>152</v>
      </c>
      <c r="U276" s="90">
        <v>8500068209</v>
      </c>
      <c r="V276" s="90">
        <v>5000230642</v>
      </c>
      <c r="W276" s="109" t="s">
        <v>3112</v>
      </c>
      <c r="X276" s="106">
        <f>3000+300+1800</f>
        <v>5100</v>
      </c>
      <c r="Y276" s="106">
        <f>12000+1200+7200</f>
        <v>20400</v>
      </c>
      <c r="Z276" s="106" t="s">
        <v>3113</v>
      </c>
      <c r="AA276" s="106">
        <f t="shared" si="15"/>
        <v>0</v>
      </c>
      <c r="AB276" s="106">
        <f t="shared" si="16"/>
        <v>0</v>
      </c>
      <c r="AC276" s="94"/>
      <c r="AD276" s="94"/>
      <c r="AE276" s="94"/>
      <c r="AF276" s="94"/>
      <c r="AG276" s="94"/>
      <c r="AH276" s="263"/>
    </row>
    <row r="277" spans="1:34" ht="26.25" customHeight="1">
      <c r="A277" s="45" t="s">
        <v>1610</v>
      </c>
      <c r="B277" s="121">
        <v>6000028917</v>
      </c>
      <c r="C277" s="2" t="s">
        <v>1752</v>
      </c>
      <c r="D277" s="2" t="s">
        <v>2939</v>
      </c>
      <c r="E277" s="192">
        <v>4</v>
      </c>
      <c r="F277" s="192">
        <v>4850</v>
      </c>
      <c r="G277" s="45">
        <f>F277*E277</f>
        <v>19400</v>
      </c>
      <c r="H277" s="119" t="s">
        <v>146</v>
      </c>
      <c r="I277" s="128">
        <v>45348</v>
      </c>
      <c r="J277" s="192">
        <v>4850</v>
      </c>
      <c r="K277" s="74">
        <v>50</v>
      </c>
      <c r="L277" s="156">
        <v>45351</v>
      </c>
      <c r="M277" s="90">
        <v>19400</v>
      </c>
      <c r="N277" s="90" t="s">
        <v>3208</v>
      </c>
      <c r="O277" s="90"/>
      <c r="P277" s="94" t="s">
        <v>160</v>
      </c>
      <c r="Q277" s="94">
        <v>8500068214</v>
      </c>
      <c r="R277" s="94">
        <v>5000230099</v>
      </c>
      <c r="S277" s="192">
        <v>4850</v>
      </c>
      <c r="T277" s="90" t="s">
        <v>152</v>
      </c>
      <c r="U277" s="90">
        <v>8500068213</v>
      </c>
      <c r="V277" s="90">
        <v>5000240989</v>
      </c>
      <c r="W277" s="109" t="s">
        <v>3132</v>
      </c>
      <c r="X277" s="106">
        <f>2000 +2850</f>
        <v>4850</v>
      </c>
      <c r="Y277" s="106">
        <f>8000+11400</f>
        <v>19400</v>
      </c>
      <c r="Z277" s="106" t="s">
        <v>3133</v>
      </c>
      <c r="AA277" s="106">
        <f t="shared" si="15"/>
        <v>0</v>
      </c>
      <c r="AB277" s="106">
        <f t="shared" si="16"/>
        <v>0</v>
      </c>
      <c r="AC277" s="94"/>
      <c r="AD277" s="94"/>
      <c r="AE277" s="94"/>
      <c r="AF277" s="94"/>
      <c r="AG277" s="94"/>
      <c r="AH277" s="263"/>
    </row>
    <row r="278" spans="1:34" ht="61.5" customHeight="1">
      <c r="A278" s="45" t="s">
        <v>1610</v>
      </c>
      <c r="B278" s="121">
        <v>6000028919</v>
      </c>
      <c r="C278" s="2" t="s">
        <v>1752</v>
      </c>
      <c r="D278" s="2" t="s">
        <v>2940</v>
      </c>
      <c r="E278" s="192">
        <v>4</v>
      </c>
      <c r="F278" s="192">
        <v>5100</v>
      </c>
      <c r="G278" s="45">
        <f>F278*E278</f>
        <v>20400</v>
      </c>
      <c r="H278" s="119" t="s">
        <v>37</v>
      </c>
      <c r="I278" s="128">
        <v>45346</v>
      </c>
      <c r="J278" s="192">
        <v>5100</v>
      </c>
      <c r="K278" s="74">
        <v>53</v>
      </c>
      <c r="L278" s="156">
        <v>45350</v>
      </c>
      <c r="M278" s="90">
        <v>20400</v>
      </c>
      <c r="N278" s="90">
        <v>102</v>
      </c>
      <c r="O278" s="90" t="s">
        <v>2896</v>
      </c>
      <c r="P278" s="94" t="s">
        <v>160</v>
      </c>
      <c r="Q278" s="94">
        <v>8500068216</v>
      </c>
      <c r="R278" s="94">
        <v>5000225598</v>
      </c>
      <c r="S278" s="192">
        <v>5100</v>
      </c>
      <c r="T278" s="90" t="s">
        <v>152</v>
      </c>
      <c r="U278" s="90">
        <v>8500068205</v>
      </c>
      <c r="V278" s="90">
        <v>5000235590</v>
      </c>
      <c r="W278" s="109" t="s">
        <v>3171</v>
      </c>
      <c r="X278" s="106">
        <f>1000+2000+2100</f>
        <v>5100</v>
      </c>
      <c r="Y278" s="106">
        <f>4000+8000+8400</f>
        <v>20400</v>
      </c>
      <c r="Z278" s="106" t="s">
        <v>3172</v>
      </c>
      <c r="AA278" s="106">
        <f t="shared" si="15"/>
        <v>0</v>
      </c>
      <c r="AB278" s="106">
        <f>M278-Y278</f>
        <v>0</v>
      </c>
      <c r="AC278" s="94"/>
      <c r="AD278" s="94"/>
      <c r="AE278" s="94"/>
      <c r="AF278" s="94"/>
      <c r="AG278" s="94"/>
      <c r="AH278" s="263"/>
    </row>
    <row r="279" spans="1:34" ht="26.25" customHeight="1">
      <c r="A279" s="45" t="s">
        <v>1610</v>
      </c>
      <c r="B279" s="121">
        <v>6000028920</v>
      </c>
      <c r="C279" s="2" t="s">
        <v>1752</v>
      </c>
      <c r="D279" s="2" t="s">
        <v>2941</v>
      </c>
      <c r="E279" s="192">
        <v>4</v>
      </c>
      <c r="F279" s="192">
        <v>4850</v>
      </c>
      <c r="G279" s="45">
        <f>F279*E279</f>
        <v>19400</v>
      </c>
      <c r="H279" s="119" t="s">
        <v>146</v>
      </c>
      <c r="I279" s="128">
        <v>45348</v>
      </c>
      <c r="J279" s="192">
        <f>3950+900</f>
        <v>4850</v>
      </c>
      <c r="K279" s="74">
        <f>50+15</f>
        <v>65</v>
      </c>
      <c r="L279" s="156">
        <v>45351</v>
      </c>
      <c r="M279" s="90">
        <v>19400</v>
      </c>
      <c r="N279" s="90">
        <v>97</v>
      </c>
      <c r="O279" s="90"/>
      <c r="P279" s="94" t="s">
        <v>160</v>
      </c>
      <c r="Q279" s="94">
        <v>8500068208</v>
      </c>
      <c r="R279" s="94">
        <v>5000225685</v>
      </c>
      <c r="S279" s="192">
        <f>3950+900</f>
        <v>4850</v>
      </c>
      <c r="T279" s="90" t="s">
        <v>152</v>
      </c>
      <c r="U279" s="90">
        <v>8500068207</v>
      </c>
      <c r="V279" s="90">
        <v>5000241004</v>
      </c>
      <c r="W279" s="109" t="s">
        <v>3173</v>
      </c>
      <c r="X279" s="106">
        <f>315+2000+2535</f>
        <v>4850</v>
      </c>
      <c r="Y279" s="106">
        <f>1260+8000+10140</f>
        <v>19400</v>
      </c>
      <c r="Z279" s="106" t="s">
        <v>3174</v>
      </c>
      <c r="AA279" s="106">
        <f t="shared" si="15"/>
        <v>0</v>
      </c>
      <c r="AB279" s="106">
        <f t="shared" si="16"/>
        <v>0</v>
      </c>
      <c r="AC279" s="94"/>
      <c r="AD279" s="94"/>
      <c r="AE279" s="94"/>
      <c r="AF279" s="94"/>
      <c r="AG279" s="94"/>
      <c r="AH279" s="263"/>
    </row>
    <row r="280" spans="1:34" ht="26.25" customHeight="1">
      <c r="A280" s="45" t="s">
        <v>1610</v>
      </c>
      <c r="B280" s="121">
        <v>6000028921</v>
      </c>
      <c r="C280" s="2" t="s">
        <v>1752</v>
      </c>
      <c r="D280" s="2" t="s">
        <v>2942</v>
      </c>
      <c r="E280" s="192">
        <v>4</v>
      </c>
      <c r="F280" s="192">
        <v>4850</v>
      </c>
      <c r="G280" s="45">
        <f t="shared" ref="G280:G305" si="17">F280*E280</f>
        <v>19400</v>
      </c>
      <c r="H280" s="119" t="s">
        <v>146</v>
      </c>
      <c r="I280" s="128">
        <v>45349</v>
      </c>
      <c r="J280" s="333">
        <v>4850</v>
      </c>
      <c r="K280" s="74">
        <v>50</v>
      </c>
      <c r="L280" s="156">
        <v>45351</v>
      </c>
      <c r="M280" s="90">
        <v>19400</v>
      </c>
      <c r="N280" s="90">
        <v>97</v>
      </c>
      <c r="O280" s="90"/>
      <c r="P280" s="94" t="s">
        <v>160</v>
      </c>
      <c r="Q280" s="94">
        <v>8500068212</v>
      </c>
      <c r="R280" s="94">
        <v>5000235006</v>
      </c>
      <c r="S280" s="333">
        <v>4850</v>
      </c>
      <c r="T280" s="90" t="s">
        <v>152</v>
      </c>
      <c r="U280" s="90">
        <v>8500068211</v>
      </c>
      <c r="V280" s="90">
        <v>5000240985</v>
      </c>
      <c r="W280" s="109">
        <v>45374</v>
      </c>
      <c r="X280" s="106">
        <v>4850</v>
      </c>
      <c r="Y280" s="106">
        <v>19400</v>
      </c>
      <c r="Z280" s="106" t="s">
        <v>3187</v>
      </c>
      <c r="AA280" s="106">
        <f t="shared" si="15"/>
        <v>0</v>
      </c>
      <c r="AB280" s="106">
        <f t="shared" si="16"/>
        <v>0</v>
      </c>
      <c r="AC280" s="94"/>
      <c r="AD280" s="94"/>
      <c r="AE280" s="94"/>
      <c r="AF280" s="94"/>
      <c r="AG280" s="94"/>
      <c r="AH280" s="263"/>
    </row>
    <row r="281" spans="1:34" ht="26.25" customHeight="1">
      <c r="A281" s="45" t="s">
        <v>652</v>
      </c>
      <c r="B281" s="121">
        <v>6000028450</v>
      </c>
      <c r="C281" s="2" t="s">
        <v>2060</v>
      </c>
      <c r="D281" s="2">
        <v>2442618</v>
      </c>
      <c r="E281" s="192">
        <v>10</v>
      </c>
      <c r="F281" s="192">
        <v>200</v>
      </c>
      <c r="G281" s="45">
        <f t="shared" si="17"/>
        <v>2000</v>
      </c>
      <c r="H281" s="119" t="s">
        <v>27</v>
      </c>
      <c r="I281" s="128">
        <v>45350</v>
      </c>
      <c r="J281" s="158">
        <v>200</v>
      </c>
      <c r="K281" s="74">
        <f>4+1</f>
        <v>5</v>
      </c>
      <c r="L281" s="156">
        <v>45348</v>
      </c>
      <c r="M281" s="90">
        <v>2000</v>
      </c>
      <c r="N281" s="90">
        <v>50</v>
      </c>
      <c r="O281" s="90" t="s">
        <v>788</v>
      </c>
      <c r="P281" s="94" t="s">
        <v>160</v>
      </c>
      <c r="Q281" s="94">
        <v>8500067301</v>
      </c>
      <c r="R281" s="94">
        <v>5000236453</v>
      </c>
      <c r="S281" s="158">
        <v>200</v>
      </c>
      <c r="T281" s="90" t="s">
        <v>655</v>
      </c>
      <c r="U281" s="90">
        <v>8500067300</v>
      </c>
      <c r="V281" s="90">
        <v>5000226944</v>
      </c>
      <c r="W281" s="109">
        <v>45360</v>
      </c>
      <c r="X281" s="106">
        <v>200</v>
      </c>
      <c r="Y281" s="106">
        <v>2000</v>
      </c>
      <c r="Z281" s="106" t="s">
        <v>825</v>
      </c>
      <c r="AA281" s="106">
        <f t="shared" si="15"/>
        <v>0</v>
      </c>
      <c r="AB281" s="106">
        <f t="shared" si="16"/>
        <v>0</v>
      </c>
      <c r="AC281" s="94"/>
      <c r="AD281" s="94"/>
      <c r="AE281" s="94"/>
      <c r="AF281" s="94"/>
      <c r="AG281" s="94"/>
      <c r="AH281" s="263"/>
    </row>
    <row r="282" spans="1:34" ht="26.25" customHeight="1">
      <c r="A282" s="45"/>
      <c r="B282" s="121"/>
      <c r="C282" s="2"/>
      <c r="D282" s="2"/>
      <c r="E282" s="192">
        <v>10</v>
      </c>
      <c r="F282" s="192">
        <v>1550</v>
      </c>
      <c r="G282" s="45">
        <f t="shared" si="17"/>
        <v>15500</v>
      </c>
      <c r="H282" s="119" t="s">
        <v>146</v>
      </c>
      <c r="I282" s="128" t="s">
        <v>2967</v>
      </c>
      <c r="J282" s="291">
        <f>702+848</f>
        <v>1550</v>
      </c>
      <c r="K282" s="74">
        <f>18+2</f>
        <v>20</v>
      </c>
      <c r="L282" s="156">
        <v>45348</v>
      </c>
      <c r="M282" s="90">
        <v>15500</v>
      </c>
      <c r="N282" s="90">
        <v>100</v>
      </c>
      <c r="O282" s="90" t="s">
        <v>862</v>
      </c>
      <c r="P282" s="94" t="s">
        <v>160</v>
      </c>
      <c r="Q282" s="94">
        <v>8500067301</v>
      </c>
      <c r="R282" s="94">
        <v>5000234946</v>
      </c>
      <c r="S282" s="291">
        <f>702+848</f>
        <v>1550</v>
      </c>
      <c r="T282" s="90" t="s">
        <v>655</v>
      </c>
      <c r="U282" s="90">
        <v>8500067300</v>
      </c>
      <c r="V282" s="90">
        <v>5000226944</v>
      </c>
      <c r="W282" s="109">
        <v>45355</v>
      </c>
      <c r="X282" s="106">
        <v>1550</v>
      </c>
      <c r="Y282" s="106">
        <v>15500</v>
      </c>
      <c r="Z282" s="106" t="s">
        <v>798</v>
      </c>
      <c r="AA282" s="106">
        <f t="shared" si="15"/>
        <v>0</v>
      </c>
      <c r="AB282" s="106">
        <f t="shared" si="16"/>
        <v>0</v>
      </c>
      <c r="AC282" s="94"/>
      <c r="AD282" s="94"/>
      <c r="AE282" s="94"/>
      <c r="AF282" s="94"/>
      <c r="AG282" s="94"/>
      <c r="AH282" s="263"/>
    </row>
    <row r="283" spans="1:34" ht="26.25" customHeight="1">
      <c r="A283" s="45" t="s">
        <v>652</v>
      </c>
      <c r="B283" s="121">
        <v>6000028450</v>
      </c>
      <c r="C283" s="2" t="s">
        <v>1354</v>
      </c>
      <c r="D283" s="2">
        <v>2442618</v>
      </c>
      <c r="E283" s="192">
        <v>10</v>
      </c>
      <c r="F283" s="245">
        <v>200</v>
      </c>
      <c r="G283" s="219">
        <f t="shared" si="17"/>
        <v>2000</v>
      </c>
      <c r="H283" s="227" t="s">
        <v>243</v>
      </c>
      <c r="I283" s="128"/>
      <c r="J283" s="291"/>
      <c r="K283" s="74"/>
      <c r="L283" s="156"/>
      <c r="M283" s="90"/>
      <c r="N283" s="90"/>
      <c r="O283" s="90"/>
      <c r="P283" s="94" t="s">
        <v>895</v>
      </c>
      <c r="Q283" s="94">
        <v>8500067303</v>
      </c>
      <c r="R283" s="94">
        <v>5000276667</v>
      </c>
      <c r="S283" s="291"/>
      <c r="T283" s="90" t="s">
        <v>895</v>
      </c>
      <c r="U283" s="90">
        <v>8500067302</v>
      </c>
      <c r="V283" s="90">
        <v>5000226945</v>
      </c>
      <c r="W283" s="105"/>
      <c r="X283" s="106"/>
      <c r="Y283" s="106"/>
      <c r="Z283" s="106"/>
      <c r="AA283" s="106">
        <f t="shared" si="15"/>
        <v>0</v>
      </c>
      <c r="AB283" s="106">
        <f t="shared" si="16"/>
        <v>0</v>
      </c>
      <c r="AC283" s="94"/>
      <c r="AD283" s="94"/>
      <c r="AE283" s="94"/>
      <c r="AF283" s="94"/>
      <c r="AG283" s="94"/>
      <c r="AH283" s="263"/>
    </row>
    <row r="284" spans="1:34" ht="26.25" customHeight="1">
      <c r="A284" s="45"/>
      <c r="B284" s="121"/>
      <c r="C284" s="2"/>
      <c r="D284" s="2"/>
      <c r="E284" s="192">
        <v>10</v>
      </c>
      <c r="F284" s="192">
        <v>1200</v>
      </c>
      <c r="G284" s="45">
        <f t="shared" si="17"/>
        <v>12000</v>
      </c>
      <c r="H284" s="119" t="s">
        <v>27</v>
      </c>
      <c r="I284" s="128">
        <v>45353</v>
      </c>
      <c r="J284" s="291">
        <v>1200</v>
      </c>
      <c r="K284" s="74">
        <v>15</v>
      </c>
      <c r="L284" s="156">
        <v>45348</v>
      </c>
      <c r="M284" s="90">
        <v>12000</v>
      </c>
      <c r="N284" s="90">
        <f>100+10</f>
        <v>110</v>
      </c>
      <c r="O284" s="90" t="s">
        <v>797</v>
      </c>
      <c r="P284" s="94" t="s">
        <v>160</v>
      </c>
      <c r="Q284" s="94">
        <v>8500067303</v>
      </c>
      <c r="R284" s="94">
        <v>5000250524</v>
      </c>
      <c r="S284" s="291">
        <v>1200</v>
      </c>
      <c r="T284" s="90" t="s">
        <v>655</v>
      </c>
      <c r="U284" s="90">
        <v>8500067302</v>
      </c>
      <c r="V284" s="90">
        <v>5000226945</v>
      </c>
      <c r="W284" s="109">
        <v>45356</v>
      </c>
      <c r="X284" s="106">
        <v>1200</v>
      </c>
      <c r="Y284" s="106">
        <v>12000</v>
      </c>
      <c r="Z284" s="106" t="s">
        <v>1502</v>
      </c>
      <c r="AA284" s="106">
        <f t="shared" si="15"/>
        <v>0</v>
      </c>
      <c r="AB284" s="106">
        <f t="shared" si="16"/>
        <v>0</v>
      </c>
      <c r="AC284" s="94"/>
      <c r="AD284" s="94"/>
      <c r="AE284" s="94"/>
      <c r="AF284" s="94"/>
      <c r="AG284" s="94"/>
      <c r="AH284" s="263"/>
    </row>
    <row r="285" spans="1:34" ht="26.25" customHeight="1">
      <c r="A285" s="45" t="s">
        <v>652</v>
      </c>
      <c r="B285" s="121">
        <v>6000028451</v>
      </c>
      <c r="C285" s="2" t="s">
        <v>2060</v>
      </c>
      <c r="D285" s="2">
        <v>2442619</v>
      </c>
      <c r="E285" s="192">
        <v>10</v>
      </c>
      <c r="F285" s="74">
        <v>600</v>
      </c>
      <c r="G285" s="45">
        <f t="shared" si="17"/>
        <v>6000</v>
      </c>
      <c r="H285" s="119" t="s">
        <v>27</v>
      </c>
      <c r="I285" s="128">
        <v>45362</v>
      </c>
      <c r="J285" s="74">
        <v>600</v>
      </c>
      <c r="K285" s="74">
        <f>8+12</f>
        <v>20</v>
      </c>
      <c r="L285" s="156">
        <v>45350</v>
      </c>
      <c r="M285" s="90">
        <v>6000</v>
      </c>
      <c r="N285" s="90">
        <v>100</v>
      </c>
      <c r="O285" s="90" t="s">
        <v>917</v>
      </c>
      <c r="P285" s="94" t="s">
        <v>160</v>
      </c>
      <c r="Q285" s="94">
        <v>8500067194</v>
      </c>
      <c r="R285" s="94">
        <v>5000291732</v>
      </c>
      <c r="S285" s="74">
        <v>600</v>
      </c>
      <c r="T285" s="90" t="s">
        <v>655</v>
      </c>
      <c r="U285" s="90">
        <v>8500067191</v>
      </c>
      <c r="V285" s="90">
        <v>5000236143</v>
      </c>
      <c r="W285" s="109">
        <v>45362</v>
      </c>
      <c r="X285" s="106">
        <v>600</v>
      </c>
      <c r="Y285" s="106">
        <v>6000</v>
      </c>
      <c r="Z285" s="106" t="s">
        <v>825</v>
      </c>
      <c r="AA285" s="106">
        <f t="shared" si="15"/>
        <v>0</v>
      </c>
      <c r="AB285" s="106">
        <f t="shared" si="16"/>
        <v>0</v>
      </c>
      <c r="AC285" s="94"/>
      <c r="AD285" s="94"/>
      <c r="AE285" s="94"/>
      <c r="AF285" s="94"/>
      <c r="AG285" s="94"/>
      <c r="AH285" s="263"/>
    </row>
    <row r="286" spans="1:34" ht="26.25" customHeight="1">
      <c r="A286" s="332"/>
      <c r="B286" s="193"/>
      <c r="C286" s="2"/>
      <c r="D286" s="2"/>
      <c r="E286" s="192">
        <v>10</v>
      </c>
      <c r="F286" s="74">
        <v>250</v>
      </c>
      <c r="G286" s="45">
        <f t="shared" si="17"/>
        <v>2500</v>
      </c>
      <c r="H286" s="119" t="s">
        <v>146</v>
      </c>
      <c r="I286" s="128">
        <v>45350</v>
      </c>
      <c r="J286" s="74">
        <v>250</v>
      </c>
      <c r="K286" s="74">
        <f>5+5</f>
        <v>10</v>
      </c>
      <c r="L286" s="156">
        <v>45350</v>
      </c>
      <c r="M286" s="90">
        <v>2500</v>
      </c>
      <c r="N286" s="90">
        <v>50</v>
      </c>
      <c r="O286" s="90" t="s">
        <v>1761</v>
      </c>
      <c r="P286" s="94" t="s">
        <v>160</v>
      </c>
      <c r="Q286" s="94">
        <v>8500067194</v>
      </c>
      <c r="R286" s="94">
        <v>5000236452</v>
      </c>
      <c r="S286" s="74">
        <v>250</v>
      </c>
      <c r="T286" s="90" t="s">
        <v>655</v>
      </c>
      <c r="U286" s="90">
        <v>8500067191</v>
      </c>
      <c r="V286" s="90">
        <v>5000236143</v>
      </c>
      <c r="W286" s="109">
        <v>45356</v>
      </c>
      <c r="X286" s="106">
        <v>250</v>
      </c>
      <c r="Y286" s="106">
        <v>2500</v>
      </c>
      <c r="Z286" s="106" t="s">
        <v>800</v>
      </c>
      <c r="AA286" s="106">
        <f t="shared" si="15"/>
        <v>0</v>
      </c>
      <c r="AB286" s="106">
        <f t="shared" si="16"/>
        <v>0</v>
      </c>
      <c r="AC286" s="94"/>
      <c r="AD286" s="94"/>
      <c r="AE286" s="94"/>
      <c r="AF286" s="94"/>
      <c r="AG286" s="94"/>
      <c r="AH286" s="263"/>
    </row>
    <row r="287" spans="1:34" ht="26.25" customHeight="1">
      <c r="A287" s="45" t="s">
        <v>652</v>
      </c>
      <c r="B287" s="121">
        <v>6000028451</v>
      </c>
      <c r="C287" s="2" t="s">
        <v>2119</v>
      </c>
      <c r="D287" s="2">
        <v>2442619</v>
      </c>
      <c r="E287" s="192">
        <v>10</v>
      </c>
      <c r="F287" s="74">
        <v>500</v>
      </c>
      <c r="G287" s="45">
        <f t="shared" si="17"/>
        <v>5000</v>
      </c>
      <c r="H287" s="119" t="s">
        <v>27</v>
      </c>
      <c r="I287" s="128">
        <v>45351</v>
      </c>
      <c r="J287" s="74">
        <v>500</v>
      </c>
      <c r="K287" s="74">
        <v>6</v>
      </c>
      <c r="L287" s="156">
        <v>45350</v>
      </c>
      <c r="M287" s="90">
        <v>5000</v>
      </c>
      <c r="N287" s="90">
        <v>50</v>
      </c>
      <c r="O287" s="90" t="s">
        <v>916</v>
      </c>
      <c r="P287" s="94" t="s">
        <v>28</v>
      </c>
      <c r="Q287" s="94">
        <v>8500067200</v>
      </c>
      <c r="R287" s="94">
        <v>5000240000</v>
      </c>
      <c r="S287" s="74">
        <v>500</v>
      </c>
      <c r="T287" s="90" t="s">
        <v>655</v>
      </c>
      <c r="U287" s="90">
        <v>8500067197</v>
      </c>
      <c r="V287" s="90"/>
      <c r="W287" s="109">
        <v>45381</v>
      </c>
      <c r="X287" s="106">
        <v>500</v>
      </c>
      <c r="Y287" s="106">
        <v>5000</v>
      </c>
      <c r="Z287" s="106" t="s">
        <v>3227</v>
      </c>
      <c r="AA287" s="106">
        <f t="shared" si="15"/>
        <v>0</v>
      </c>
      <c r="AB287" s="106">
        <f t="shared" si="16"/>
        <v>0</v>
      </c>
      <c r="AC287" s="94"/>
      <c r="AD287" s="94"/>
      <c r="AE287" s="94"/>
      <c r="AF287" s="94"/>
      <c r="AG287" s="94"/>
      <c r="AH287" s="263"/>
    </row>
    <row r="288" spans="1:34" ht="26.25" customHeight="1">
      <c r="A288" s="45"/>
      <c r="B288" s="224"/>
      <c r="C288" s="2"/>
      <c r="D288" s="2"/>
      <c r="E288" s="192">
        <v>10</v>
      </c>
      <c r="F288" s="74">
        <v>600</v>
      </c>
      <c r="G288" s="45">
        <f t="shared" si="17"/>
        <v>6000</v>
      </c>
      <c r="H288" s="119" t="s">
        <v>46</v>
      </c>
      <c r="I288" s="128">
        <v>45351</v>
      </c>
      <c r="J288" s="74">
        <v>600</v>
      </c>
      <c r="K288" s="74">
        <v>7</v>
      </c>
      <c r="L288" s="156">
        <v>45350</v>
      </c>
      <c r="M288" s="90">
        <v>6000</v>
      </c>
      <c r="N288" s="90">
        <v>100</v>
      </c>
      <c r="O288" s="90" t="s">
        <v>2969</v>
      </c>
      <c r="P288" s="94" t="s">
        <v>28</v>
      </c>
      <c r="Q288" s="94">
        <v>8500067200</v>
      </c>
      <c r="R288" s="94">
        <v>5000241498</v>
      </c>
      <c r="S288" s="74">
        <v>600</v>
      </c>
      <c r="T288" s="90" t="s">
        <v>655</v>
      </c>
      <c r="U288" s="90">
        <v>8500067197</v>
      </c>
      <c r="V288" s="90"/>
      <c r="W288" s="109">
        <v>45381</v>
      </c>
      <c r="X288" s="106">
        <v>600</v>
      </c>
      <c r="Y288" s="106">
        <v>6000</v>
      </c>
      <c r="Z288" s="106" t="s">
        <v>1460</v>
      </c>
      <c r="AA288" s="106">
        <f t="shared" si="15"/>
        <v>0</v>
      </c>
      <c r="AB288" s="106">
        <f t="shared" si="16"/>
        <v>0</v>
      </c>
      <c r="AC288" s="94"/>
      <c r="AD288" s="94"/>
      <c r="AE288" s="94"/>
      <c r="AF288" s="94"/>
      <c r="AG288" s="94"/>
      <c r="AH288" s="263"/>
    </row>
    <row r="289" spans="1:34" ht="26.25" customHeight="1">
      <c r="A289" s="45"/>
      <c r="B289" s="224"/>
      <c r="C289" s="2"/>
      <c r="D289" s="2"/>
      <c r="E289" s="192">
        <v>10</v>
      </c>
      <c r="F289" s="74">
        <v>1000</v>
      </c>
      <c r="G289" s="45">
        <f t="shared" si="17"/>
        <v>10000</v>
      </c>
      <c r="H289" s="119" t="s">
        <v>37</v>
      </c>
      <c r="I289" s="128">
        <v>45351</v>
      </c>
      <c r="J289" s="74">
        <v>1000</v>
      </c>
      <c r="K289" s="74">
        <v>13</v>
      </c>
      <c r="L289" s="156">
        <v>45350</v>
      </c>
      <c r="M289" s="90">
        <v>10000</v>
      </c>
      <c r="N289" s="90">
        <v>100</v>
      </c>
      <c r="O289" s="90"/>
      <c r="P289" s="94" t="s">
        <v>28</v>
      </c>
      <c r="Q289" s="94">
        <v>8500067200</v>
      </c>
      <c r="R289" s="94">
        <v>5000240000</v>
      </c>
      <c r="S289" s="74">
        <v>1000</v>
      </c>
      <c r="T289" s="90" t="s">
        <v>655</v>
      </c>
      <c r="U289" s="90">
        <v>8500067197</v>
      </c>
      <c r="V289" s="90"/>
      <c r="W289" s="109">
        <v>45366</v>
      </c>
      <c r="X289" s="106">
        <v>1000</v>
      </c>
      <c r="Y289" s="106">
        <v>10000</v>
      </c>
      <c r="Z289" s="106" t="s">
        <v>870</v>
      </c>
      <c r="AA289" s="106">
        <f t="shared" si="15"/>
        <v>0</v>
      </c>
      <c r="AB289" s="106">
        <f t="shared" si="16"/>
        <v>0</v>
      </c>
      <c r="AC289" s="94"/>
      <c r="AD289" s="94"/>
      <c r="AE289" s="94"/>
      <c r="AF289" s="94"/>
      <c r="AG289" s="94"/>
      <c r="AH289" s="263"/>
    </row>
    <row r="290" spans="1:34" ht="26.25" customHeight="1">
      <c r="A290" s="45"/>
      <c r="B290" s="224"/>
      <c r="C290" s="2"/>
      <c r="D290" s="2"/>
      <c r="E290" s="192">
        <v>10</v>
      </c>
      <c r="F290" s="74">
        <v>500</v>
      </c>
      <c r="G290" s="45">
        <f t="shared" si="17"/>
        <v>5000</v>
      </c>
      <c r="H290" s="119" t="s">
        <v>146</v>
      </c>
      <c r="I290" s="128">
        <v>45351</v>
      </c>
      <c r="J290" s="74">
        <v>500</v>
      </c>
      <c r="K290" s="74">
        <v>5</v>
      </c>
      <c r="L290" s="156">
        <v>45350</v>
      </c>
      <c r="M290" s="90">
        <v>5000</v>
      </c>
      <c r="N290" s="90">
        <v>50</v>
      </c>
      <c r="O290" s="90" t="s">
        <v>1658</v>
      </c>
      <c r="P290" s="94" t="s">
        <v>28</v>
      </c>
      <c r="Q290" s="94">
        <v>8500067200</v>
      </c>
      <c r="R290" s="94">
        <v>5000240000</v>
      </c>
      <c r="S290" s="74">
        <v>500</v>
      </c>
      <c r="T290" s="90" t="s">
        <v>655</v>
      </c>
      <c r="U290" s="90">
        <v>8500067197</v>
      </c>
      <c r="V290" s="90"/>
      <c r="W290" s="109">
        <v>45366</v>
      </c>
      <c r="X290" s="106">
        <v>500</v>
      </c>
      <c r="Y290" s="106">
        <v>5000</v>
      </c>
      <c r="Z290" s="106" t="s">
        <v>1609</v>
      </c>
      <c r="AA290" s="106">
        <f t="shared" si="15"/>
        <v>0</v>
      </c>
      <c r="AB290" s="106">
        <f t="shared" si="16"/>
        <v>0</v>
      </c>
      <c r="AC290" s="94"/>
      <c r="AD290" s="94"/>
      <c r="AE290" s="94"/>
      <c r="AF290" s="94"/>
      <c r="AG290" s="94"/>
      <c r="AH290" s="263"/>
    </row>
    <row r="291" spans="1:34" ht="26.25" customHeight="1">
      <c r="A291" s="125" t="s">
        <v>525</v>
      </c>
      <c r="B291" s="121">
        <v>6000028613</v>
      </c>
      <c r="C291" s="2" t="s">
        <v>2950</v>
      </c>
      <c r="D291" s="2">
        <v>6000028613</v>
      </c>
      <c r="E291" s="94">
        <v>8</v>
      </c>
      <c r="F291" s="74">
        <v>250</v>
      </c>
      <c r="G291" s="45">
        <f t="shared" si="17"/>
        <v>2000</v>
      </c>
      <c r="H291" s="119" t="s">
        <v>27</v>
      </c>
      <c r="I291" s="128">
        <v>45348</v>
      </c>
      <c r="J291" s="158">
        <v>250</v>
      </c>
      <c r="K291" s="74">
        <v>8</v>
      </c>
      <c r="L291" s="156" t="s">
        <v>3010</v>
      </c>
      <c r="M291" s="90">
        <f>1900+100</f>
        <v>2000</v>
      </c>
      <c r="N291" s="90">
        <v>20</v>
      </c>
      <c r="O291" s="90" t="s">
        <v>3011</v>
      </c>
      <c r="P291" s="74" t="s">
        <v>139</v>
      </c>
      <c r="Q291" s="94">
        <v>8500067759</v>
      </c>
      <c r="R291" s="94">
        <v>5000230125</v>
      </c>
      <c r="S291" s="158">
        <v>250</v>
      </c>
      <c r="T291" s="90" t="s">
        <v>1558</v>
      </c>
      <c r="U291" s="90">
        <v>8500067758</v>
      </c>
      <c r="V291" s="90">
        <v>5000250525</v>
      </c>
      <c r="W291" s="109">
        <v>45374</v>
      </c>
      <c r="X291" s="106">
        <v>250</v>
      </c>
      <c r="Y291" s="106">
        <v>2000</v>
      </c>
      <c r="Z291" s="106" t="s">
        <v>800</v>
      </c>
      <c r="AA291" s="106">
        <f t="shared" si="15"/>
        <v>0</v>
      </c>
      <c r="AB291" s="106">
        <f t="shared" si="16"/>
        <v>0</v>
      </c>
      <c r="AC291" s="94"/>
      <c r="AD291" s="94"/>
      <c r="AE291" s="94"/>
      <c r="AF291" s="94"/>
      <c r="AG291" s="94"/>
      <c r="AH291" s="263"/>
    </row>
    <row r="292" spans="1:34" ht="23.25" customHeight="1">
      <c r="A292" s="45"/>
      <c r="B292" s="121"/>
      <c r="C292" s="2"/>
      <c r="D292" s="2"/>
      <c r="E292" s="94">
        <v>8</v>
      </c>
      <c r="F292" s="74">
        <v>1000</v>
      </c>
      <c r="G292" s="45">
        <f t="shared" si="17"/>
        <v>8000</v>
      </c>
      <c r="H292" s="119" t="s">
        <v>46</v>
      </c>
      <c r="I292" s="128">
        <v>45348</v>
      </c>
      <c r="J292" s="74">
        <v>1000</v>
      </c>
      <c r="K292" s="74">
        <v>20</v>
      </c>
      <c r="L292" s="156" t="s">
        <v>3010</v>
      </c>
      <c r="M292" s="90">
        <f>7650+350</f>
        <v>8000</v>
      </c>
      <c r="N292" s="90">
        <v>80</v>
      </c>
      <c r="O292" s="90" t="s">
        <v>3012</v>
      </c>
      <c r="P292" s="74" t="s">
        <v>139</v>
      </c>
      <c r="Q292" s="94">
        <v>8500067759</v>
      </c>
      <c r="R292" s="94">
        <v>5000230125</v>
      </c>
      <c r="S292" s="74">
        <v>1000</v>
      </c>
      <c r="T292" s="90" t="s">
        <v>1558</v>
      </c>
      <c r="U292" s="90">
        <v>8500067758</v>
      </c>
      <c r="V292" s="90">
        <v>5000250528</v>
      </c>
      <c r="W292" s="109">
        <v>45374</v>
      </c>
      <c r="X292" s="106">
        <v>1000</v>
      </c>
      <c r="Y292" s="106">
        <v>8000</v>
      </c>
      <c r="Z292" s="106" t="s">
        <v>800</v>
      </c>
      <c r="AA292" s="106">
        <f t="shared" si="15"/>
        <v>0</v>
      </c>
      <c r="AB292" s="106">
        <f t="shared" si="16"/>
        <v>0</v>
      </c>
      <c r="AC292" s="94"/>
      <c r="AD292" s="94"/>
      <c r="AE292" s="94"/>
      <c r="AF292" s="94"/>
      <c r="AG292" s="94"/>
      <c r="AH292" s="263"/>
    </row>
    <row r="293" spans="1:34" ht="26.25" customHeight="1">
      <c r="A293" s="45"/>
      <c r="B293" s="121"/>
      <c r="C293" s="2"/>
      <c r="D293" s="2"/>
      <c r="E293" s="94">
        <v>8</v>
      </c>
      <c r="F293" s="74">
        <v>150</v>
      </c>
      <c r="G293" s="45">
        <f t="shared" si="17"/>
        <v>1200</v>
      </c>
      <c r="H293" s="119" t="s">
        <v>37</v>
      </c>
      <c r="I293" s="128">
        <v>45348</v>
      </c>
      <c r="J293" s="74">
        <v>150</v>
      </c>
      <c r="K293" s="74">
        <v>5</v>
      </c>
      <c r="L293" s="156">
        <v>45352</v>
      </c>
      <c r="M293" s="90">
        <v>1200</v>
      </c>
      <c r="N293" s="90">
        <v>12</v>
      </c>
      <c r="O293" s="90" t="s">
        <v>898</v>
      </c>
      <c r="P293" s="74" t="s">
        <v>139</v>
      </c>
      <c r="Q293" s="94">
        <v>8500067759</v>
      </c>
      <c r="R293" s="94">
        <v>5000230125</v>
      </c>
      <c r="S293" s="74">
        <v>150</v>
      </c>
      <c r="T293" s="90" t="s">
        <v>1558</v>
      </c>
      <c r="U293" s="90">
        <v>8500067758</v>
      </c>
      <c r="V293" s="90">
        <v>5000248974</v>
      </c>
      <c r="W293" s="109">
        <v>45374</v>
      </c>
      <c r="X293" s="106">
        <v>150</v>
      </c>
      <c r="Y293" s="106">
        <v>1200</v>
      </c>
      <c r="Z293" s="106" t="s">
        <v>800</v>
      </c>
      <c r="AA293" s="106">
        <f t="shared" si="15"/>
        <v>0</v>
      </c>
      <c r="AB293" s="106">
        <f t="shared" si="16"/>
        <v>0</v>
      </c>
      <c r="AC293" s="94"/>
      <c r="AD293" s="94"/>
      <c r="AE293" s="94"/>
      <c r="AF293" s="94"/>
      <c r="AG293" s="94"/>
      <c r="AH293" s="263"/>
    </row>
    <row r="294" spans="1:34" ht="26.25" customHeight="1">
      <c r="A294" s="125" t="s">
        <v>525</v>
      </c>
      <c r="B294" s="121">
        <v>6000028614</v>
      </c>
      <c r="C294" s="2" t="s">
        <v>548</v>
      </c>
      <c r="D294" s="2">
        <v>6000028614</v>
      </c>
      <c r="E294" s="94">
        <v>8</v>
      </c>
      <c r="F294" s="74">
        <v>150</v>
      </c>
      <c r="G294" s="45">
        <f t="shared" si="17"/>
        <v>1200</v>
      </c>
      <c r="H294" s="119" t="s">
        <v>27</v>
      </c>
      <c r="I294" s="128" t="s">
        <v>2988</v>
      </c>
      <c r="J294" s="74">
        <f>149+1</f>
        <v>150</v>
      </c>
      <c r="K294" s="74">
        <f>3+1</f>
        <v>4</v>
      </c>
      <c r="L294" s="156">
        <v>45352</v>
      </c>
      <c r="M294" s="90">
        <v>1200</v>
      </c>
      <c r="N294" s="90">
        <v>12</v>
      </c>
      <c r="O294" s="90" t="s">
        <v>898</v>
      </c>
      <c r="P294" s="74" t="s">
        <v>139</v>
      </c>
      <c r="Q294" s="94">
        <v>8500067755</v>
      </c>
      <c r="R294" s="94">
        <v>5000230126</v>
      </c>
      <c r="S294" s="74">
        <f>149+1</f>
        <v>150</v>
      </c>
      <c r="T294" s="90" t="s">
        <v>1558</v>
      </c>
      <c r="U294" s="90">
        <v>8500067754</v>
      </c>
      <c r="V294" s="90">
        <v>5000248979</v>
      </c>
      <c r="W294" s="109" t="s">
        <v>3179</v>
      </c>
      <c r="X294" s="106">
        <f>32+118</f>
        <v>150</v>
      </c>
      <c r="Y294" s="106">
        <f>256+944</f>
        <v>1200</v>
      </c>
      <c r="Z294" s="106" t="s">
        <v>1785</v>
      </c>
      <c r="AA294" s="106">
        <f t="shared" si="15"/>
        <v>0</v>
      </c>
      <c r="AB294" s="106">
        <f t="shared" si="16"/>
        <v>0</v>
      </c>
      <c r="AC294" s="94"/>
      <c r="AD294" s="94"/>
      <c r="AE294" s="94"/>
      <c r="AF294" s="94"/>
      <c r="AG294" s="94"/>
      <c r="AH294" s="263"/>
    </row>
    <row r="295" spans="1:34" ht="26.25" customHeight="1">
      <c r="A295" s="45"/>
      <c r="B295" s="121"/>
      <c r="C295" s="2"/>
      <c r="D295" s="2"/>
      <c r="E295" s="94">
        <v>8</v>
      </c>
      <c r="F295" s="74">
        <v>1000</v>
      </c>
      <c r="G295" s="45">
        <f t="shared" si="17"/>
        <v>8000</v>
      </c>
      <c r="H295" s="119" t="s">
        <v>46</v>
      </c>
      <c r="I295" s="128">
        <v>45348</v>
      </c>
      <c r="J295" s="74">
        <v>1000</v>
      </c>
      <c r="K295" s="74">
        <v>12</v>
      </c>
      <c r="L295" s="156">
        <v>45353</v>
      </c>
      <c r="M295" s="90">
        <v>8000</v>
      </c>
      <c r="N295" s="90">
        <v>80</v>
      </c>
      <c r="O295" s="90" t="s">
        <v>2982</v>
      </c>
      <c r="P295" s="74" t="s">
        <v>139</v>
      </c>
      <c r="Q295" s="94">
        <v>8500067755</v>
      </c>
      <c r="R295" s="94">
        <v>5000230126</v>
      </c>
      <c r="S295" s="74">
        <v>1000</v>
      </c>
      <c r="T295" s="90" t="s">
        <v>1558</v>
      </c>
      <c r="U295" s="90">
        <v>8500067754</v>
      </c>
      <c r="V295" s="90">
        <v>5000250529</v>
      </c>
      <c r="W295" s="109" t="s">
        <v>3040</v>
      </c>
      <c r="X295" s="106">
        <f>209+791</f>
        <v>1000</v>
      </c>
      <c r="Y295" s="106">
        <f>1672+6328</f>
        <v>8000</v>
      </c>
      <c r="Z295" s="106" t="s">
        <v>1785</v>
      </c>
      <c r="AA295" s="106">
        <f t="shared" si="15"/>
        <v>0</v>
      </c>
      <c r="AB295" s="106">
        <f t="shared" si="16"/>
        <v>0</v>
      </c>
      <c r="AC295" s="94"/>
      <c r="AD295" s="94"/>
      <c r="AE295" s="94"/>
      <c r="AF295" s="94"/>
      <c r="AG295" s="94"/>
      <c r="AH295" s="263"/>
    </row>
    <row r="296" spans="1:34" ht="26.25" customHeight="1">
      <c r="A296" s="45"/>
      <c r="B296" s="121"/>
      <c r="C296" s="2"/>
      <c r="D296" s="2"/>
      <c r="E296" s="94">
        <v>8</v>
      </c>
      <c r="F296" s="74">
        <v>150</v>
      </c>
      <c r="G296" s="45">
        <f t="shared" si="17"/>
        <v>1200</v>
      </c>
      <c r="H296" s="119" t="s">
        <v>37</v>
      </c>
      <c r="I296" s="128">
        <v>45348</v>
      </c>
      <c r="J296" s="74">
        <v>150</v>
      </c>
      <c r="K296" s="74">
        <v>4</v>
      </c>
      <c r="L296" s="156">
        <v>45355</v>
      </c>
      <c r="M296" s="90">
        <v>1200</v>
      </c>
      <c r="N296" s="90">
        <v>12</v>
      </c>
      <c r="O296" s="90" t="s">
        <v>1768</v>
      </c>
      <c r="P296" s="74" t="s">
        <v>139</v>
      </c>
      <c r="Q296" s="94">
        <v>8500067755</v>
      </c>
      <c r="R296" s="94">
        <v>5000230126</v>
      </c>
      <c r="S296" s="74">
        <v>150</v>
      </c>
      <c r="T296" s="90" t="s">
        <v>1558</v>
      </c>
      <c r="U296" s="90">
        <v>8500067754</v>
      </c>
      <c r="V296" s="90">
        <v>5000262751</v>
      </c>
      <c r="W296" s="109">
        <v>45355</v>
      </c>
      <c r="X296" s="106">
        <v>150</v>
      </c>
      <c r="Y296" s="106">
        <v>1200</v>
      </c>
      <c r="Z296" s="106" t="s">
        <v>800</v>
      </c>
      <c r="AA296" s="106">
        <f t="shared" si="15"/>
        <v>0</v>
      </c>
      <c r="AB296" s="106">
        <f t="shared" si="16"/>
        <v>0</v>
      </c>
      <c r="AC296" s="94"/>
      <c r="AD296" s="94"/>
      <c r="AE296" s="94"/>
      <c r="AF296" s="94"/>
      <c r="AG296" s="94"/>
      <c r="AH296" s="263"/>
    </row>
    <row r="297" spans="1:34" ht="26.25" customHeight="1">
      <c r="A297" s="45"/>
      <c r="B297" s="121"/>
      <c r="C297" s="2"/>
      <c r="D297" s="2"/>
      <c r="E297" s="94">
        <v>8</v>
      </c>
      <c r="F297" s="74">
        <v>100</v>
      </c>
      <c r="G297" s="45">
        <f t="shared" si="17"/>
        <v>800</v>
      </c>
      <c r="H297" s="119" t="s">
        <v>146</v>
      </c>
      <c r="I297" s="128">
        <v>45348</v>
      </c>
      <c r="J297" s="74">
        <v>100</v>
      </c>
      <c r="K297" s="74">
        <v>4</v>
      </c>
      <c r="L297" s="156">
        <v>45353</v>
      </c>
      <c r="M297" s="90">
        <v>800</v>
      </c>
      <c r="N297" s="90">
        <v>8</v>
      </c>
      <c r="O297" s="90" t="s">
        <v>1746</v>
      </c>
      <c r="P297" s="74" t="s">
        <v>139</v>
      </c>
      <c r="Q297" s="94">
        <v>8500067757</v>
      </c>
      <c r="R297" s="94">
        <v>5000230127</v>
      </c>
      <c r="S297" s="74">
        <v>100</v>
      </c>
      <c r="T297" s="90" t="s">
        <v>1558</v>
      </c>
      <c r="U297" s="90">
        <v>8500067756</v>
      </c>
      <c r="V297" s="90">
        <v>5000250680</v>
      </c>
      <c r="W297" s="109">
        <v>45371</v>
      </c>
      <c r="X297" s="106">
        <v>100</v>
      </c>
      <c r="Y297" s="106">
        <v>800</v>
      </c>
      <c r="Z297" s="106" t="s">
        <v>800</v>
      </c>
      <c r="AA297" s="106">
        <f t="shared" si="15"/>
        <v>0</v>
      </c>
      <c r="AB297" s="106">
        <f t="shared" si="16"/>
        <v>0</v>
      </c>
      <c r="AC297" s="94"/>
      <c r="AD297" s="94"/>
      <c r="AE297" s="94"/>
      <c r="AF297" s="94"/>
      <c r="AG297" s="94"/>
      <c r="AH297" s="263"/>
    </row>
    <row r="298" spans="1:34" ht="43.5" customHeight="1">
      <c r="A298" s="45" t="s">
        <v>804</v>
      </c>
      <c r="B298" s="121">
        <v>6000028626</v>
      </c>
      <c r="C298" s="512" t="s">
        <v>2968</v>
      </c>
      <c r="D298" s="513"/>
      <c r="E298" s="94"/>
      <c r="F298" s="74"/>
      <c r="G298" s="45">
        <f t="shared" si="17"/>
        <v>0</v>
      </c>
      <c r="H298" s="119"/>
      <c r="I298" s="128"/>
      <c r="J298" s="74"/>
      <c r="K298" s="74"/>
      <c r="L298" s="162"/>
      <c r="M298" s="90"/>
      <c r="N298" s="90"/>
      <c r="O298" s="90"/>
      <c r="P298" s="94"/>
      <c r="Q298" s="94"/>
      <c r="R298" s="94"/>
      <c r="S298" s="94"/>
      <c r="T298" s="90"/>
      <c r="U298" s="90"/>
      <c r="V298" s="90"/>
      <c r="W298" s="105"/>
      <c r="X298" s="106"/>
      <c r="Y298" s="106"/>
      <c r="Z298" s="106"/>
      <c r="AA298" s="106">
        <f t="shared" si="15"/>
        <v>0</v>
      </c>
      <c r="AB298" s="106">
        <f t="shared" si="16"/>
        <v>0</v>
      </c>
      <c r="AC298" s="94"/>
      <c r="AD298" s="94"/>
      <c r="AE298" s="94"/>
      <c r="AF298" s="94"/>
      <c r="AG298" s="94"/>
      <c r="AH298" s="263"/>
    </row>
    <row r="299" spans="1:34" ht="43.5" customHeight="1">
      <c r="A299" s="45" t="s">
        <v>804</v>
      </c>
      <c r="B299" s="121">
        <v>6000027112</v>
      </c>
      <c r="C299" s="514"/>
      <c r="D299" s="515"/>
      <c r="E299" s="94"/>
      <c r="F299" s="74"/>
      <c r="G299" s="45">
        <f t="shared" si="17"/>
        <v>0</v>
      </c>
      <c r="H299" s="119"/>
      <c r="I299" s="128"/>
      <c r="J299" s="74"/>
      <c r="K299" s="74"/>
      <c r="L299" s="162"/>
      <c r="M299" s="90"/>
      <c r="N299" s="90"/>
      <c r="O299" s="90"/>
      <c r="P299" s="94"/>
      <c r="Q299" s="94"/>
      <c r="R299" s="94"/>
      <c r="S299" s="94"/>
      <c r="T299" s="90"/>
      <c r="U299" s="90"/>
      <c r="V299" s="90"/>
      <c r="W299" s="109"/>
      <c r="X299" s="106"/>
      <c r="Y299" s="106"/>
      <c r="Z299" s="106"/>
      <c r="AA299" s="106">
        <f t="shared" si="15"/>
        <v>0</v>
      </c>
      <c r="AB299" s="106">
        <f t="shared" si="16"/>
        <v>0</v>
      </c>
      <c r="AC299" s="111" t="s">
        <v>3013</v>
      </c>
      <c r="AD299" s="94"/>
      <c r="AE299" s="94"/>
      <c r="AF299" s="94"/>
      <c r="AG299" s="94"/>
      <c r="AH299" s="263"/>
    </row>
    <row r="300" spans="1:34" ht="43.5" customHeight="1">
      <c r="A300" s="45" t="s">
        <v>804</v>
      </c>
      <c r="B300" s="121">
        <v>6000028630</v>
      </c>
      <c r="C300" s="516"/>
      <c r="D300" s="517"/>
      <c r="E300" s="94"/>
      <c r="F300" s="74"/>
      <c r="G300" s="45">
        <f t="shared" si="17"/>
        <v>0</v>
      </c>
      <c r="H300" s="119"/>
      <c r="I300" s="128"/>
      <c r="J300" s="74"/>
      <c r="K300" s="74"/>
      <c r="L300" s="162"/>
      <c r="M300" s="90"/>
      <c r="N300" s="90"/>
      <c r="O300" s="90"/>
      <c r="P300" s="94"/>
      <c r="Q300" s="94"/>
      <c r="R300" s="94"/>
      <c r="S300" s="94"/>
      <c r="T300" s="90"/>
      <c r="U300" s="90"/>
      <c r="V300" s="90"/>
      <c r="W300" s="109"/>
      <c r="X300" s="106"/>
      <c r="Y300" s="106"/>
      <c r="Z300" s="106"/>
      <c r="AA300" s="106">
        <f t="shared" si="15"/>
        <v>0</v>
      </c>
      <c r="AB300" s="106">
        <f t="shared" si="16"/>
        <v>0</v>
      </c>
      <c r="AC300" s="94"/>
      <c r="AD300" s="94"/>
      <c r="AE300" s="94"/>
      <c r="AF300" s="94"/>
      <c r="AG300" s="94"/>
      <c r="AH300" s="263"/>
    </row>
    <row r="301" spans="1:34" ht="26.25" customHeight="1">
      <c r="A301" s="125" t="s">
        <v>652</v>
      </c>
      <c r="B301" s="121">
        <v>6000028747</v>
      </c>
      <c r="C301" s="2" t="s">
        <v>2060</v>
      </c>
      <c r="D301" s="2">
        <v>2442615</v>
      </c>
      <c r="E301" s="94">
        <v>10</v>
      </c>
      <c r="F301" s="74">
        <v>200</v>
      </c>
      <c r="G301" s="45">
        <f t="shared" si="17"/>
        <v>2000</v>
      </c>
      <c r="H301" s="119" t="s">
        <v>27</v>
      </c>
      <c r="I301" s="128">
        <v>45356</v>
      </c>
      <c r="J301" s="74">
        <v>200</v>
      </c>
      <c r="K301" s="74">
        <f>4+4</f>
        <v>8</v>
      </c>
      <c r="L301" s="156">
        <v>45357</v>
      </c>
      <c r="M301" s="90">
        <v>2000</v>
      </c>
      <c r="N301" s="90">
        <v>50</v>
      </c>
      <c r="O301" s="90" t="s">
        <v>789</v>
      </c>
      <c r="P301" s="74" t="s">
        <v>139</v>
      </c>
      <c r="Q301" s="94">
        <v>8500067794</v>
      </c>
      <c r="R301" s="94">
        <v>5000264091</v>
      </c>
      <c r="S301" s="74">
        <v>200</v>
      </c>
      <c r="T301" s="90" t="s">
        <v>655</v>
      </c>
      <c r="U301" s="90">
        <v>8500067793</v>
      </c>
      <c r="V301" s="90">
        <v>5000268531</v>
      </c>
      <c r="W301" s="109">
        <v>45363</v>
      </c>
      <c r="X301" s="106">
        <v>200</v>
      </c>
      <c r="Y301" s="106">
        <v>2000</v>
      </c>
      <c r="Z301" s="106" t="s">
        <v>1502</v>
      </c>
      <c r="AA301" s="106">
        <f t="shared" si="15"/>
        <v>0</v>
      </c>
      <c r="AB301" s="106">
        <f t="shared" si="16"/>
        <v>0</v>
      </c>
      <c r="AC301" s="94"/>
      <c r="AD301" s="94"/>
      <c r="AE301" s="94"/>
      <c r="AF301" s="94"/>
      <c r="AG301" s="94"/>
      <c r="AH301" s="263"/>
    </row>
    <row r="302" spans="1:34" ht="26.25" customHeight="1">
      <c r="A302" s="125"/>
      <c r="B302" s="121"/>
      <c r="C302" s="2"/>
      <c r="D302" s="2"/>
      <c r="E302" s="94">
        <v>10</v>
      </c>
      <c r="F302" s="74">
        <v>2800</v>
      </c>
      <c r="G302" s="45">
        <f t="shared" si="17"/>
        <v>28000</v>
      </c>
      <c r="H302" s="119" t="s">
        <v>37</v>
      </c>
      <c r="I302" s="128">
        <v>45356</v>
      </c>
      <c r="J302" s="74">
        <v>2800</v>
      </c>
      <c r="K302" s="74">
        <f>56+4</f>
        <v>60</v>
      </c>
      <c r="L302" s="156">
        <v>45357</v>
      </c>
      <c r="M302" s="90">
        <v>28000</v>
      </c>
      <c r="N302" s="90">
        <v>117</v>
      </c>
      <c r="O302" s="90" t="s">
        <v>862</v>
      </c>
      <c r="P302" s="74" t="s">
        <v>139</v>
      </c>
      <c r="Q302" s="94">
        <v>8500067794</v>
      </c>
      <c r="R302" s="94">
        <v>5000264091</v>
      </c>
      <c r="S302" s="74">
        <v>2800</v>
      </c>
      <c r="T302" s="90" t="s">
        <v>655</v>
      </c>
      <c r="U302" s="90">
        <v>8500067793</v>
      </c>
      <c r="V302" s="90">
        <v>5000268531</v>
      </c>
      <c r="W302" s="109">
        <v>45363</v>
      </c>
      <c r="X302" s="106">
        <v>2800</v>
      </c>
      <c r="Y302" s="106">
        <v>28000</v>
      </c>
      <c r="Z302" s="106" t="s">
        <v>197</v>
      </c>
      <c r="AA302" s="106">
        <f t="shared" ref="AA302:AA342" si="18">J302-X302</f>
        <v>0</v>
      </c>
      <c r="AB302" s="106">
        <f t="shared" ref="AB302:AB342" si="19">M302-Y302</f>
        <v>0</v>
      </c>
      <c r="AC302" s="94"/>
      <c r="AD302" s="94"/>
      <c r="AE302" s="94"/>
      <c r="AF302" s="94"/>
      <c r="AG302" s="94"/>
      <c r="AH302" s="263"/>
    </row>
    <row r="303" spans="1:34" ht="26.25" customHeight="1">
      <c r="A303" s="125" t="s">
        <v>652</v>
      </c>
      <c r="B303" s="121">
        <v>6000028747</v>
      </c>
      <c r="C303" s="2" t="s">
        <v>653</v>
      </c>
      <c r="D303" s="2">
        <v>2442615</v>
      </c>
      <c r="E303" s="94">
        <v>10</v>
      </c>
      <c r="F303" s="74">
        <v>100</v>
      </c>
      <c r="G303" s="45">
        <f t="shared" si="17"/>
        <v>1000</v>
      </c>
      <c r="H303" s="119" t="s">
        <v>27</v>
      </c>
      <c r="I303" s="128">
        <v>45356</v>
      </c>
      <c r="J303" s="74">
        <v>100</v>
      </c>
      <c r="K303" s="74">
        <f>2+1</f>
        <v>3</v>
      </c>
      <c r="L303" s="156">
        <v>45357</v>
      </c>
      <c r="M303" s="90">
        <v>1000</v>
      </c>
      <c r="N303" s="90">
        <v>20</v>
      </c>
      <c r="O303" s="90" t="s">
        <v>789</v>
      </c>
      <c r="P303" s="74" t="s">
        <v>139</v>
      </c>
      <c r="Q303" s="94">
        <v>8500067796</v>
      </c>
      <c r="R303" s="94">
        <v>5000264090</v>
      </c>
      <c r="S303" s="74">
        <v>100</v>
      </c>
      <c r="T303" s="90" t="s">
        <v>655</v>
      </c>
      <c r="U303" s="90">
        <v>8500067795</v>
      </c>
      <c r="V303" s="90">
        <v>5000268532</v>
      </c>
      <c r="W303" s="109">
        <v>45365</v>
      </c>
      <c r="X303" s="106">
        <v>100</v>
      </c>
      <c r="Y303" s="106">
        <v>1000</v>
      </c>
      <c r="Z303" s="106" t="s">
        <v>800</v>
      </c>
      <c r="AA303" s="106">
        <f t="shared" si="18"/>
        <v>0</v>
      </c>
      <c r="AB303" s="106">
        <f t="shared" si="19"/>
        <v>0</v>
      </c>
      <c r="AC303" s="94"/>
      <c r="AD303" s="94"/>
      <c r="AE303" s="94"/>
      <c r="AF303" s="94"/>
      <c r="AG303" s="94"/>
      <c r="AH303" s="263"/>
    </row>
    <row r="304" spans="1:34" ht="26.25" customHeight="1">
      <c r="A304" s="45"/>
      <c r="B304" s="121"/>
      <c r="C304" s="2"/>
      <c r="D304" s="2"/>
      <c r="E304" s="94">
        <v>10</v>
      </c>
      <c r="F304" s="74">
        <v>300</v>
      </c>
      <c r="G304" s="45">
        <f t="shared" si="17"/>
        <v>3000</v>
      </c>
      <c r="H304" s="119" t="s">
        <v>46</v>
      </c>
      <c r="I304" s="128">
        <v>45356</v>
      </c>
      <c r="J304" s="74">
        <v>300</v>
      </c>
      <c r="K304" s="74">
        <v>6</v>
      </c>
      <c r="L304" s="156">
        <v>45357</v>
      </c>
      <c r="M304" s="90">
        <v>3000</v>
      </c>
      <c r="N304" s="90">
        <v>50</v>
      </c>
      <c r="O304" s="90" t="s">
        <v>789</v>
      </c>
      <c r="P304" s="74" t="s">
        <v>139</v>
      </c>
      <c r="Q304" s="94">
        <v>8500067796</v>
      </c>
      <c r="R304" s="94">
        <v>5000264090</v>
      </c>
      <c r="S304" s="74">
        <v>300</v>
      </c>
      <c r="T304" s="90" t="s">
        <v>655</v>
      </c>
      <c r="U304" s="90">
        <v>8500067795</v>
      </c>
      <c r="V304" s="90">
        <v>5000268532</v>
      </c>
      <c r="W304" s="109">
        <v>45365</v>
      </c>
      <c r="X304" s="106">
        <v>300</v>
      </c>
      <c r="Y304" s="106">
        <v>3000</v>
      </c>
      <c r="Z304" s="106" t="s">
        <v>800</v>
      </c>
      <c r="AA304" s="106">
        <f t="shared" si="18"/>
        <v>0</v>
      </c>
      <c r="AB304" s="106">
        <f t="shared" si="19"/>
        <v>0</v>
      </c>
      <c r="AC304" s="94"/>
      <c r="AD304" s="94"/>
      <c r="AE304" s="94"/>
      <c r="AF304" s="94"/>
      <c r="AG304" s="94"/>
      <c r="AH304" s="263"/>
    </row>
    <row r="305" spans="1:34" ht="26.25" customHeight="1">
      <c r="A305" s="125" t="s">
        <v>136</v>
      </c>
      <c r="B305" s="121">
        <v>6000028827</v>
      </c>
      <c r="C305" s="2" t="s">
        <v>137</v>
      </c>
      <c r="D305" s="2">
        <v>37054</v>
      </c>
      <c r="E305" s="94">
        <v>10</v>
      </c>
      <c r="F305" s="74">
        <v>940</v>
      </c>
      <c r="G305" s="45">
        <f t="shared" si="17"/>
        <v>9400</v>
      </c>
      <c r="H305" s="119" t="s">
        <v>243</v>
      </c>
      <c r="I305" s="128">
        <v>45365</v>
      </c>
      <c r="J305" s="74">
        <f>89+801</f>
        <v>890</v>
      </c>
      <c r="K305" s="74">
        <v>12</v>
      </c>
      <c r="L305" s="156">
        <v>45363</v>
      </c>
      <c r="M305" s="90">
        <v>9400</v>
      </c>
      <c r="N305" s="90">
        <v>47</v>
      </c>
      <c r="O305" s="90"/>
      <c r="P305" s="74" t="s">
        <v>139</v>
      </c>
      <c r="Q305" s="94">
        <v>8500068394</v>
      </c>
      <c r="R305" s="94"/>
      <c r="S305" s="94">
        <v>890</v>
      </c>
      <c r="T305" s="90" t="s">
        <v>152</v>
      </c>
      <c r="U305" s="90">
        <v>8500068390</v>
      </c>
      <c r="V305" s="90" t="s">
        <v>3017</v>
      </c>
      <c r="W305" s="109">
        <v>45374</v>
      </c>
      <c r="X305" s="106">
        <v>890</v>
      </c>
      <c r="Y305" s="106">
        <v>9400</v>
      </c>
      <c r="Z305" s="106"/>
      <c r="AA305" s="106">
        <f t="shared" si="18"/>
        <v>0</v>
      </c>
      <c r="AB305" s="106">
        <f t="shared" si="19"/>
        <v>0</v>
      </c>
      <c r="AC305" s="94" t="s">
        <v>3201</v>
      </c>
      <c r="AD305" s="94"/>
      <c r="AE305" s="94"/>
      <c r="AF305" s="94"/>
      <c r="AG305" s="94"/>
      <c r="AH305" s="263"/>
    </row>
    <row r="306" spans="1:34" ht="26.25" customHeight="1">
      <c r="A306" s="45" t="s">
        <v>1358</v>
      </c>
      <c r="B306" s="121">
        <v>6000029323</v>
      </c>
      <c r="C306" s="45" t="s">
        <v>2062</v>
      </c>
      <c r="D306" s="349" t="s">
        <v>3169</v>
      </c>
      <c r="E306" s="74">
        <v>20</v>
      </c>
      <c r="F306" s="74">
        <v>207</v>
      </c>
      <c r="G306" s="45">
        <f>F306*E306</f>
        <v>4140</v>
      </c>
      <c r="H306" s="119" t="s">
        <v>243</v>
      </c>
      <c r="I306" s="128">
        <v>45367</v>
      </c>
      <c r="J306" s="74">
        <v>207</v>
      </c>
      <c r="K306" s="74">
        <v>5</v>
      </c>
      <c r="L306" s="156">
        <v>45371</v>
      </c>
      <c r="M306" s="90">
        <v>4140</v>
      </c>
      <c r="N306" s="90">
        <v>60</v>
      </c>
      <c r="O306" s="90" t="s">
        <v>788</v>
      </c>
      <c r="P306" s="94" t="s">
        <v>1765</v>
      </c>
      <c r="Q306" s="94">
        <v>8500070051</v>
      </c>
      <c r="R306" s="94">
        <v>5000374956</v>
      </c>
      <c r="S306" s="74">
        <v>207</v>
      </c>
      <c r="T306" s="90" t="s">
        <v>655</v>
      </c>
      <c r="U306" s="90">
        <v>8500070050</v>
      </c>
      <c r="V306" s="90">
        <v>5000374928</v>
      </c>
      <c r="W306" s="109">
        <v>45402</v>
      </c>
      <c r="X306" s="106">
        <v>207</v>
      </c>
      <c r="Y306" s="106">
        <v>4140</v>
      </c>
      <c r="Z306" s="106" t="s">
        <v>800</v>
      </c>
      <c r="AA306" s="106">
        <f t="shared" si="18"/>
        <v>0</v>
      </c>
      <c r="AB306" s="106">
        <f t="shared" si="19"/>
        <v>0</v>
      </c>
      <c r="AC306" s="485" t="s">
        <v>3217</v>
      </c>
      <c r="AD306" s="94"/>
      <c r="AE306" s="94"/>
      <c r="AF306" s="94"/>
      <c r="AG306" s="94"/>
      <c r="AH306" s="263"/>
    </row>
    <row r="307" spans="1:34" ht="26.25" customHeight="1">
      <c r="A307" s="45"/>
      <c r="B307" s="121"/>
      <c r="C307" s="45"/>
      <c r="D307" s="345"/>
      <c r="E307" s="74">
        <v>20</v>
      </c>
      <c r="F307" s="74">
        <v>765</v>
      </c>
      <c r="G307" s="45">
        <f>F307*E307</f>
        <v>15300</v>
      </c>
      <c r="H307" s="119" t="s">
        <v>27</v>
      </c>
      <c r="I307" s="128">
        <v>45367</v>
      </c>
      <c r="J307" s="74">
        <v>765</v>
      </c>
      <c r="K307" s="74">
        <v>16</v>
      </c>
      <c r="L307" s="156">
        <v>45371</v>
      </c>
      <c r="M307" s="90">
        <v>15300</v>
      </c>
      <c r="N307" s="90">
        <v>150</v>
      </c>
      <c r="O307" s="90" t="s">
        <v>3167</v>
      </c>
      <c r="P307" s="94" t="s">
        <v>1765</v>
      </c>
      <c r="Q307" s="94">
        <v>8500070051</v>
      </c>
      <c r="R307" s="94">
        <v>5000374956</v>
      </c>
      <c r="S307" s="74">
        <v>765</v>
      </c>
      <c r="T307" s="90" t="s">
        <v>655</v>
      </c>
      <c r="U307" s="90">
        <v>8500070050</v>
      </c>
      <c r="V307" s="90">
        <v>5000374928</v>
      </c>
      <c r="W307" s="109">
        <v>45388</v>
      </c>
      <c r="X307" s="106">
        <v>765</v>
      </c>
      <c r="Y307" s="106">
        <v>15300</v>
      </c>
      <c r="Z307" s="106" t="s">
        <v>1840</v>
      </c>
      <c r="AA307" s="106">
        <f t="shared" si="18"/>
        <v>0</v>
      </c>
      <c r="AB307" s="106">
        <f t="shared" si="19"/>
        <v>0</v>
      </c>
      <c r="AC307" s="486"/>
      <c r="AD307" s="94"/>
      <c r="AE307" s="94"/>
      <c r="AF307" s="94"/>
      <c r="AG307" s="94"/>
      <c r="AH307" s="263"/>
    </row>
    <row r="308" spans="1:34" ht="26.25" customHeight="1">
      <c r="A308" s="45"/>
      <c r="B308" s="121"/>
      <c r="C308" s="45"/>
      <c r="D308" s="345"/>
      <c r="E308" s="74">
        <v>20</v>
      </c>
      <c r="F308" s="74">
        <v>375</v>
      </c>
      <c r="G308" s="45">
        <f>F308*E308</f>
        <v>7500</v>
      </c>
      <c r="H308" s="119" t="s">
        <v>46</v>
      </c>
      <c r="I308" s="128">
        <v>45367</v>
      </c>
      <c r="J308" s="74">
        <v>375</v>
      </c>
      <c r="K308" s="74">
        <v>8</v>
      </c>
      <c r="L308" s="156">
        <v>45371</v>
      </c>
      <c r="M308" s="90">
        <v>7500</v>
      </c>
      <c r="N308" s="90">
        <v>100</v>
      </c>
      <c r="O308" s="90" t="s">
        <v>3167</v>
      </c>
      <c r="P308" s="94" t="s">
        <v>1765</v>
      </c>
      <c r="Q308" s="94">
        <v>8500070051</v>
      </c>
      <c r="R308" s="94">
        <v>5000374956</v>
      </c>
      <c r="S308" s="74">
        <v>375</v>
      </c>
      <c r="T308" s="90" t="s">
        <v>655</v>
      </c>
      <c r="U308" s="90">
        <v>8500070050</v>
      </c>
      <c r="V308" s="90">
        <v>5000374928</v>
      </c>
      <c r="W308" s="109">
        <v>45402</v>
      </c>
      <c r="X308" s="106">
        <v>375</v>
      </c>
      <c r="Y308" s="106">
        <v>7500</v>
      </c>
      <c r="Z308" s="106" t="s">
        <v>800</v>
      </c>
      <c r="AA308" s="106">
        <f t="shared" si="18"/>
        <v>0</v>
      </c>
      <c r="AB308" s="106">
        <f t="shared" si="19"/>
        <v>0</v>
      </c>
      <c r="AC308" s="486"/>
      <c r="AD308" s="94"/>
      <c r="AE308" s="94"/>
      <c r="AF308" s="94"/>
      <c r="AG308" s="94"/>
      <c r="AH308" s="263"/>
    </row>
    <row r="309" spans="1:34" ht="26.25" customHeight="1">
      <c r="A309" s="45"/>
      <c r="B309" s="121"/>
      <c r="C309" s="45"/>
      <c r="D309" s="345"/>
      <c r="E309" s="74">
        <v>20</v>
      </c>
      <c r="F309" s="74">
        <v>111</v>
      </c>
      <c r="G309" s="45">
        <f>F309*E309</f>
        <v>2220</v>
      </c>
      <c r="H309" s="119" t="s">
        <v>37</v>
      </c>
      <c r="I309" s="128">
        <v>45367</v>
      </c>
      <c r="J309" s="74">
        <v>111</v>
      </c>
      <c r="K309" s="74">
        <v>4</v>
      </c>
      <c r="L309" s="156">
        <v>45371</v>
      </c>
      <c r="M309" s="90">
        <v>2220</v>
      </c>
      <c r="N309" s="90">
        <v>30</v>
      </c>
      <c r="O309" s="90" t="s">
        <v>1439</v>
      </c>
      <c r="P309" s="94" t="s">
        <v>1765</v>
      </c>
      <c r="Q309" s="94">
        <v>8500069995</v>
      </c>
      <c r="R309" s="94">
        <v>5000374951</v>
      </c>
      <c r="S309" s="74">
        <v>111</v>
      </c>
      <c r="T309" s="90" t="s">
        <v>655</v>
      </c>
      <c r="U309" s="90">
        <v>8500069994</v>
      </c>
      <c r="V309" s="90">
        <v>5000374955</v>
      </c>
      <c r="W309" s="109">
        <v>45402</v>
      </c>
      <c r="X309" s="106">
        <v>111</v>
      </c>
      <c r="Y309" s="106">
        <v>2220</v>
      </c>
      <c r="Z309" s="106" t="s">
        <v>800</v>
      </c>
      <c r="AA309" s="106">
        <f t="shared" si="18"/>
        <v>0</v>
      </c>
      <c r="AB309" s="106">
        <f t="shared" si="19"/>
        <v>0</v>
      </c>
      <c r="AC309" s="486"/>
      <c r="AD309" s="94"/>
      <c r="AE309" s="94"/>
      <c r="AF309" s="94"/>
      <c r="AG309" s="94"/>
      <c r="AH309" s="263"/>
    </row>
    <row r="310" spans="1:34" ht="26.25" customHeight="1">
      <c r="A310" s="45" t="s">
        <v>1358</v>
      </c>
      <c r="B310" s="121">
        <v>6000029323</v>
      </c>
      <c r="C310" s="45" t="s">
        <v>2062</v>
      </c>
      <c r="D310" s="345" t="s">
        <v>244</v>
      </c>
      <c r="E310" s="74"/>
      <c r="F310" s="74">
        <v>40</v>
      </c>
      <c r="G310" s="45">
        <v>200</v>
      </c>
      <c r="H310" s="119" t="s">
        <v>27</v>
      </c>
      <c r="I310" s="128">
        <v>45367</v>
      </c>
      <c r="J310" s="74">
        <v>40</v>
      </c>
      <c r="K310" s="74"/>
      <c r="L310" s="156">
        <v>45371</v>
      </c>
      <c r="M310" s="90">
        <v>200</v>
      </c>
      <c r="N310" s="90">
        <v>10</v>
      </c>
      <c r="O310" s="90" t="s">
        <v>3170</v>
      </c>
      <c r="P310" s="94" t="s">
        <v>1765</v>
      </c>
      <c r="Q310" s="94">
        <v>8500069997</v>
      </c>
      <c r="R310" s="94">
        <v>5000374985</v>
      </c>
      <c r="S310" s="74">
        <v>40</v>
      </c>
      <c r="T310" s="90" t="s">
        <v>655</v>
      </c>
      <c r="U310" s="90">
        <v>8500069996</v>
      </c>
      <c r="V310" s="90">
        <v>5000374980</v>
      </c>
      <c r="W310" s="109">
        <v>45416</v>
      </c>
      <c r="X310" s="106">
        <v>40</v>
      </c>
      <c r="Y310" s="106">
        <v>200</v>
      </c>
      <c r="Z310" s="106" t="s">
        <v>800</v>
      </c>
      <c r="AA310" s="106">
        <f>J310-X310</f>
        <v>0</v>
      </c>
      <c r="AB310" s="106">
        <f>M310-Y310</f>
        <v>0</v>
      </c>
      <c r="AC310" s="486"/>
      <c r="AD310" s="94"/>
      <c r="AE310" s="94"/>
      <c r="AF310" s="94"/>
      <c r="AG310" s="94"/>
      <c r="AH310" s="263"/>
    </row>
    <row r="311" spans="1:34" ht="26.25" customHeight="1">
      <c r="A311" s="45"/>
      <c r="B311" s="121"/>
      <c r="C311" s="45"/>
      <c r="D311" s="345"/>
      <c r="E311" s="74"/>
      <c r="F311" s="74">
        <v>10</v>
      </c>
      <c r="G311" s="45">
        <v>50</v>
      </c>
      <c r="H311" s="119" t="s">
        <v>46</v>
      </c>
      <c r="I311" s="128">
        <v>45367</v>
      </c>
      <c r="J311" s="74">
        <v>10</v>
      </c>
      <c r="K311" s="74"/>
      <c r="L311" s="156">
        <v>45371</v>
      </c>
      <c r="M311" s="90">
        <v>50</v>
      </c>
      <c r="N311" s="90">
        <v>5</v>
      </c>
      <c r="O311" s="90" t="s">
        <v>3170</v>
      </c>
      <c r="P311" s="94" t="s">
        <v>1765</v>
      </c>
      <c r="Q311" s="94">
        <v>8500069997</v>
      </c>
      <c r="R311" s="94">
        <v>5000374985</v>
      </c>
      <c r="S311" s="74">
        <v>10</v>
      </c>
      <c r="T311" s="90" t="s">
        <v>655</v>
      </c>
      <c r="U311" s="90">
        <v>8500069996</v>
      </c>
      <c r="V311" s="90">
        <v>5000374980</v>
      </c>
      <c r="W311" s="109">
        <v>45416</v>
      </c>
      <c r="X311" s="106">
        <v>10</v>
      </c>
      <c r="Y311" s="106">
        <v>50</v>
      </c>
      <c r="Z311" s="106" t="s">
        <v>800</v>
      </c>
      <c r="AA311" s="106">
        <f>J311-X311</f>
        <v>0</v>
      </c>
      <c r="AB311" s="106">
        <f>M311-Y311</f>
        <v>0</v>
      </c>
      <c r="AC311" s="487"/>
      <c r="AD311" s="94"/>
      <c r="AE311" s="94"/>
      <c r="AF311" s="94"/>
      <c r="AG311" s="94"/>
      <c r="AH311" s="263"/>
    </row>
    <row r="312" spans="1:34" ht="26.25" customHeight="1">
      <c r="A312" s="278" t="s">
        <v>804</v>
      </c>
      <c r="B312" s="346">
        <v>6000028629</v>
      </c>
      <c r="C312" s="278" t="s">
        <v>807</v>
      </c>
      <c r="D312" s="335"/>
      <c r="E312" s="74"/>
      <c r="F312" s="74"/>
      <c r="G312" s="45"/>
      <c r="H312" s="119" t="s">
        <v>146</v>
      </c>
      <c r="I312" s="128">
        <v>45356</v>
      </c>
      <c r="J312" s="74">
        <v>100</v>
      </c>
      <c r="K312" s="74"/>
      <c r="L312" s="156">
        <v>45356</v>
      </c>
      <c r="M312" s="90">
        <v>1000</v>
      </c>
      <c r="N312" s="90"/>
      <c r="O312" s="90"/>
      <c r="P312" s="94" t="s">
        <v>1765</v>
      </c>
      <c r="Q312" s="94"/>
      <c r="R312" s="94"/>
      <c r="S312" s="94">
        <v>100</v>
      </c>
      <c r="T312" s="90" t="s">
        <v>1666</v>
      </c>
      <c r="U312" s="90"/>
      <c r="V312" s="90"/>
      <c r="W312" s="109">
        <v>45359</v>
      </c>
      <c r="X312" s="106">
        <v>100</v>
      </c>
      <c r="Y312" s="106">
        <v>1000</v>
      </c>
      <c r="Z312" s="106" t="s">
        <v>759</v>
      </c>
      <c r="AA312" s="106">
        <f t="shared" si="18"/>
        <v>0</v>
      </c>
      <c r="AB312" s="106">
        <f t="shared" si="19"/>
        <v>0</v>
      </c>
      <c r="AC312" s="94"/>
      <c r="AD312" s="94"/>
      <c r="AE312" s="94"/>
      <c r="AF312" s="94"/>
      <c r="AG312" s="94"/>
      <c r="AH312" s="263"/>
    </row>
    <row r="313" spans="1:34" ht="26.25" customHeight="1">
      <c r="A313" s="278" t="s">
        <v>804</v>
      </c>
      <c r="B313" s="346">
        <v>6000028627</v>
      </c>
      <c r="C313" s="278" t="s">
        <v>2346</v>
      </c>
      <c r="D313" s="335"/>
      <c r="E313" s="74"/>
      <c r="F313" s="74"/>
      <c r="G313" s="45"/>
      <c r="H313" s="119" t="s">
        <v>146</v>
      </c>
      <c r="I313" s="128">
        <v>45356</v>
      </c>
      <c r="J313" s="74">
        <v>100</v>
      </c>
      <c r="K313" s="74"/>
      <c r="L313" s="156">
        <v>45356</v>
      </c>
      <c r="M313" s="90">
        <v>1000</v>
      </c>
      <c r="N313" s="90"/>
      <c r="O313" s="90"/>
      <c r="P313" s="94" t="s">
        <v>1765</v>
      </c>
      <c r="Q313" s="94"/>
      <c r="R313" s="94"/>
      <c r="S313" s="94">
        <v>100</v>
      </c>
      <c r="T313" s="90" t="s">
        <v>1666</v>
      </c>
      <c r="U313" s="344"/>
      <c r="V313" s="90"/>
      <c r="W313" s="109">
        <v>45360</v>
      </c>
      <c r="X313" s="106">
        <v>100</v>
      </c>
      <c r="Y313" s="106">
        <v>1000</v>
      </c>
      <c r="Z313" s="106" t="s">
        <v>759</v>
      </c>
      <c r="AA313" s="106">
        <f t="shared" si="18"/>
        <v>0</v>
      </c>
      <c r="AB313" s="106">
        <f t="shared" si="19"/>
        <v>0</v>
      </c>
      <c r="AC313" s="94"/>
      <c r="AD313" s="94"/>
      <c r="AE313" s="94"/>
      <c r="AF313" s="94"/>
      <c r="AG313" s="94"/>
      <c r="AH313" s="263"/>
    </row>
    <row r="314" spans="1:34" ht="26.25" customHeight="1">
      <c r="A314" s="278"/>
      <c r="B314" s="346"/>
      <c r="C314" s="278"/>
      <c r="D314" s="335"/>
      <c r="E314" s="74"/>
      <c r="F314" s="74"/>
      <c r="G314" s="45"/>
      <c r="H314" s="119" t="s">
        <v>27</v>
      </c>
      <c r="I314" s="128">
        <v>45373</v>
      </c>
      <c r="J314" s="74">
        <v>150</v>
      </c>
      <c r="K314" s="74"/>
      <c r="L314" s="156">
        <v>45373</v>
      </c>
      <c r="M314" s="90">
        <v>1500</v>
      </c>
      <c r="N314" s="90"/>
      <c r="O314" s="90"/>
      <c r="P314" s="94" t="s">
        <v>1765</v>
      </c>
      <c r="Q314" s="94"/>
      <c r="R314" s="94"/>
      <c r="S314" s="94"/>
      <c r="T314" s="90" t="s">
        <v>1666</v>
      </c>
      <c r="U314" s="344"/>
      <c r="V314" s="90"/>
      <c r="W314" s="109">
        <v>45373</v>
      </c>
      <c r="X314" s="106">
        <v>150</v>
      </c>
      <c r="Y314" s="106">
        <v>1500</v>
      </c>
      <c r="Z314" s="106" t="s">
        <v>1502</v>
      </c>
      <c r="AA314" s="106">
        <f>J314-X314</f>
        <v>0</v>
      </c>
      <c r="AB314" s="106">
        <f>M314-Y314</f>
        <v>0</v>
      </c>
      <c r="AC314" s="94"/>
      <c r="AD314" s="94"/>
      <c r="AE314" s="94"/>
      <c r="AF314" s="94"/>
      <c r="AG314" s="94"/>
      <c r="AH314" s="263"/>
    </row>
    <row r="315" spans="1:34" ht="26.25" customHeight="1">
      <c r="A315" s="278" t="s">
        <v>3001</v>
      </c>
      <c r="B315" s="346">
        <v>6000028736</v>
      </c>
      <c r="C315" s="278" t="s">
        <v>2998</v>
      </c>
      <c r="D315" s="335"/>
      <c r="E315" s="74"/>
      <c r="F315" s="74"/>
      <c r="G315" s="45"/>
      <c r="H315" s="119" t="s">
        <v>146</v>
      </c>
      <c r="I315" s="128">
        <v>45356</v>
      </c>
      <c r="J315" s="74">
        <v>850</v>
      </c>
      <c r="K315" s="74">
        <v>6</v>
      </c>
      <c r="L315" s="156">
        <v>45360</v>
      </c>
      <c r="M315" s="90">
        <v>8500</v>
      </c>
      <c r="N315" s="90">
        <v>95</v>
      </c>
      <c r="O315" s="90"/>
      <c r="P315" s="94" t="s">
        <v>1765</v>
      </c>
      <c r="Q315" s="94"/>
      <c r="R315" s="94"/>
      <c r="S315" s="74">
        <v>850</v>
      </c>
      <c r="T315" s="90" t="s">
        <v>87</v>
      </c>
      <c r="U315" s="90"/>
      <c r="V315" s="90"/>
      <c r="W315" s="109">
        <v>45361</v>
      </c>
      <c r="X315" s="106">
        <v>850</v>
      </c>
      <c r="Y315" s="106">
        <v>8500</v>
      </c>
      <c r="Z315" s="106" t="s">
        <v>759</v>
      </c>
      <c r="AA315" s="106">
        <f t="shared" si="18"/>
        <v>0</v>
      </c>
      <c r="AB315" s="106">
        <f t="shared" si="19"/>
        <v>0</v>
      </c>
      <c r="AC315" s="94"/>
      <c r="AD315" s="94"/>
      <c r="AE315" s="94"/>
      <c r="AF315" s="94"/>
      <c r="AG315" s="94"/>
      <c r="AH315" s="263"/>
    </row>
    <row r="316" spans="1:34" ht="26.25" customHeight="1">
      <c r="A316" s="278" t="s">
        <v>3000</v>
      </c>
      <c r="B316" s="346">
        <v>6000028529</v>
      </c>
      <c r="C316" s="278" t="s">
        <v>2999</v>
      </c>
      <c r="D316" s="335"/>
      <c r="E316" s="74"/>
      <c r="F316" s="74"/>
      <c r="G316" s="45"/>
      <c r="H316" s="119" t="s">
        <v>146</v>
      </c>
      <c r="I316" s="128">
        <v>45356</v>
      </c>
      <c r="J316" s="74">
        <v>96</v>
      </c>
      <c r="K316" s="74"/>
      <c r="L316" s="156">
        <v>45356</v>
      </c>
      <c r="M316" s="90">
        <v>960</v>
      </c>
      <c r="N316" s="90"/>
      <c r="O316" s="90"/>
      <c r="P316" s="94" t="s">
        <v>1765</v>
      </c>
      <c r="Q316" s="94"/>
      <c r="R316" s="94"/>
      <c r="S316" s="94">
        <v>96</v>
      </c>
      <c r="T316" s="90" t="s">
        <v>1666</v>
      </c>
      <c r="U316" s="90"/>
      <c r="V316" s="90"/>
      <c r="W316" s="109">
        <v>45359</v>
      </c>
      <c r="X316" s="106">
        <v>96</v>
      </c>
      <c r="Y316" s="106">
        <v>960</v>
      </c>
      <c r="Z316" s="106" t="s">
        <v>800</v>
      </c>
      <c r="AA316" s="106">
        <f t="shared" si="18"/>
        <v>0</v>
      </c>
      <c r="AB316" s="106">
        <f t="shared" si="19"/>
        <v>0</v>
      </c>
      <c r="AC316" s="94"/>
      <c r="AD316" s="94"/>
      <c r="AE316" s="94"/>
      <c r="AF316" s="94"/>
      <c r="AG316" s="94"/>
      <c r="AH316" s="263"/>
    </row>
    <row r="317" spans="1:34" ht="26.25" customHeight="1">
      <c r="A317" s="278" t="s">
        <v>865</v>
      </c>
      <c r="B317" s="346">
        <v>6000028775</v>
      </c>
      <c r="C317" s="278" t="s">
        <v>867</v>
      </c>
      <c r="D317" s="335"/>
      <c r="E317" s="74"/>
      <c r="F317" s="74"/>
      <c r="G317" s="45"/>
      <c r="H317" s="119" t="s">
        <v>37</v>
      </c>
      <c r="I317" s="128">
        <v>45356</v>
      </c>
      <c r="J317" s="74">
        <v>53</v>
      </c>
      <c r="K317" s="74"/>
      <c r="L317" s="156">
        <v>45356</v>
      </c>
      <c r="M317" s="90">
        <v>1060</v>
      </c>
      <c r="N317" s="90"/>
      <c r="O317" s="90"/>
      <c r="P317" s="94" t="s">
        <v>1765</v>
      </c>
      <c r="Q317" s="94"/>
      <c r="R317" s="94"/>
      <c r="S317" s="74">
        <v>53</v>
      </c>
      <c r="T317" s="90" t="s">
        <v>1666</v>
      </c>
      <c r="U317" s="90"/>
      <c r="V317" s="90"/>
      <c r="W317" s="109">
        <v>45364</v>
      </c>
      <c r="X317" s="106">
        <v>53</v>
      </c>
      <c r="Y317" s="106">
        <v>1060</v>
      </c>
      <c r="Z317" s="106" t="s">
        <v>800</v>
      </c>
      <c r="AA317" s="106">
        <f t="shared" si="18"/>
        <v>0</v>
      </c>
      <c r="AB317" s="106">
        <f t="shared" si="19"/>
        <v>0</v>
      </c>
      <c r="AC317" s="94"/>
      <c r="AD317" s="94"/>
      <c r="AE317" s="94"/>
      <c r="AF317" s="94"/>
      <c r="AG317" s="94"/>
      <c r="AH317" s="263"/>
    </row>
    <row r="318" spans="1:34" ht="26.25" customHeight="1">
      <c r="A318" s="278" t="s">
        <v>240</v>
      </c>
      <c r="B318" s="346">
        <v>6000028594</v>
      </c>
      <c r="C318" s="278" t="s">
        <v>3004</v>
      </c>
      <c r="D318" s="335"/>
      <c r="E318" s="74"/>
      <c r="F318" s="74"/>
      <c r="G318" s="45"/>
      <c r="H318" s="119" t="s">
        <v>46</v>
      </c>
      <c r="I318" s="128">
        <v>45364</v>
      </c>
      <c r="J318" s="74">
        <v>160</v>
      </c>
      <c r="K318" s="74"/>
      <c r="L318" s="156">
        <v>45364</v>
      </c>
      <c r="M318" s="90">
        <v>3200</v>
      </c>
      <c r="N318" s="90"/>
      <c r="O318" s="90"/>
      <c r="P318" s="94" t="s">
        <v>1765</v>
      </c>
      <c r="Q318" s="94"/>
      <c r="R318" s="94"/>
      <c r="S318" s="94">
        <v>160</v>
      </c>
      <c r="T318" s="90" t="s">
        <v>1666</v>
      </c>
      <c r="U318" s="90"/>
      <c r="V318" s="90"/>
      <c r="W318" s="109">
        <v>45365</v>
      </c>
      <c r="X318" s="106">
        <v>160</v>
      </c>
      <c r="Y318" s="106">
        <v>3200</v>
      </c>
      <c r="Z318" s="106" t="s">
        <v>800</v>
      </c>
      <c r="AA318" s="106">
        <f t="shared" si="18"/>
        <v>0</v>
      </c>
      <c r="AB318" s="106">
        <f t="shared" si="19"/>
        <v>0</v>
      </c>
      <c r="AC318" s="94"/>
      <c r="AD318" s="94"/>
      <c r="AE318" s="94"/>
      <c r="AF318" s="94"/>
      <c r="AG318" s="94"/>
      <c r="AH318" s="263"/>
    </row>
    <row r="319" spans="1:34" ht="26.25" customHeight="1">
      <c r="A319" s="278" t="s">
        <v>240</v>
      </c>
      <c r="B319" s="346">
        <v>6000028594</v>
      </c>
      <c r="C319" s="278" t="s">
        <v>3004</v>
      </c>
      <c r="D319" s="335"/>
      <c r="E319" s="74"/>
      <c r="F319" s="74"/>
      <c r="G319" s="45"/>
      <c r="H319" s="119" t="s">
        <v>37</v>
      </c>
      <c r="I319" s="128">
        <v>45356</v>
      </c>
      <c r="J319" s="74">
        <v>50</v>
      </c>
      <c r="K319" s="74"/>
      <c r="L319" s="156">
        <v>45356</v>
      </c>
      <c r="M319" s="90">
        <v>1000</v>
      </c>
      <c r="N319" s="90"/>
      <c r="O319" s="90"/>
      <c r="P319" s="94" t="s">
        <v>1765</v>
      </c>
      <c r="Q319" s="94"/>
      <c r="R319" s="94"/>
      <c r="S319" s="74">
        <v>50</v>
      </c>
      <c r="T319" s="90" t="s">
        <v>1666</v>
      </c>
      <c r="U319" s="90"/>
      <c r="V319" s="90"/>
      <c r="W319" s="109">
        <v>45358</v>
      </c>
      <c r="X319" s="106">
        <v>50</v>
      </c>
      <c r="Y319" s="106">
        <v>1000</v>
      </c>
      <c r="Z319" s="106" t="s">
        <v>800</v>
      </c>
      <c r="AA319" s="106">
        <f t="shared" si="18"/>
        <v>0</v>
      </c>
      <c r="AB319" s="106">
        <f t="shared" si="19"/>
        <v>0</v>
      </c>
      <c r="AC319" s="94"/>
      <c r="AD319" s="94"/>
      <c r="AE319" s="94"/>
      <c r="AF319" s="94"/>
      <c r="AG319" s="94"/>
      <c r="AH319" s="263"/>
    </row>
    <row r="320" spans="1:34" ht="26.25" customHeight="1">
      <c r="A320" s="278" t="s">
        <v>645</v>
      </c>
      <c r="B320" s="346">
        <v>6000028366</v>
      </c>
      <c r="C320" s="278" t="s">
        <v>1335</v>
      </c>
      <c r="D320" s="335"/>
      <c r="E320" s="74"/>
      <c r="F320" s="74"/>
      <c r="G320" s="45"/>
      <c r="H320" s="119" t="s">
        <v>146</v>
      </c>
      <c r="I320" s="128">
        <v>45358</v>
      </c>
      <c r="J320" s="74">
        <v>227</v>
      </c>
      <c r="K320" s="74"/>
      <c r="L320" s="156">
        <v>45358</v>
      </c>
      <c r="M320" s="90">
        <v>2270</v>
      </c>
      <c r="N320" s="90"/>
      <c r="O320" s="90"/>
      <c r="P320" s="94" t="s">
        <v>1765</v>
      </c>
      <c r="Q320" s="94"/>
      <c r="R320" s="94"/>
      <c r="S320" s="74">
        <v>227</v>
      </c>
      <c r="T320" s="90" t="s">
        <v>1666</v>
      </c>
      <c r="U320" s="90"/>
      <c r="V320" s="90"/>
      <c r="W320" s="109">
        <v>45359</v>
      </c>
      <c r="X320" s="106">
        <v>227</v>
      </c>
      <c r="Y320" s="106">
        <v>2270</v>
      </c>
      <c r="Z320" s="106" t="s">
        <v>1609</v>
      </c>
      <c r="AA320" s="106">
        <f t="shared" si="18"/>
        <v>0</v>
      </c>
      <c r="AB320" s="106">
        <f t="shared" si="19"/>
        <v>0</v>
      </c>
      <c r="AC320" s="94"/>
      <c r="AD320" s="94"/>
      <c r="AE320" s="94"/>
      <c r="AF320" s="94"/>
      <c r="AG320" s="94"/>
      <c r="AH320" s="263"/>
    </row>
    <row r="321" spans="1:34" ht="26.25" customHeight="1">
      <c r="A321" s="278" t="s">
        <v>3114</v>
      </c>
      <c r="B321" s="346">
        <v>6000028764</v>
      </c>
      <c r="C321" s="278" t="s">
        <v>2062</v>
      </c>
      <c r="D321" s="335"/>
      <c r="E321" s="74"/>
      <c r="F321" s="74"/>
      <c r="G321" s="45"/>
      <c r="H321" s="119" t="s">
        <v>46</v>
      </c>
      <c r="I321" s="128">
        <v>45364</v>
      </c>
      <c r="J321" s="74">
        <v>265</v>
      </c>
      <c r="K321" s="74"/>
      <c r="L321" s="156">
        <v>45364</v>
      </c>
      <c r="M321" s="90">
        <v>5350</v>
      </c>
      <c r="N321" s="90"/>
      <c r="O321" s="90"/>
      <c r="P321" s="94" t="s">
        <v>1765</v>
      </c>
      <c r="Q321" s="94"/>
      <c r="R321" s="94"/>
      <c r="S321" s="74">
        <v>265</v>
      </c>
      <c r="T321" s="90" t="s">
        <v>1666</v>
      </c>
      <c r="U321" s="90"/>
      <c r="V321" s="90"/>
      <c r="W321" s="109">
        <v>45366</v>
      </c>
      <c r="X321" s="106">
        <v>265</v>
      </c>
      <c r="Y321" s="106">
        <v>5350</v>
      </c>
      <c r="Z321" s="106" t="s">
        <v>800</v>
      </c>
      <c r="AA321" s="106">
        <f t="shared" si="18"/>
        <v>0</v>
      </c>
      <c r="AB321" s="106">
        <f t="shared" si="19"/>
        <v>0</v>
      </c>
      <c r="AC321" s="94"/>
      <c r="AD321" s="94"/>
      <c r="AE321" s="94"/>
      <c r="AF321" s="94"/>
      <c r="AG321" s="94"/>
      <c r="AH321" s="263"/>
    </row>
    <row r="322" spans="1:34" ht="26.25" customHeight="1">
      <c r="A322" s="278"/>
      <c r="B322" s="346"/>
      <c r="C322" s="278"/>
      <c r="D322" s="335"/>
      <c r="E322" s="74"/>
      <c r="F322" s="74"/>
      <c r="G322" s="45"/>
      <c r="H322" s="119" t="s">
        <v>37</v>
      </c>
      <c r="I322" s="128">
        <v>45364</v>
      </c>
      <c r="J322" s="74">
        <v>318</v>
      </c>
      <c r="K322" s="74">
        <v>1</v>
      </c>
      <c r="L322" s="156">
        <v>45364</v>
      </c>
      <c r="M322" s="90">
        <v>6360</v>
      </c>
      <c r="N322" s="90"/>
      <c r="O322" s="90"/>
      <c r="P322" s="94" t="s">
        <v>1765</v>
      </c>
      <c r="Q322" s="94"/>
      <c r="R322" s="94"/>
      <c r="S322" s="74">
        <v>318</v>
      </c>
      <c r="T322" s="90" t="s">
        <v>1666</v>
      </c>
      <c r="U322" s="90"/>
      <c r="V322" s="90"/>
      <c r="W322" s="109">
        <v>45366</v>
      </c>
      <c r="X322" s="106">
        <v>318</v>
      </c>
      <c r="Y322" s="106">
        <v>6360</v>
      </c>
      <c r="Z322" s="106" t="s">
        <v>800</v>
      </c>
      <c r="AA322" s="106">
        <f t="shared" si="18"/>
        <v>0</v>
      </c>
      <c r="AB322" s="106">
        <f t="shared" si="19"/>
        <v>0</v>
      </c>
      <c r="AC322" s="94"/>
      <c r="AD322" s="94"/>
      <c r="AE322" s="94"/>
      <c r="AF322" s="94"/>
      <c r="AG322" s="94"/>
      <c r="AH322" s="263"/>
    </row>
    <row r="323" spans="1:34" ht="26.25" customHeight="1">
      <c r="A323" s="278" t="s">
        <v>296</v>
      </c>
      <c r="B323" s="346">
        <v>6000028997</v>
      </c>
      <c r="C323" s="278" t="s">
        <v>297</v>
      </c>
      <c r="D323" s="335"/>
      <c r="E323" s="74"/>
      <c r="F323" s="74"/>
      <c r="G323" s="45"/>
      <c r="H323" s="119" t="s">
        <v>243</v>
      </c>
      <c r="I323" s="128">
        <v>45364</v>
      </c>
      <c r="J323" s="74">
        <v>275</v>
      </c>
      <c r="K323" s="74"/>
      <c r="L323" s="156">
        <v>45364</v>
      </c>
      <c r="M323" s="90">
        <v>2750</v>
      </c>
      <c r="N323" s="90"/>
      <c r="O323" s="90"/>
      <c r="P323" s="94" t="s">
        <v>1765</v>
      </c>
      <c r="Q323" s="94"/>
      <c r="R323" s="94"/>
      <c r="S323" s="74">
        <v>275</v>
      </c>
      <c r="T323" s="90" t="s">
        <v>1666</v>
      </c>
      <c r="U323" s="90"/>
      <c r="V323" s="90"/>
      <c r="W323" s="109">
        <v>45365</v>
      </c>
      <c r="X323" s="106">
        <v>275</v>
      </c>
      <c r="Y323" s="106">
        <v>2750</v>
      </c>
      <c r="Z323" s="106" t="s">
        <v>800</v>
      </c>
      <c r="AA323" s="106">
        <f t="shared" si="18"/>
        <v>0</v>
      </c>
      <c r="AB323" s="106">
        <f t="shared" si="19"/>
        <v>0</v>
      </c>
      <c r="AC323" s="94"/>
      <c r="AD323" s="94"/>
      <c r="AE323" s="94"/>
      <c r="AF323" s="94"/>
      <c r="AG323" s="94"/>
      <c r="AH323" s="263"/>
    </row>
    <row r="324" spans="1:34" ht="26.25" customHeight="1">
      <c r="A324" s="278"/>
      <c r="B324" s="346"/>
      <c r="C324" s="278"/>
      <c r="D324" s="335"/>
      <c r="E324" s="74"/>
      <c r="F324" s="74"/>
      <c r="G324" s="45"/>
      <c r="H324" s="119" t="s">
        <v>37</v>
      </c>
      <c r="I324" s="128">
        <v>45364</v>
      </c>
      <c r="J324" s="74">
        <v>510</v>
      </c>
      <c r="K324" s="74"/>
      <c r="L324" s="156">
        <v>45364</v>
      </c>
      <c r="M324" s="90">
        <v>5100</v>
      </c>
      <c r="N324" s="90"/>
      <c r="O324" s="90"/>
      <c r="P324" s="94" t="s">
        <v>1765</v>
      </c>
      <c r="Q324" s="94"/>
      <c r="R324" s="94"/>
      <c r="S324" s="74">
        <v>510</v>
      </c>
      <c r="T324" s="90" t="s">
        <v>1666</v>
      </c>
      <c r="U324" s="90"/>
      <c r="V324" s="90"/>
      <c r="W324" s="109">
        <v>45365</v>
      </c>
      <c r="X324" s="106">
        <v>510</v>
      </c>
      <c r="Y324" s="106">
        <v>5100</v>
      </c>
      <c r="Z324" s="106" t="s">
        <v>800</v>
      </c>
      <c r="AA324" s="106">
        <f t="shared" si="18"/>
        <v>0</v>
      </c>
      <c r="AB324" s="106">
        <f t="shared" si="19"/>
        <v>0</v>
      </c>
      <c r="AC324" s="94"/>
      <c r="AD324" s="94"/>
      <c r="AE324" s="94"/>
      <c r="AF324" s="94"/>
      <c r="AG324" s="94"/>
      <c r="AH324" s="263"/>
    </row>
    <row r="325" spans="1:34" ht="26.25" customHeight="1">
      <c r="A325" s="278" t="s">
        <v>3115</v>
      </c>
      <c r="B325" s="346">
        <v>6000029035</v>
      </c>
      <c r="C325" s="278" t="s">
        <v>3116</v>
      </c>
      <c r="D325" s="335"/>
      <c r="E325" s="74"/>
      <c r="F325" s="74"/>
      <c r="G325" s="45"/>
      <c r="H325" s="119" t="s">
        <v>46</v>
      </c>
      <c r="I325" s="128">
        <v>45364</v>
      </c>
      <c r="J325" s="74">
        <v>100</v>
      </c>
      <c r="K325" s="74" t="s">
        <v>3118</v>
      </c>
      <c r="L325" s="156">
        <v>45364</v>
      </c>
      <c r="M325" s="90">
        <v>4000</v>
      </c>
      <c r="N325" s="90"/>
      <c r="O325" s="90"/>
      <c r="P325" s="94" t="s">
        <v>1765</v>
      </c>
      <c r="Q325" s="94"/>
      <c r="R325" s="94"/>
      <c r="S325" s="74">
        <v>100</v>
      </c>
      <c r="T325" s="90" t="s">
        <v>1666</v>
      </c>
      <c r="U325" s="90"/>
      <c r="V325" s="90"/>
      <c r="W325" s="109">
        <v>45367</v>
      </c>
      <c r="X325" s="106">
        <v>100</v>
      </c>
      <c r="Y325" s="106">
        <v>4000</v>
      </c>
      <c r="Z325" s="106" t="s">
        <v>800</v>
      </c>
      <c r="AA325" s="106">
        <f t="shared" si="18"/>
        <v>0</v>
      </c>
      <c r="AB325" s="106">
        <f t="shared" si="19"/>
        <v>0</v>
      </c>
      <c r="AC325" s="94"/>
      <c r="AD325" s="94"/>
      <c r="AE325" s="94"/>
      <c r="AF325" s="94"/>
      <c r="AG325" s="94"/>
      <c r="AH325" s="263"/>
    </row>
    <row r="326" spans="1:34" ht="26.25" customHeight="1">
      <c r="A326" s="278"/>
      <c r="B326" s="346"/>
      <c r="C326" s="278"/>
      <c r="D326" s="335"/>
      <c r="E326" s="74"/>
      <c r="F326" s="74"/>
      <c r="G326" s="45"/>
      <c r="H326" s="119" t="s">
        <v>37</v>
      </c>
      <c r="I326" s="128">
        <v>45364</v>
      </c>
      <c r="J326" s="74">
        <v>25</v>
      </c>
      <c r="K326" s="74" t="s">
        <v>3117</v>
      </c>
      <c r="L326" s="156">
        <v>45364</v>
      </c>
      <c r="M326" s="90">
        <v>1000</v>
      </c>
      <c r="N326" s="90"/>
      <c r="O326" s="90"/>
      <c r="P326" s="94" t="s">
        <v>1765</v>
      </c>
      <c r="Q326" s="94"/>
      <c r="R326" s="94"/>
      <c r="S326" s="74">
        <v>25</v>
      </c>
      <c r="T326" s="90" t="s">
        <v>1666</v>
      </c>
      <c r="U326" s="90"/>
      <c r="V326" s="90"/>
      <c r="W326" s="109">
        <v>45367</v>
      </c>
      <c r="X326" s="106">
        <v>25</v>
      </c>
      <c r="Y326" s="106">
        <v>1000</v>
      </c>
      <c r="Z326" s="106" t="s">
        <v>800</v>
      </c>
      <c r="AA326" s="106">
        <f t="shared" si="18"/>
        <v>0</v>
      </c>
      <c r="AB326" s="106">
        <f t="shared" si="19"/>
        <v>0</v>
      </c>
      <c r="AC326" s="94"/>
      <c r="AD326" s="94"/>
      <c r="AE326" s="94"/>
      <c r="AF326" s="94"/>
      <c r="AG326" s="94"/>
      <c r="AH326" s="263"/>
    </row>
    <row r="327" spans="1:34" ht="26.25" customHeight="1">
      <c r="A327" s="278" t="s">
        <v>254</v>
      </c>
      <c r="B327" s="346">
        <v>6000028927</v>
      </c>
      <c r="C327" s="278" t="s">
        <v>255</v>
      </c>
      <c r="D327" s="345" t="s">
        <v>3120</v>
      </c>
      <c r="E327" s="74"/>
      <c r="F327" s="74"/>
      <c r="G327" s="45"/>
      <c r="H327" s="119" t="s">
        <v>46</v>
      </c>
      <c r="I327" s="128">
        <v>45365</v>
      </c>
      <c r="J327" s="74">
        <v>50</v>
      </c>
      <c r="K327" s="74"/>
      <c r="L327" s="156">
        <v>45365</v>
      </c>
      <c r="M327" s="90">
        <v>1500</v>
      </c>
      <c r="N327" s="90"/>
      <c r="O327" s="90"/>
      <c r="P327" s="94" t="s">
        <v>1765</v>
      </c>
      <c r="Q327" s="94"/>
      <c r="R327" s="94"/>
      <c r="S327" s="74">
        <v>50</v>
      </c>
      <c r="T327" s="90" t="s">
        <v>1666</v>
      </c>
      <c r="U327" s="90"/>
      <c r="V327" s="90"/>
      <c r="W327" s="109">
        <v>45365</v>
      </c>
      <c r="X327" s="106">
        <v>50</v>
      </c>
      <c r="Y327" s="106">
        <v>1500</v>
      </c>
      <c r="Z327" s="106" t="s">
        <v>2991</v>
      </c>
      <c r="AA327" s="106">
        <f t="shared" si="18"/>
        <v>0</v>
      </c>
      <c r="AB327" s="106">
        <f t="shared" si="19"/>
        <v>0</v>
      </c>
      <c r="AC327" s="94"/>
      <c r="AD327" s="94"/>
      <c r="AE327" s="94"/>
      <c r="AF327" s="94"/>
      <c r="AG327" s="94"/>
      <c r="AH327" s="263"/>
    </row>
    <row r="328" spans="1:34" ht="26.25" customHeight="1">
      <c r="A328" s="278" t="s">
        <v>254</v>
      </c>
      <c r="B328" s="346">
        <v>6000028934</v>
      </c>
      <c r="C328" s="278" t="s">
        <v>255</v>
      </c>
      <c r="D328" s="345" t="s">
        <v>3119</v>
      </c>
      <c r="E328" s="74"/>
      <c r="F328" s="74"/>
      <c r="G328" s="45"/>
      <c r="H328" s="119" t="s">
        <v>46</v>
      </c>
      <c r="I328" s="128">
        <v>45365</v>
      </c>
      <c r="J328" s="74">
        <v>220</v>
      </c>
      <c r="K328" s="74"/>
      <c r="L328" s="156">
        <v>45365</v>
      </c>
      <c r="M328" s="90">
        <v>6600</v>
      </c>
      <c r="N328" s="90"/>
      <c r="O328" s="90"/>
      <c r="P328" s="94" t="s">
        <v>1765</v>
      </c>
      <c r="Q328" s="94"/>
      <c r="R328" s="94"/>
      <c r="S328" s="74">
        <v>220</v>
      </c>
      <c r="T328" s="90" t="s">
        <v>1666</v>
      </c>
      <c r="U328" s="90"/>
      <c r="V328" s="90"/>
      <c r="W328" s="109">
        <v>45364</v>
      </c>
      <c r="X328" s="106">
        <v>220</v>
      </c>
      <c r="Y328" s="106">
        <v>6600</v>
      </c>
      <c r="Z328" s="106" t="s">
        <v>2991</v>
      </c>
      <c r="AA328" s="106">
        <f t="shared" si="18"/>
        <v>0</v>
      </c>
      <c r="AB328" s="106">
        <f t="shared" si="19"/>
        <v>0</v>
      </c>
      <c r="AC328" s="94"/>
      <c r="AD328" s="94"/>
      <c r="AE328" s="94"/>
      <c r="AF328" s="94"/>
      <c r="AG328" s="94"/>
      <c r="AH328" s="263"/>
    </row>
    <row r="329" spans="1:34" ht="26.25" customHeight="1">
      <c r="A329" s="278"/>
      <c r="B329" s="346"/>
      <c r="C329" s="278"/>
      <c r="D329" s="345" t="s">
        <v>3119</v>
      </c>
      <c r="E329" s="74"/>
      <c r="F329" s="74"/>
      <c r="G329" s="45"/>
      <c r="H329" s="119" t="s">
        <v>37</v>
      </c>
      <c r="I329" s="128">
        <v>45366</v>
      </c>
      <c r="J329" s="74">
        <v>100</v>
      </c>
      <c r="K329" s="74"/>
      <c r="L329" s="156">
        <v>45366</v>
      </c>
      <c r="M329" s="90">
        <v>3000</v>
      </c>
      <c r="N329" s="90"/>
      <c r="O329" s="90"/>
      <c r="P329" s="94" t="s">
        <v>1765</v>
      </c>
      <c r="Q329" s="94"/>
      <c r="R329" s="94"/>
      <c r="S329" s="74">
        <v>100</v>
      </c>
      <c r="T329" s="90" t="s">
        <v>1666</v>
      </c>
      <c r="U329" s="90"/>
      <c r="V329" s="90"/>
      <c r="W329" s="109">
        <v>45369</v>
      </c>
      <c r="X329" s="106">
        <v>100</v>
      </c>
      <c r="Y329" s="106">
        <v>3000</v>
      </c>
      <c r="Z329" s="106" t="s">
        <v>800</v>
      </c>
      <c r="AA329" s="106">
        <f t="shared" si="18"/>
        <v>0</v>
      </c>
      <c r="AB329" s="106">
        <f t="shared" si="19"/>
        <v>0</v>
      </c>
      <c r="AC329" s="94"/>
      <c r="AD329" s="94"/>
      <c r="AE329" s="94"/>
      <c r="AF329" s="94"/>
      <c r="AG329" s="94"/>
      <c r="AH329" s="263"/>
    </row>
    <row r="330" spans="1:34" ht="26.25" customHeight="1">
      <c r="A330" s="278"/>
      <c r="B330" s="346"/>
      <c r="C330" s="278"/>
      <c r="D330" s="345" t="s">
        <v>3144</v>
      </c>
      <c r="E330" s="74"/>
      <c r="F330" s="74"/>
      <c r="G330" s="45"/>
      <c r="H330" s="119" t="s">
        <v>37</v>
      </c>
      <c r="I330" s="128">
        <v>45366</v>
      </c>
      <c r="J330" s="74">
        <v>50</v>
      </c>
      <c r="K330" s="74"/>
      <c r="L330" s="156">
        <v>45366</v>
      </c>
      <c r="M330" s="90">
        <v>1500</v>
      </c>
      <c r="N330" s="90"/>
      <c r="O330" s="90"/>
      <c r="P330" s="94" t="s">
        <v>1765</v>
      </c>
      <c r="Q330" s="94"/>
      <c r="R330" s="94"/>
      <c r="S330" s="74">
        <v>50</v>
      </c>
      <c r="T330" s="90" t="s">
        <v>1666</v>
      </c>
      <c r="U330" s="90"/>
      <c r="V330" s="90"/>
      <c r="W330" s="109">
        <v>45369</v>
      </c>
      <c r="X330" s="106">
        <v>50</v>
      </c>
      <c r="Y330" s="106">
        <v>1500</v>
      </c>
      <c r="Z330" s="106" t="s">
        <v>800</v>
      </c>
      <c r="AA330" s="106">
        <f t="shared" si="18"/>
        <v>0</v>
      </c>
      <c r="AB330" s="106">
        <f t="shared" si="19"/>
        <v>0</v>
      </c>
      <c r="AC330" s="94"/>
      <c r="AD330" s="94"/>
      <c r="AE330" s="94"/>
      <c r="AF330" s="94"/>
      <c r="AG330" s="94"/>
      <c r="AH330" s="263"/>
    </row>
    <row r="331" spans="1:34" ht="26.25" customHeight="1">
      <c r="A331" s="278" t="s">
        <v>254</v>
      </c>
      <c r="B331" s="346">
        <v>6000028936</v>
      </c>
      <c r="C331" s="278" t="s">
        <v>255</v>
      </c>
      <c r="D331" s="345" t="s">
        <v>3120</v>
      </c>
      <c r="E331" s="74"/>
      <c r="F331" s="74"/>
      <c r="G331" s="45"/>
      <c r="H331" s="119" t="s">
        <v>27</v>
      </c>
      <c r="I331" s="128">
        <v>45366</v>
      </c>
      <c r="J331" s="74">
        <v>30</v>
      </c>
      <c r="K331" s="74"/>
      <c r="L331" s="156">
        <v>45366</v>
      </c>
      <c r="M331" s="90">
        <v>900</v>
      </c>
      <c r="N331" s="90"/>
      <c r="O331" s="90"/>
      <c r="P331" s="94" t="s">
        <v>1765</v>
      </c>
      <c r="Q331" s="94"/>
      <c r="R331" s="94"/>
      <c r="S331" s="74">
        <v>30</v>
      </c>
      <c r="T331" s="90" t="s">
        <v>1666</v>
      </c>
      <c r="U331" s="90"/>
      <c r="V331" s="90"/>
      <c r="W331" s="109">
        <v>45369</v>
      </c>
      <c r="X331" s="106">
        <v>30</v>
      </c>
      <c r="Y331" s="106">
        <v>900</v>
      </c>
      <c r="Z331" s="106" t="s">
        <v>800</v>
      </c>
      <c r="AA331" s="106">
        <f t="shared" si="18"/>
        <v>0</v>
      </c>
      <c r="AB331" s="106">
        <f t="shared" si="19"/>
        <v>0</v>
      </c>
      <c r="AC331" s="94"/>
      <c r="AD331" s="94"/>
      <c r="AE331" s="94"/>
      <c r="AF331" s="94"/>
      <c r="AG331" s="94"/>
      <c r="AH331" s="263"/>
    </row>
    <row r="332" spans="1:34" ht="26.25" customHeight="1">
      <c r="A332" s="278"/>
      <c r="B332" s="346"/>
      <c r="C332" s="278"/>
      <c r="D332" s="345" t="s">
        <v>3120</v>
      </c>
      <c r="E332" s="74"/>
      <c r="F332" s="74"/>
      <c r="G332" s="45"/>
      <c r="H332" s="119" t="s">
        <v>46</v>
      </c>
      <c r="I332" s="128">
        <v>45366</v>
      </c>
      <c r="J332" s="74">
        <v>50</v>
      </c>
      <c r="K332" s="74"/>
      <c r="L332" s="156">
        <v>45366</v>
      </c>
      <c r="M332" s="90">
        <v>1500</v>
      </c>
      <c r="N332" s="90"/>
      <c r="O332" s="90"/>
      <c r="P332" s="94" t="s">
        <v>1765</v>
      </c>
      <c r="Q332" s="94"/>
      <c r="R332" s="94"/>
      <c r="S332" s="74">
        <v>50</v>
      </c>
      <c r="T332" s="90" t="s">
        <v>1666</v>
      </c>
      <c r="U332" s="90"/>
      <c r="V332" s="90"/>
      <c r="W332" s="109">
        <v>45366</v>
      </c>
      <c r="X332" s="106">
        <v>50</v>
      </c>
      <c r="Y332" s="106">
        <v>1500</v>
      </c>
      <c r="Z332" s="106" t="s">
        <v>2991</v>
      </c>
      <c r="AA332" s="106">
        <f t="shared" si="18"/>
        <v>0</v>
      </c>
      <c r="AB332" s="106">
        <f t="shared" si="19"/>
        <v>0</v>
      </c>
      <c r="AC332" s="94"/>
      <c r="AD332" s="94"/>
      <c r="AE332" s="94"/>
      <c r="AF332" s="94"/>
      <c r="AG332" s="94"/>
      <c r="AH332" s="263"/>
    </row>
    <row r="333" spans="1:34" ht="26.25" customHeight="1">
      <c r="A333" s="278"/>
      <c r="B333" s="346"/>
      <c r="C333" s="278"/>
      <c r="D333" s="345" t="s">
        <v>3120</v>
      </c>
      <c r="E333" s="74"/>
      <c r="F333" s="74"/>
      <c r="G333" s="45"/>
      <c r="H333" s="119" t="s">
        <v>37</v>
      </c>
      <c r="I333" s="128">
        <v>45366</v>
      </c>
      <c r="J333" s="74">
        <v>20</v>
      </c>
      <c r="K333" s="74"/>
      <c r="L333" s="156">
        <v>45366</v>
      </c>
      <c r="M333" s="90">
        <v>600</v>
      </c>
      <c r="N333" s="90"/>
      <c r="O333" s="90"/>
      <c r="P333" s="94" t="s">
        <v>1765</v>
      </c>
      <c r="Q333" s="94"/>
      <c r="R333" s="94"/>
      <c r="S333" s="74">
        <v>20</v>
      </c>
      <c r="T333" s="90" t="s">
        <v>1666</v>
      </c>
      <c r="U333" s="90"/>
      <c r="V333" s="90"/>
      <c r="W333" s="109">
        <v>45369</v>
      </c>
      <c r="X333" s="106">
        <v>20</v>
      </c>
      <c r="Y333" s="106">
        <v>600</v>
      </c>
      <c r="Z333" s="106" t="s">
        <v>800</v>
      </c>
      <c r="AA333" s="106">
        <f t="shared" si="18"/>
        <v>0</v>
      </c>
      <c r="AB333" s="106">
        <f t="shared" si="19"/>
        <v>0</v>
      </c>
      <c r="AC333" s="94"/>
      <c r="AD333" s="94"/>
      <c r="AE333" s="94"/>
      <c r="AF333" s="94"/>
      <c r="AG333" s="94"/>
      <c r="AH333" s="263"/>
    </row>
    <row r="334" spans="1:34" ht="26.25" customHeight="1">
      <c r="A334" s="278" t="s">
        <v>3146</v>
      </c>
      <c r="B334" s="346">
        <v>6000029047</v>
      </c>
      <c r="C334" s="278" t="s">
        <v>3145</v>
      </c>
      <c r="D334" s="345"/>
      <c r="E334" s="74"/>
      <c r="F334" s="74"/>
      <c r="G334" s="45"/>
      <c r="H334" s="119" t="s">
        <v>37</v>
      </c>
      <c r="I334" s="128">
        <v>45379</v>
      </c>
      <c r="J334" s="152">
        <v>199</v>
      </c>
      <c r="K334" s="74"/>
      <c r="L334" s="156">
        <v>45366</v>
      </c>
      <c r="M334" s="90">
        <v>2000</v>
      </c>
      <c r="N334" s="90"/>
      <c r="O334" s="90"/>
      <c r="P334" s="94" t="s">
        <v>1558</v>
      </c>
      <c r="Q334" s="94"/>
      <c r="R334" s="94"/>
      <c r="S334" s="94"/>
      <c r="T334" s="90" t="s">
        <v>1666</v>
      </c>
      <c r="U334" s="90"/>
      <c r="V334" s="90"/>
      <c r="W334" s="109">
        <v>45380</v>
      </c>
      <c r="X334" s="106">
        <v>199</v>
      </c>
      <c r="Y334" s="106">
        <v>2000</v>
      </c>
      <c r="Z334" s="106"/>
      <c r="AA334" s="106">
        <f t="shared" si="18"/>
        <v>0</v>
      </c>
      <c r="AB334" s="106">
        <f t="shared" si="19"/>
        <v>0</v>
      </c>
      <c r="AC334" s="94" t="s">
        <v>3222</v>
      </c>
      <c r="AD334" s="94"/>
      <c r="AE334" s="94"/>
      <c r="AF334" s="94"/>
      <c r="AG334" s="94"/>
      <c r="AH334" s="263"/>
    </row>
    <row r="335" spans="1:34" ht="26.25" customHeight="1">
      <c r="A335" s="278" t="s">
        <v>240</v>
      </c>
      <c r="B335" s="346">
        <v>6000029066</v>
      </c>
      <c r="C335" s="278" t="s">
        <v>3004</v>
      </c>
      <c r="D335" s="345"/>
      <c r="E335" s="74"/>
      <c r="F335" s="74"/>
      <c r="G335" s="45"/>
      <c r="H335" s="119" t="s">
        <v>37</v>
      </c>
      <c r="I335" s="128">
        <v>45366</v>
      </c>
      <c r="J335" s="74">
        <v>70</v>
      </c>
      <c r="K335" s="74" t="s">
        <v>1813</v>
      </c>
      <c r="L335" s="156">
        <v>45366</v>
      </c>
      <c r="M335" s="90">
        <v>1400</v>
      </c>
      <c r="N335" s="90" t="s">
        <v>1813</v>
      </c>
      <c r="O335" s="90"/>
      <c r="P335" s="94" t="s">
        <v>1765</v>
      </c>
      <c r="Q335" s="94"/>
      <c r="R335" s="94"/>
      <c r="S335" s="94"/>
      <c r="T335" s="90" t="s">
        <v>1666</v>
      </c>
      <c r="U335" s="90"/>
      <c r="V335" s="90"/>
      <c r="W335" s="109">
        <v>45385</v>
      </c>
      <c r="X335" s="106">
        <v>70</v>
      </c>
      <c r="Y335" s="106">
        <v>1400</v>
      </c>
      <c r="Z335" s="106"/>
      <c r="AA335" s="106">
        <f t="shared" si="18"/>
        <v>0</v>
      </c>
      <c r="AB335" s="106">
        <f t="shared" si="19"/>
        <v>0</v>
      </c>
      <c r="AC335" s="94"/>
      <c r="AD335" s="94"/>
      <c r="AE335" s="94"/>
      <c r="AF335" s="94"/>
      <c r="AG335" s="94"/>
      <c r="AH335" s="263"/>
    </row>
    <row r="336" spans="1:34" ht="26.25" customHeight="1">
      <c r="A336" s="278" t="s">
        <v>865</v>
      </c>
      <c r="B336" s="346">
        <v>6000028773</v>
      </c>
      <c r="C336" s="278" t="s">
        <v>866</v>
      </c>
      <c r="D336" s="345"/>
      <c r="E336" s="74"/>
      <c r="F336" s="74"/>
      <c r="G336" s="45"/>
      <c r="H336" s="119" t="s">
        <v>37</v>
      </c>
      <c r="I336" s="128">
        <v>45366</v>
      </c>
      <c r="J336" s="74">
        <v>100</v>
      </c>
      <c r="K336" s="74"/>
      <c r="L336" s="156">
        <v>45366</v>
      </c>
      <c r="M336" s="90">
        <v>2000</v>
      </c>
      <c r="N336" s="90"/>
      <c r="O336" s="90"/>
      <c r="P336" s="94" t="s">
        <v>1765</v>
      </c>
      <c r="Q336" s="94"/>
      <c r="R336" s="94"/>
      <c r="S336" s="74">
        <v>100</v>
      </c>
      <c r="T336" s="90" t="s">
        <v>1666</v>
      </c>
      <c r="U336" s="90"/>
      <c r="V336" s="90"/>
      <c r="W336" s="109">
        <v>45380</v>
      </c>
      <c r="X336" s="106">
        <v>100</v>
      </c>
      <c r="Y336" s="106">
        <v>2000</v>
      </c>
      <c r="Z336" s="106" t="s">
        <v>800</v>
      </c>
      <c r="AA336" s="106">
        <f t="shared" si="18"/>
        <v>0</v>
      </c>
      <c r="AB336" s="106">
        <f t="shared" si="19"/>
        <v>0</v>
      </c>
      <c r="AC336" s="94"/>
      <c r="AD336" s="94"/>
      <c r="AE336" s="94"/>
      <c r="AF336" s="94"/>
      <c r="AG336" s="94"/>
      <c r="AH336" s="263"/>
    </row>
    <row r="337" spans="1:34" ht="26.25" customHeight="1">
      <c r="A337" s="90" t="s">
        <v>240</v>
      </c>
      <c r="B337" s="88">
        <v>6000029190</v>
      </c>
      <c r="C337" s="291" t="s">
        <v>1385</v>
      </c>
      <c r="D337" s="192"/>
      <c r="E337" s="94"/>
      <c r="F337" s="74"/>
      <c r="G337" s="45"/>
      <c r="H337" s="119" t="s">
        <v>27</v>
      </c>
      <c r="I337" s="128">
        <v>45371</v>
      </c>
      <c r="J337" s="158">
        <v>100</v>
      </c>
      <c r="K337" s="74"/>
      <c r="L337" s="156">
        <v>45371</v>
      </c>
      <c r="M337" s="90">
        <v>2000</v>
      </c>
      <c r="N337" s="90"/>
      <c r="O337" s="90" t="s">
        <v>812</v>
      </c>
      <c r="P337" s="94" t="s">
        <v>1765</v>
      </c>
      <c r="Q337" s="94"/>
      <c r="R337" s="94"/>
      <c r="S337" s="158">
        <v>100</v>
      </c>
      <c r="T337" s="90" t="s">
        <v>1666</v>
      </c>
      <c r="U337" s="90"/>
      <c r="V337" s="90"/>
      <c r="W337" s="109">
        <v>45387</v>
      </c>
      <c r="X337" s="106">
        <v>100</v>
      </c>
      <c r="Y337" s="106">
        <v>2000</v>
      </c>
      <c r="Z337" s="106" t="s">
        <v>754</v>
      </c>
      <c r="AA337" s="106">
        <f t="shared" si="18"/>
        <v>0</v>
      </c>
      <c r="AB337" s="106">
        <f t="shared" si="19"/>
        <v>0</v>
      </c>
      <c r="AC337" s="94"/>
      <c r="AD337" s="94"/>
      <c r="AE337" s="94"/>
      <c r="AF337" s="94"/>
      <c r="AG337" s="94"/>
      <c r="AH337" s="263"/>
    </row>
    <row r="338" spans="1:34" ht="26.25" customHeight="1">
      <c r="A338" s="90"/>
      <c r="B338" s="88"/>
      <c r="C338" s="192"/>
      <c r="D338" s="192"/>
      <c r="E338" s="94"/>
      <c r="F338" s="74"/>
      <c r="G338" s="45"/>
      <c r="H338" s="119" t="s">
        <v>46</v>
      </c>
      <c r="I338" s="128">
        <v>45371</v>
      </c>
      <c r="J338" s="158">
        <v>100</v>
      </c>
      <c r="K338" s="74"/>
      <c r="L338" s="156">
        <v>45371</v>
      </c>
      <c r="M338" s="90">
        <v>2000</v>
      </c>
      <c r="N338" s="90"/>
      <c r="O338" s="90" t="s">
        <v>812</v>
      </c>
      <c r="P338" s="94" t="s">
        <v>1765</v>
      </c>
      <c r="Q338" s="94"/>
      <c r="R338" s="94"/>
      <c r="S338" s="158">
        <v>100</v>
      </c>
      <c r="T338" s="90" t="s">
        <v>1666</v>
      </c>
      <c r="U338" s="90"/>
      <c r="V338" s="90"/>
      <c r="W338" s="109">
        <v>45387</v>
      </c>
      <c r="X338" s="106">
        <v>100</v>
      </c>
      <c r="Y338" s="106">
        <v>2000</v>
      </c>
      <c r="Z338" s="106" t="s">
        <v>754</v>
      </c>
      <c r="AA338" s="106">
        <f t="shared" si="18"/>
        <v>0</v>
      </c>
      <c r="AB338" s="106">
        <f t="shared" si="19"/>
        <v>0</v>
      </c>
      <c r="AC338" s="94"/>
      <c r="AD338" s="94"/>
      <c r="AE338" s="94"/>
      <c r="AF338" s="94"/>
      <c r="AG338" s="94"/>
      <c r="AH338" s="263"/>
    </row>
    <row r="339" spans="1:34" ht="26.25" customHeight="1">
      <c r="A339" s="278" t="s">
        <v>865</v>
      </c>
      <c r="B339" s="88">
        <v>6000029274</v>
      </c>
      <c r="C339" s="94" t="s">
        <v>2246</v>
      </c>
      <c r="D339" s="95"/>
      <c r="E339" s="94"/>
      <c r="F339" s="74"/>
      <c r="G339" s="45"/>
      <c r="H339" s="119" t="s">
        <v>46</v>
      </c>
      <c r="I339" s="128">
        <v>45371</v>
      </c>
      <c r="J339" s="158">
        <v>120</v>
      </c>
      <c r="K339" s="74"/>
      <c r="L339" s="156">
        <v>45371</v>
      </c>
      <c r="M339" s="90">
        <v>3600</v>
      </c>
      <c r="N339" s="90"/>
      <c r="O339" s="90"/>
      <c r="P339" s="94" t="s">
        <v>1765</v>
      </c>
      <c r="Q339" s="94"/>
      <c r="R339" s="94"/>
      <c r="S339" s="94"/>
      <c r="T339" s="90" t="s">
        <v>1666</v>
      </c>
      <c r="U339" s="90"/>
      <c r="V339" s="90"/>
      <c r="W339" s="109">
        <v>45374</v>
      </c>
      <c r="X339" s="106">
        <v>120</v>
      </c>
      <c r="Y339" s="106">
        <v>3600</v>
      </c>
      <c r="Z339" s="106" t="s">
        <v>2991</v>
      </c>
      <c r="AA339" s="106">
        <f t="shared" si="18"/>
        <v>0</v>
      </c>
      <c r="AB339" s="106">
        <f t="shared" si="19"/>
        <v>0</v>
      </c>
      <c r="AC339" s="94"/>
      <c r="AD339" s="94"/>
      <c r="AE339" s="94"/>
      <c r="AF339" s="94"/>
      <c r="AG339" s="94"/>
      <c r="AH339" s="263"/>
    </row>
    <row r="340" spans="1:34" ht="26.25" customHeight="1">
      <c r="A340" s="90" t="s">
        <v>382</v>
      </c>
      <c r="B340" s="88">
        <v>6000029583</v>
      </c>
      <c r="C340" s="94" t="s">
        <v>404</v>
      </c>
      <c r="D340" s="95"/>
      <c r="E340" s="94"/>
      <c r="F340" s="74"/>
      <c r="G340" s="45"/>
      <c r="H340" s="119" t="s">
        <v>46</v>
      </c>
      <c r="I340" s="128">
        <v>45371</v>
      </c>
      <c r="J340" s="158">
        <v>440</v>
      </c>
      <c r="K340" s="74"/>
      <c r="L340" s="156">
        <v>45371</v>
      </c>
      <c r="M340" s="90">
        <v>4400</v>
      </c>
      <c r="N340" s="90">
        <v>44</v>
      </c>
      <c r="O340" s="90" t="s">
        <v>874</v>
      </c>
      <c r="P340" s="94" t="s">
        <v>1765</v>
      </c>
      <c r="Q340" s="94"/>
      <c r="R340" s="94"/>
      <c r="S340" s="158">
        <v>440</v>
      </c>
      <c r="T340" s="90" t="s">
        <v>794</v>
      </c>
      <c r="U340" s="90">
        <v>8500069408</v>
      </c>
      <c r="V340" s="90" t="s">
        <v>3175</v>
      </c>
      <c r="W340" s="109" t="s">
        <v>3223</v>
      </c>
      <c r="X340" s="106">
        <f>360+80</f>
        <v>440</v>
      </c>
      <c r="Y340" s="106">
        <f>3600+800</f>
        <v>4400</v>
      </c>
      <c r="Z340" s="106" t="s">
        <v>3224</v>
      </c>
      <c r="AA340" s="106">
        <f t="shared" si="18"/>
        <v>0</v>
      </c>
      <c r="AB340" s="106">
        <f t="shared" si="19"/>
        <v>0</v>
      </c>
      <c r="AC340" s="94"/>
      <c r="AD340" s="94"/>
      <c r="AE340" s="94"/>
      <c r="AF340" s="94"/>
      <c r="AG340" s="94"/>
      <c r="AH340" s="263"/>
    </row>
    <row r="341" spans="1:34" ht="26.25" customHeight="1">
      <c r="A341" s="90" t="s">
        <v>645</v>
      </c>
      <c r="B341" s="88">
        <v>6000028544</v>
      </c>
      <c r="C341" s="94" t="s">
        <v>1874</v>
      </c>
      <c r="D341" s="95"/>
      <c r="E341" s="94"/>
      <c r="F341" s="74"/>
      <c r="G341" s="45"/>
      <c r="H341" s="119" t="s">
        <v>37</v>
      </c>
      <c r="I341" s="128" t="s">
        <v>3202</v>
      </c>
      <c r="J341" s="158">
        <f>450+120</f>
        <v>570</v>
      </c>
      <c r="K341" s="74"/>
      <c r="L341" s="156" t="s">
        <v>3203</v>
      </c>
      <c r="M341" s="90">
        <f>4500+1200</f>
        <v>5700</v>
      </c>
      <c r="N341" s="90"/>
      <c r="O341" s="90" t="s">
        <v>893</v>
      </c>
      <c r="P341" s="94" t="s">
        <v>1765</v>
      </c>
      <c r="Q341" s="94"/>
      <c r="R341" s="94"/>
      <c r="S341" s="158">
        <f>450+120</f>
        <v>570</v>
      </c>
      <c r="T341" s="90" t="s">
        <v>1666</v>
      </c>
      <c r="U341" s="90"/>
      <c r="V341" s="90"/>
      <c r="W341" s="109" t="s">
        <v>3212</v>
      </c>
      <c r="X341" s="106">
        <f>450+120</f>
        <v>570</v>
      </c>
      <c r="Y341" s="106">
        <f>4500+1200</f>
        <v>5700</v>
      </c>
      <c r="Z341" s="106" t="s">
        <v>3213</v>
      </c>
      <c r="AA341" s="106">
        <f t="shared" si="18"/>
        <v>0</v>
      </c>
      <c r="AB341" s="106">
        <f t="shared" si="19"/>
        <v>0</v>
      </c>
      <c r="AC341" s="94"/>
      <c r="AD341" s="94"/>
      <c r="AE341" s="94"/>
      <c r="AF341" s="94"/>
      <c r="AG341" s="94"/>
      <c r="AH341" s="263"/>
    </row>
    <row r="342" spans="1:34" ht="26.25" customHeight="1">
      <c r="A342" s="90" t="s">
        <v>804</v>
      </c>
      <c r="B342" s="88">
        <v>6000028640</v>
      </c>
      <c r="C342" s="94" t="s">
        <v>2346</v>
      </c>
      <c r="D342" s="95"/>
      <c r="E342" s="94"/>
      <c r="F342" s="74"/>
      <c r="G342" s="45"/>
      <c r="H342" s="119" t="s">
        <v>146</v>
      </c>
      <c r="I342" s="128">
        <v>45371</v>
      </c>
      <c r="J342" s="158">
        <v>260</v>
      </c>
      <c r="K342" s="74"/>
      <c r="L342" s="156">
        <v>45377</v>
      </c>
      <c r="M342" s="90">
        <v>2600</v>
      </c>
      <c r="N342" s="90"/>
      <c r="O342" s="90"/>
      <c r="P342" s="94" t="s">
        <v>1765</v>
      </c>
      <c r="Q342" s="94"/>
      <c r="R342" s="94"/>
      <c r="S342" s="158">
        <v>260</v>
      </c>
      <c r="T342" s="90"/>
      <c r="U342" s="90"/>
      <c r="V342" s="90"/>
      <c r="W342" s="109">
        <v>45407</v>
      </c>
      <c r="X342" s="106">
        <v>259</v>
      </c>
      <c r="Y342" s="106">
        <v>2590</v>
      </c>
      <c r="Z342" s="106" t="s">
        <v>759</v>
      </c>
      <c r="AA342" s="106">
        <f t="shared" si="18"/>
        <v>1</v>
      </c>
      <c r="AB342" s="106">
        <f t="shared" si="19"/>
        <v>10</v>
      </c>
      <c r="AC342" s="94"/>
      <c r="AD342" s="94"/>
      <c r="AE342" s="94"/>
      <c r="AF342" s="94"/>
      <c r="AG342" s="94"/>
      <c r="AH342" s="263"/>
    </row>
    <row r="343" spans="1:34" ht="26.25" customHeight="1">
      <c r="A343" s="90" t="s">
        <v>3001</v>
      </c>
      <c r="B343" s="88">
        <v>6000029166</v>
      </c>
      <c r="C343" s="192" t="s">
        <v>2998</v>
      </c>
      <c r="D343" s="192"/>
      <c r="E343" s="94"/>
      <c r="F343" s="74"/>
      <c r="G343" s="45"/>
      <c r="H343" s="119" t="s">
        <v>146</v>
      </c>
      <c r="I343" s="128">
        <v>45371</v>
      </c>
      <c r="J343" s="158">
        <v>1000</v>
      </c>
      <c r="K343" s="74"/>
      <c r="L343" s="156">
        <v>45371</v>
      </c>
      <c r="M343" s="90">
        <v>10000</v>
      </c>
      <c r="N343" s="90"/>
      <c r="O343" s="90"/>
      <c r="P343" s="94" t="s">
        <v>1765</v>
      </c>
      <c r="Q343" s="94"/>
      <c r="R343" s="94"/>
      <c r="S343" s="94"/>
      <c r="T343" s="90" t="s">
        <v>1666</v>
      </c>
      <c r="U343" s="90"/>
      <c r="V343" s="90"/>
      <c r="W343" s="109">
        <v>45404</v>
      </c>
      <c r="X343" s="106">
        <v>1000</v>
      </c>
      <c r="Y343" s="106">
        <v>10000</v>
      </c>
      <c r="Z343" s="106" t="s">
        <v>759</v>
      </c>
      <c r="AA343" s="106">
        <f t="shared" ref="AA343:AA363" si="20">J343-X343</f>
        <v>0</v>
      </c>
      <c r="AB343" s="106">
        <f t="shared" ref="AB343:AB363" si="21">M343-Y343</f>
        <v>0</v>
      </c>
      <c r="AC343" s="94"/>
      <c r="AD343" s="94"/>
      <c r="AE343" s="94"/>
      <c r="AF343" s="94"/>
      <c r="AG343" s="94"/>
      <c r="AH343" s="263"/>
    </row>
    <row r="344" spans="1:34" ht="26.25" customHeight="1">
      <c r="A344" s="90" t="s">
        <v>1610</v>
      </c>
      <c r="B344" s="88">
        <v>6000029339</v>
      </c>
      <c r="C344" s="192" t="s">
        <v>1752</v>
      </c>
      <c r="D344" s="2" t="s">
        <v>3206</v>
      </c>
      <c r="E344" s="94"/>
      <c r="F344" s="74"/>
      <c r="G344" s="45"/>
      <c r="H344" s="119" t="s">
        <v>37</v>
      </c>
      <c r="I344" s="128">
        <v>45377</v>
      </c>
      <c r="J344" s="158">
        <v>1000</v>
      </c>
      <c r="K344" s="74"/>
      <c r="L344" s="156">
        <v>45377</v>
      </c>
      <c r="M344" s="90">
        <v>4000</v>
      </c>
      <c r="N344" s="90"/>
      <c r="O344" s="90"/>
      <c r="P344" s="94" t="s">
        <v>1765</v>
      </c>
      <c r="Q344" s="94"/>
      <c r="R344" s="94"/>
      <c r="S344" s="158">
        <v>1000</v>
      </c>
      <c r="T344" s="90" t="s">
        <v>152</v>
      </c>
      <c r="U344" s="90"/>
      <c r="V344" s="90"/>
      <c r="W344" s="109">
        <v>45377</v>
      </c>
      <c r="X344" s="106">
        <v>1000</v>
      </c>
      <c r="Y344" s="106">
        <v>4000</v>
      </c>
      <c r="Z344" s="106" t="s">
        <v>870</v>
      </c>
      <c r="AA344" s="106">
        <f t="shared" si="20"/>
        <v>0</v>
      </c>
      <c r="AB344" s="106">
        <f t="shared" si="21"/>
        <v>0</v>
      </c>
      <c r="AC344" s="94"/>
      <c r="AD344" s="94"/>
      <c r="AE344" s="94"/>
      <c r="AF344" s="94"/>
      <c r="AG344" s="94"/>
      <c r="AH344" s="263"/>
    </row>
    <row r="345" spans="1:34" ht="26.25" customHeight="1">
      <c r="A345" s="90" t="s">
        <v>652</v>
      </c>
      <c r="B345" s="88">
        <v>6000029708</v>
      </c>
      <c r="C345" s="192" t="s">
        <v>2060</v>
      </c>
      <c r="D345" s="2">
        <v>2442640</v>
      </c>
      <c r="E345" s="94">
        <v>10</v>
      </c>
      <c r="F345" s="74">
        <v>360</v>
      </c>
      <c r="G345" s="45">
        <f>F345*E345</f>
        <v>3600</v>
      </c>
      <c r="H345" s="119" t="s">
        <v>146</v>
      </c>
      <c r="I345" s="128">
        <v>45379</v>
      </c>
      <c r="J345" s="74">
        <v>360</v>
      </c>
      <c r="K345" s="74">
        <v>7</v>
      </c>
      <c r="L345" s="156">
        <v>45379</v>
      </c>
      <c r="M345" s="90">
        <v>3600</v>
      </c>
      <c r="N345" s="90">
        <v>50</v>
      </c>
      <c r="O345" s="90" t="s">
        <v>1871</v>
      </c>
      <c r="P345" s="94" t="s">
        <v>160</v>
      </c>
      <c r="Q345" s="94">
        <v>8500069893</v>
      </c>
      <c r="R345" s="94"/>
      <c r="S345" s="94"/>
      <c r="T345" s="90" t="s">
        <v>655</v>
      </c>
      <c r="U345" s="90">
        <v>8500069892</v>
      </c>
      <c r="V345" s="90"/>
      <c r="W345" s="109">
        <v>45404</v>
      </c>
      <c r="X345" s="106">
        <v>360</v>
      </c>
      <c r="Y345" s="106">
        <v>3600</v>
      </c>
      <c r="Z345" s="106" t="s">
        <v>759</v>
      </c>
      <c r="AA345" s="106">
        <f t="shared" si="20"/>
        <v>0</v>
      </c>
      <c r="AB345" s="106">
        <f t="shared" si="21"/>
        <v>0</v>
      </c>
      <c r="AC345" s="94"/>
      <c r="AD345" s="94"/>
      <c r="AE345" s="94"/>
      <c r="AF345" s="94"/>
      <c r="AG345" s="94"/>
      <c r="AH345" s="263"/>
    </row>
    <row r="346" spans="1:34" ht="26.25" customHeight="1">
      <c r="A346" s="90" t="s">
        <v>652</v>
      </c>
      <c r="B346" s="88">
        <v>6000029710</v>
      </c>
      <c r="C346" s="192" t="s">
        <v>2060</v>
      </c>
      <c r="D346" s="2">
        <v>2442659</v>
      </c>
      <c r="E346" s="94">
        <v>10</v>
      </c>
      <c r="F346" s="74">
        <v>550</v>
      </c>
      <c r="G346" s="45">
        <f t="shared" ref="G346:G353" si="22">F346*E346</f>
        <v>5500</v>
      </c>
      <c r="H346" s="119" t="s">
        <v>146</v>
      </c>
      <c r="I346" s="128">
        <v>45379</v>
      </c>
      <c r="J346" s="158">
        <v>550</v>
      </c>
      <c r="K346" s="74"/>
      <c r="L346" s="156">
        <v>45379</v>
      </c>
      <c r="M346" s="90">
        <v>5500</v>
      </c>
      <c r="N346" s="90">
        <v>50</v>
      </c>
      <c r="O346" s="90" t="s">
        <v>864</v>
      </c>
      <c r="P346" s="94" t="s">
        <v>160</v>
      </c>
      <c r="Q346" s="94"/>
      <c r="R346" s="94"/>
      <c r="S346" s="94"/>
      <c r="T346" s="90" t="s">
        <v>655</v>
      </c>
      <c r="U346" s="90">
        <v>8500069898</v>
      </c>
      <c r="V346" s="90"/>
      <c r="W346" s="109">
        <v>45402</v>
      </c>
      <c r="X346" s="106">
        <v>549</v>
      </c>
      <c r="Y346" s="106">
        <v>5500</v>
      </c>
      <c r="Z346" s="106" t="s">
        <v>759</v>
      </c>
      <c r="AA346" s="106">
        <f t="shared" si="20"/>
        <v>1</v>
      </c>
      <c r="AB346" s="106">
        <f t="shared" si="21"/>
        <v>0</v>
      </c>
      <c r="AC346" s="94"/>
      <c r="AD346" s="94"/>
      <c r="AE346" s="94"/>
      <c r="AF346" s="94"/>
      <c r="AG346" s="94"/>
      <c r="AH346" s="263"/>
    </row>
    <row r="347" spans="1:34" ht="26.25" customHeight="1">
      <c r="A347" s="90" t="s">
        <v>652</v>
      </c>
      <c r="B347" s="88">
        <v>6000029709</v>
      </c>
      <c r="C347" s="192" t="s">
        <v>2060</v>
      </c>
      <c r="D347" s="2">
        <v>2442658</v>
      </c>
      <c r="E347" s="94">
        <v>10</v>
      </c>
      <c r="F347" s="74">
        <v>550</v>
      </c>
      <c r="G347" s="45">
        <f t="shared" si="22"/>
        <v>5500</v>
      </c>
      <c r="H347" s="119" t="s">
        <v>146</v>
      </c>
      <c r="I347" s="128">
        <v>45379</v>
      </c>
      <c r="J347" s="74">
        <v>550</v>
      </c>
      <c r="K347" s="74"/>
      <c r="L347" s="156">
        <v>45379</v>
      </c>
      <c r="M347" s="90">
        <v>5500</v>
      </c>
      <c r="N347" s="90">
        <v>50</v>
      </c>
      <c r="O347" s="90" t="s">
        <v>793</v>
      </c>
      <c r="P347" s="94" t="s">
        <v>1765</v>
      </c>
      <c r="Q347" s="94">
        <v>8500069897</v>
      </c>
      <c r="R347" s="94"/>
      <c r="S347" s="94"/>
      <c r="T347" s="90" t="s">
        <v>655</v>
      </c>
      <c r="U347" s="90">
        <v>8500069896</v>
      </c>
      <c r="V347" s="90"/>
      <c r="W347" s="109">
        <v>45402</v>
      </c>
      <c r="X347" s="106">
        <v>550</v>
      </c>
      <c r="Y347" s="106">
        <v>5500</v>
      </c>
      <c r="Z347" s="106" t="s">
        <v>759</v>
      </c>
      <c r="AA347" s="106">
        <f t="shared" si="20"/>
        <v>0</v>
      </c>
      <c r="AB347" s="106">
        <f t="shared" si="21"/>
        <v>0</v>
      </c>
      <c r="AC347" s="94"/>
      <c r="AD347" s="94"/>
      <c r="AE347" s="94"/>
      <c r="AF347" s="94"/>
      <c r="AG347" s="94"/>
      <c r="AH347" s="263"/>
    </row>
    <row r="348" spans="1:34" ht="26.25" customHeight="1">
      <c r="A348" s="90" t="s">
        <v>1795</v>
      </c>
      <c r="B348" s="88">
        <v>6000027766</v>
      </c>
      <c r="C348" s="192" t="s">
        <v>2074</v>
      </c>
      <c r="D348" s="2" t="s">
        <v>3221</v>
      </c>
      <c r="E348" s="94">
        <v>10</v>
      </c>
      <c r="F348" s="74">
        <v>1700</v>
      </c>
      <c r="G348" s="45">
        <f t="shared" si="22"/>
        <v>17000</v>
      </c>
      <c r="H348" s="119" t="s">
        <v>46</v>
      </c>
      <c r="I348" s="128" t="s">
        <v>3336</v>
      </c>
      <c r="J348" s="158">
        <f>500+1200</f>
        <v>1700</v>
      </c>
      <c r="K348" s="74">
        <v>20</v>
      </c>
      <c r="L348" s="156" t="s">
        <v>3335</v>
      </c>
      <c r="M348" s="90">
        <f>5000+12000</f>
        <v>17000</v>
      </c>
      <c r="N348" s="90">
        <v>170</v>
      </c>
      <c r="O348" s="90"/>
      <c r="P348" s="94" t="s">
        <v>1666</v>
      </c>
      <c r="Q348" s="94">
        <v>8500070055</v>
      </c>
      <c r="R348" s="94">
        <v>5000378696</v>
      </c>
      <c r="S348" s="94"/>
      <c r="T348" s="90" t="s">
        <v>1666</v>
      </c>
      <c r="U348" s="90">
        <v>8500070054</v>
      </c>
      <c r="V348" s="90">
        <v>5000378695</v>
      </c>
      <c r="W348" s="109" t="s">
        <v>3350</v>
      </c>
      <c r="X348" s="106">
        <f>700+1000</f>
        <v>1700</v>
      </c>
      <c r="Y348" s="106">
        <f>7000+10000</f>
        <v>17000</v>
      </c>
      <c r="Z348" s="106" t="s">
        <v>1785</v>
      </c>
      <c r="AA348" s="106">
        <f t="shared" si="20"/>
        <v>0</v>
      </c>
      <c r="AB348" s="106">
        <f t="shared" si="21"/>
        <v>0</v>
      </c>
      <c r="AC348" s="499" t="s">
        <v>3243</v>
      </c>
      <c r="AD348" s="94"/>
      <c r="AE348" s="94"/>
      <c r="AF348" s="94"/>
      <c r="AG348" s="94"/>
      <c r="AH348" s="263"/>
    </row>
    <row r="349" spans="1:34" ht="26.25" customHeight="1">
      <c r="A349" s="90"/>
      <c r="B349" s="88"/>
      <c r="C349" s="192"/>
      <c r="D349" s="192"/>
      <c r="E349" s="94">
        <v>10</v>
      </c>
      <c r="F349" s="74">
        <v>710</v>
      </c>
      <c r="G349" s="45">
        <f t="shared" si="22"/>
        <v>7100</v>
      </c>
      <c r="H349" s="119" t="s">
        <v>37</v>
      </c>
      <c r="I349" s="128">
        <v>45378</v>
      </c>
      <c r="J349" s="158">
        <v>710</v>
      </c>
      <c r="K349" s="74">
        <v>14</v>
      </c>
      <c r="L349" s="156">
        <v>45378</v>
      </c>
      <c r="M349" s="90">
        <v>7100</v>
      </c>
      <c r="N349" s="90">
        <v>71</v>
      </c>
      <c r="O349" s="90"/>
      <c r="P349" s="94" t="s">
        <v>1666</v>
      </c>
      <c r="Q349" s="94">
        <v>8500070055</v>
      </c>
      <c r="R349" s="94">
        <v>5000378696</v>
      </c>
      <c r="S349" s="94"/>
      <c r="T349" s="90" t="s">
        <v>1666</v>
      </c>
      <c r="U349" s="90">
        <v>8500070054</v>
      </c>
      <c r="V349" s="90">
        <v>5000378695</v>
      </c>
      <c r="W349" s="109">
        <v>45399</v>
      </c>
      <c r="X349" s="106">
        <v>710</v>
      </c>
      <c r="Y349" s="106">
        <v>7100</v>
      </c>
      <c r="Z349" s="106" t="s">
        <v>800</v>
      </c>
      <c r="AA349" s="106">
        <f t="shared" si="20"/>
        <v>0</v>
      </c>
      <c r="AB349" s="106">
        <f t="shared" si="21"/>
        <v>0</v>
      </c>
      <c r="AC349" s="497"/>
      <c r="AD349" s="94"/>
      <c r="AE349" s="94"/>
      <c r="AF349" s="94"/>
      <c r="AG349" s="94"/>
      <c r="AH349" s="263"/>
    </row>
    <row r="350" spans="1:34" ht="26.25" customHeight="1">
      <c r="A350" s="90"/>
      <c r="B350" s="88"/>
      <c r="C350" s="192"/>
      <c r="D350" s="192"/>
      <c r="E350" s="94">
        <v>10</v>
      </c>
      <c r="F350" s="74">
        <v>920</v>
      </c>
      <c r="G350" s="45">
        <f t="shared" si="22"/>
        <v>9200</v>
      </c>
      <c r="H350" s="119" t="s">
        <v>27</v>
      </c>
      <c r="I350" s="128" t="s">
        <v>3335</v>
      </c>
      <c r="J350" s="158">
        <f>240+680</f>
        <v>920</v>
      </c>
      <c r="K350" s="74">
        <v>12</v>
      </c>
      <c r="L350" s="156" t="s">
        <v>3336</v>
      </c>
      <c r="M350" s="90">
        <f>2400+6800</f>
        <v>9200</v>
      </c>
      <c r="N350" s="90">
        <v>92</v>
      </c>
      <c r="O350" s="90"/>
      <c r="P350" s="94" t="s">
        <v>1666</v>
      </c>
      <c r="Q350" s="94">
        <v>8500070055</v>
      </c>
      <c r="R350" s="94">
        <v>5000378696</v>
      </c>
      <c r="S350" s="94"/>
      <c r="T350" s="90" t="s">
        <v>1666</v>
      </c>
      <c r="U350" s="90">
        <v>8500070054</v>
      </c>
      <c r="V350" s="90">
        <v>5000378695</v>
      </c>
      <c r="W350" s="109" t="s">
        <v>3345</v>
      </c>
      <c r="X350" s="106">
        <f>239+1+680</f>
        <v>920</v>
      </c>
      <c r="Y350" s="106">
        <f>2390+10+6800</f>
        <v>9200</v>
      </c>
      <c r="Z350" s="106" t="s">
        <v>1810</v>
      </c>
      <c r="AA350" s="106">
        <f t="shared" si="20"/>
        <v>0</v>
      </c>
      <c r="AB350" s="106">
        <f t="shared" si="21"/>
        <v>0</v>
      </c>
      <c r="AC350" s="498"/>
      <c r="AD350" s="94"/>
      <c r="AE350" s="94"/>
      <c r="AF350" s="94"/>
      <c r="AG350" s="94"/>
      <c r="AH350" s="263"/>
    </row>
    <row r="351" spans="1:34" ht="26.25" customHeight="1">
      <c r="A351" s="90" t="s">
        <v>1795</v>
      </c>
      <c r="B351" s="88">
        <v>6000027767</v>
      </c>
      <c r="C351" s="192" t="s">
        <v>2074</v>
      </c>
      <c r="D351" s="2" t="s">
        <v>3221</v>
      </c>
      <c r="E351" s="94">
        <v>10</v>
      </c>
      <c r="F351" s="74">
        <v>2020</v>
      </c>
      <c r="G351" s="45">
        <f t="shared" si="22"/>
        <v>20200</v>
      </c>
      <c r="H351" s="119" t="s">
        <v>46</v>
      </c>
      <c r="I351" s="128">
        <v>45378</v>
      </c>
      <c r="J351" s="158">
        <v>2020</v>
      </c>
      <c r="K351" s="74">
        <v>25</v>
      </c>
      <c r="L351" s="156">
        <v>45378</v>
      </c>
      <c r="M351" s="90">
        <v>20200</v>
      </c>
      <c r="N351" s="90">
        <v>202</v>
      </c>
      <c r="O351" s="90"/>
      <c r="P351" s="94" t="s">
        <v>1666</v>
      </c>
      <c r="Q351" s="94">
        <v>8500070072</v>
      </c>
      <c r="R351" s="94">
        <v>5000394188</v>
      </c>
      <c r="S351" s="158">
        <v>2020</v>
      </c>
      <c r="T351" s="90" t="s">
        <v>1666</v>
      </c>
      <c r="U351" s="90">
        <v>8500070071</v>
      </c>
      <c r="V351" s="90">
        <v>5000394202</v>
      </c>
      <c r="W351" s="109">
        <v>45412</v>
      </c>
      <c r="X351" s="106">
        <v>2020</v>
      </c>
      <c r="Y351" s="106">
        <v>20200</v>
      </c>
      <c r="Z351" s="106" t="s">
        <v>758</v>
      </c>
      <c r="AA351" s="106">
        <f t="shared" si="20"/>
        <v>0</v>
      </c>
      <c r="AB351" s="106">
        <f t="shared" si="21"/>
        <v>0</v>
      </c>
      <c r="AC351" s="499" t="s">
        <v>3244</v>
      </c>
      <c r="AD351" s="94"/>
      <c r="AE351" s="94"/>
      <c r="AF351" s="94"/>
      <c r="AG351" s="94"/>
      <c r="AH351" s="263"/>
    </row>
    <row r="352" spans="1:34" ht="26.25" customHeight="1">
      <c r="A352" s="90"/>
      <c r="B352" s="88"/>
      <c r="C352" s="192"/>
      <c r="D352" s="2" t="s">
        <v>3245</v>
      </c>
      <c r="E352" s="94">
        <v>10</v>
      </c>
      <c r="F352" s="74">
        <v>880</v>
      </c>
      <c r="G352" s="45">
        <f t="shared" si="22"/>
        <v>8800</v>
      </c>
      <c r="H352" s="119" t="s">
        <v>27</v>
      </c>
      <c r="I352" s="128">
        <v>45385</v>
      </c>
      <c r="J352" s="158">
        <v>320</v>
      </c>
      <c r="K352" s="74">
        <v>10</v>
      </c>
      <c r="L352" s="156">
        <v>45385</v>
      </c>
      <c r="M352" s="90">
        <v>3200</v>
      </c>
      <c r="N352" s="90">
        <v>88</v>
      </c>
      <c r="O352" s="90"/>
      <c r="P352" s="94" t="s">
        <v>1666</v>
      </c>
      <c r="Q352" s="94">
        <v>8500070072</v>
      </c>
      <c r="R352" s="94">
        <v>5000394188</v>
      </c>
      <c r="S352" s="94"/>
      <c r="T352" s="90" t="s">
        <v>1666</v>
      </c>
      <c r="U352" s="90">
        <v>8500070071</v>
      </c>
      <c r="V352" s="90">
        <v>5000394202</v>
      </c>
      <c r="W352" s="109">
        <v>45418</v>
      </c>
      <c r="X352" s="106">
        <f>240+80</f>
        <v>320</v>
      </c>
      <c r="Y352" s="106">
        <f>2400+800</f>
        <v>3200</v>
      </c>
      <c r="Z352" s="106" t="s">
        <v>3538</v>
      </c>
      <c r="AA352" s="106">
        <f>J352-X352</f>
        <v>0</v>
      </c>
      <c r="AB352" s="106">
        <f>M352-Y352</f>
        <v>0</v>
      </c>
      <c r="AC352" s="497"/>
      <c r="AD352" s="94"/>
      <c r="AE352" s="94"/>
      <c r="AF352" s="94"/>
      <c r="AG352" s="94"/>
      <c r="AH352" s="263"/>
    </row>
    <row r="353" spans="1:34" ht="26.25" customHeight="1">
      <c r="A353" s="90"/>
      <c r="B353" s="88"/>
      <c r="C353" s="192"/>
      <c r="D353" s="192"/>
      <c r="E353" s="94">
        <v>10</v>
      </c>
      <c r="F353" s="74">
        <v>430</v>
      </c>
      <c r="G353" s="45">
        <f t="shared" si="22"/>
        <v>4300</v>
      </c>
      <c r="H353" s="119" t="s">
        <v>37</v>
      </c>
      <c r="I353" s="128">
        <v>45378</v>
      </c>
      <c r="J353" s="158">
        <v>430</v>
      </c>
      <c r="K353" s="74">
        <v>9</v>
      </c>
      <c r="L353" s="156">
        <v>45378</v>
      </c>
      <c r="M353" s="90">
        <v>4300</v>
      </c>
      <c r="N353" s="90">
        <v>43</v>
      </c>
      <c r="O353" s="90"/>
      <c r="P353" s="94" t="s">
        <v>1666</v>
      </c>
      <c r="Q353" s="94">
        <v>8500070072</v>
      </c>
      <c r="R353" s="94">
        <v>5000394188</v>
      </c>
      <c r="S353" s="94"/>
      <c r="T353" s="90" t="s">
        <v>1666</v>
      </c>
      <c r="U353" s="90">
        <v>8500070071</v>
      </c>
      <c r="V353" s="90">
        <v>5000394202</v>
      </c>
      <c r="W353" s="109">
        <v>45411</v>
      </c>
      <c r="X353" s="106">
        <v>430</v>
      </c>
      <c r="Y353" s="106">
        <v>4300</v>
      </c>
      <c r="Z353" s="106" t="s">
        <v>3232</v>
      </c>
      <c r="AA353" s="106">
        <f t="shared" si="20"/>
        <v>0</v>
      </c>
      <c r="AB353" s="106">
        <f t="shared" si="21"/>
        <v>0</v>
      </c>
      <c r="AC353" s="498"/>
      <c r="AD353" s="94"/>
      <c r="AE353" s="94"/>
      <c r="AF353" s="94"/>
      <c r="AG353" s="94"/>
      <c r="AH353" s="263"/>
    </row>
    <row r="354" spans="1:34" ht="26.25" customHeight="1">
      <c r="A354" s="90" t="s">
        <v>1795</v>
      </c>
      <c r="B354" s="88">
        <v>6000027768</v>
      </c>
      <c r="C354" s="192" t="s">
        <v>2074</v>
      </c>
      <c r="D354" s="192"/>
      <c r="E354" s="94">
        <v>10</v>
      </c>
      <c r="F354" s="74">
        <v>430</v>
      </c>
      <c r="G354" s="45">
        <f>F354*E354</f>
        <v>4300</v>
      </c>
      <c r="H354" s="119" t="s">
        <v>37</v>
      </c>
      <c r="I354" s="128">
        <v>45378</v>
      </c>
      <c r="J354" s="158">
        <v>430</v>
      </c>
      <c r="K354" s="74"/>
      <c r="L354" s="156">
        <v>45378</v>
      </c>
      <c r="M354" s="90">
        <v>4300</v>
      </c>
      <c r="N354" s="90"/>
      <c r="O354" s="90"/>
      <c r="P354" s="94" t="s">
        <v>1666</v>
      </c>
      <c r="Q354" s="94"/>
      <c r="R354" s="94"/>
      <c r="S354" s="94"/>
      <c r="T354" s="90" t="s">
        <v>1666</v>
      </c>
      <c r="U354" s="90"/>
      <c r="V354" s="90"/>
      <c r="W354" s="109">
        <v>45411</v>
      </c>
      <c r="X354" s="106">
        <v>430</v>
      </c>
      <c r="Y354" s="106">
        <v>4300</v>
      </c>
      <c r="Z354" s="106" t="s">
        <v>755</v>
      </c>
      <c r="AA354" s="106">
        <f t="shared" si="20"/>
        <v>0</v>
      </c>
      <c r="AB354" s="106">
        <f t="shared" si="21"/>
        <v>0</v>
      </c>
      <c r="AC354" s="94"/>
      <c r="AD354" s="94"/>
      <c r="AE354" s="94"/>
      <c r="AF354" s="94"/>
      <c r="AG354" s="94"/>
      <c r="AH354" s="263"/>
    </row>
    <row r="355" spans="1:34" ht="26.25" customHeight="1">
      <c r="A355" s="90" t="s">
        <v>707</v>
      </c>
      <c r="B355" s="88">
        <v>2000001319</v>
      </c>
      <c r="C355" s="2" t="s">
        <v>708</v>
      </c>
      <c r="D355" s="192"/>
      <c r="E355" s="94">
        <v>10</v>
      </c>
      <c r="F355" s="74">
        <v>450</v>
      </c>
      <c r="G355" s="45">
        <f>F355*E355</f>
        <v>4500</v>
      </c>
      <c r="H355" s="119" t="s">
        <v>46</v>
      </c>
      <c r="I355" s="128">
        <v>45379</v>
      </c>
      <c r="J355" s="158">
        <v>450</v>
      </c>
      <c r="K355" s="74">
        <f>5+3</f>
        <v>8</v>
      </c>
      <c r="L355" s="156">
        <v>45380</v>
      </c>
      <c r="M355" s="90">
        <v>4500</v>
      </c>
      <c r="N355" s="90">
        <v>45</v>
      </c>
      <c r="O355" s="90"/>
      <c r="P355" s="94" t="s">
        <v>28</v>
      </c>
      <c r="Q355" s="94" t="s">
        <v>343</v>
      </c>
      <c r="R355" s="94"/>
      <c r="S355" s="94"/>
      <c r="T355" s="90" t="s">
        <v>1558</v>
      </c>
      <c r="U355" s="90">
        <v>8500069758</v>
      </c>
      <c r="V355" s="90"/>
      <c r="W355" s="109" t="s">
        <v>3488</v>
      </c>
      <c r="X355" s="106">
        <f>100+350</f>
        <v>450</v>
      </c>
      <c r="Y355" s="106">
        <f>1000+3500</f>
        <v>4500</v>
      </c>
      <c r="Z355" s="106" t="s">
        <v>2504</v>
      </c>
      <c r="AA355" s="106">
        <f t="shared" si="20"/>
        <v>0</v>
      </c>
      <c r="AB355" s="106">
        <f t="shared" si="21"/>
        <v>0</v>
      </c>
      <c r="AC355" s="94"/>
      <c r="AD355" s="94"/>
      <c r="AE355" s="94"/>
      <c r="AF355" s="94"/>
      <c r="AG355" s="94"/>
      <c r="AH355" s="263"/>
    </row>
    <row r="356" spans="1:34" ht="26.25" customHeight="1">
      <c r="A356" s="90" t="s">
        <v>645</v>
      </c>
      <c r="B356" s="88">
        <v>6000029187</v>
      </c>
      <c r="C356" s="192" t="s">
        <v>1332</v>
      </c>
      <c r="D356" s="192"/>
      <c r="E356" s="94">
        <v>10</v>
      </c>
      <c r="F356" s="74">
        <v>100</v>
      </c>
      <c r="G356" s="45">
        <f>F356*E356</f>
        <v>1000</v>
      </c>
      <c r="H356" s="119" t="s">
        <v>146</v>
      </c>
      <c r="I356" s="128">
        <v>45387</v>
      </c>
      <c r="J356" s="158">
        <v>100</v>
      </c>
      <c r="K356" s="74"/>
      <c r="L356" s="156">
        <v>45380</v>
      </c>
      <c r="M356" s="90">
        <v>1000</v>
      </c>
      <c r="N356" s="90">
        <v>10</v>
      </c>
      <c r="O356" s="90"/>
      <c r="P356" s="94" t="s">
        <v>1666</v>
      </c>
      <c r="Q356" s="94"/>
      <c r="R356" s="94"/>
      <c r="S356" s="94"/>
      <c r="T356" s="90" t="s">
        <v>1558</v>
      </c>
      <c r="U356" s="90">
        <v>8500069932</v>
      </c>
      <c r="V356" s="90"/>
      <c r="W356" s="109">
        <v>45411</v>
      </c>
      <c r="X356" s="106">
        <v>100</v>
      </c>
      <c r="Y356" s="106">
        <v>1000</v>
      </c>
      <c r="Z356" s="106" t="s">
        <v>800</v>
      </c>
      <c r="AA356" s="106">
        <f t="shared" si="20"/>
        <v>0</v>
      </c>
      <c r="AB356" s="106">
        <f t="shared" si="21"/>
        <v>0</v>
      </c>
      <c r="AC356" s="94"/>
      <c r="AD356" s="94"/>
      <c r="AE356" s="94"/>
      <c r="AF356" s="94"/>
      <c r="AG356" s="94"/>
      <c r="AH356" s="263"/>
    </row>
    <row r="357" spans="1:34" ht="26.25" customHeight="1">
      <c r="A357" s="90"/>
      <c r="B357" s="88"/>
      <c r="C357" s="192"/>
      <c r="D357" s="192"/>
      <c r="E357" s="94"/>
      <c r="F357" s="74"/>
      <c r="G357" s="45"/>
      <c r="H357" s="119"/>
      <c r="I357" s="133"/>
      <c r="J357" s="158"/>
      <c r="K357" s="74"/>
      <c r="L357" s="162"/>
      <c r="M357" s="90"/>
      <c r="N357" s="90"/>
      <c r="O357" s="90"/>
      <c r="P357" s="94"/>
      <c r="Q357" s="94"/>
      <c r="R357" s="94"/>
      <c r="S357" s="94"/>
      <c r="T357" s="90"/>
      <c r="U357" s="90"/>
      <c r="V357" s="90"/>
      <c r="W357" s="105"/>
      <c r="X357" s="106"/>
      <c r="Y357" s="106"/>
      <c r="Z357" s="106"/>
      <c r="AA357" s="106">
        <f t="shared" si="20"/>
        <v>0</v>
      </c>
      <c r="AB357" s="106">
        <f t="shared" si="21"/>
        <v>0</v>
      </c>
      <c r="AC357" s="94"/>
      <c r="AD357" s="94"/>
      <c r="AE357" s="94"/>
      <c r="AF357" s="94"/>
      <c r="AG357" s="94"/>
      <c r="AH357" s="263"/>
    </row>
    <row r="358" spans="1:34" ht="26.25" customHeight="1">
      <c r="A358" s="90"/>
      <c r="B358" s="88"/>
      <c r="C358" s="192"/>
      <c r="D358" s="192"/>
      <c r="E358" s="94"/>
      <c r="F358" s="74"/>
      <c r="G358" s="45"/>
      <c r="H358" s="119"/>
      <c r="I358" s="133"/>
      <c r="J358" s="158"/>
      <c r="K358" s="74"/>
      <c r="L358" s="162"/>
      <c r="M358" s="90"/>
      <c r="N358" s="90"/>
      <c r="O358" s="90"/>
      <c r="P358" s="94"/>
      <c r="Q358" s="94"/>
      <c r="R358" s="94"/>
      <c r="S358" s="94"/>
      <c r="T358" s="90"/>
      <c r="U358" s="90"/>
      <c r="V358" s="90"/>
      <c r="W358" s="105"/>
      <c r="X358" s="106"/>
      <c r="Y358" s="106"/>
      <c r="Z358" s="106"/>
      <c r="AA358" s="106">
        <f t="shared" si="20"/>
        <v>0</v>
      </c>
      <c r="AB358" s="106">
        <f t="shared" si="21"/>
        <v>0</v>
      </c>
      <c r="AC358" s="94"/>
      <c r="AD358" s="94"/>
      <c r="AE358" s="94"/>
      <c r="AF358" s="94"/>
      <c r="AG358" s="94"/>
      <c r="AH358" s="263"/>
    </row>
    <row r="359" spans="1:34" ht="26.25" customHeight="1">
      <c r="A359" s="90"/>
      <c r="B359" s="88"/>
      <c r="C359" s="192"/>
      <c r="D359" s="192"/>
      <c r="E359" s="94"/>
      <c r="F359" s="74"/>
      <c r="G359" s="45"/>
      <c r="H359" s="119"/>
      <c r="I359" s="133"/>
      <c r="J359" s="158"/>
      <c r="K359" s="74"/>
      <c r="L359" s="162"/>
      <c r="M359" s="90"/>
      <c r="N359" s="90"/>
      <c r="O359" s="90"/>
      <c r="P359" s="94"/>
      <c r="Q359" s="94"/>
      <c r="R359" s="94"/>
      <c r="S359" s="94"/>
      <c r="T359" s="90"/>
      <c r="U359" s="90"/>
      <c r="V359" s="90"/>
      <c r="W359" s="105"/>
      <c r="X359" s="106"/>
      <c r="Y359" s="106"/>
      <c r="Z359" s="106"/>
      <c r="AA359" s="106">
        <f t="shared" si="20"/>
        <v>0</v>
      </c>
      <c r="AB359" s="106">
        <f t="shared" si="21"/>
        <v>0</v>
      </c>
      <c r="AC359" s="94"/>
      <c r="AD359" s="94"/>
      <c r="AE359" s="94"/>
      <c r="AF359" s="94"/>
      <c r="AG359" s="94"/>
      <c r="AH359" s="263"/>
    </row>
    <row r="360" spans="1:34" ht="26.25" customHeight="1">
      <c r="A360" s="90"/>
      <c r="B360" s="88"/>
      <c r="C360" s="94"/>
      <c r="D360" s="95"/>
      <c r="E360" s="94"/>
      <c r="F360" s="74"/>
      <c r="G360" s="45"/>
      <c r="H360" s="119"/>
      <c r="I360" s="133"/>
      <c r="J360" s="158"/>
      <c r="K360" s="74"/>
      <c r="L360" s="162"/>
      <c r="M360" s="90"/>
      <c r="N360" s="90"/>
      <c r="O360" s="90"/>
      <c r="P360" s="94"/>
      <c r="Q360" s="94"/>
      <c r="R360" s="94"/>
      <c r="S360" s="94"/>
      <c r="T360" s="90"/>
      <c r="U360" s="90"/>
      <c r="V360" s="90"/>
      <c r="W360" s="105"/>
      <c r="X360" s="106"/>
      <c r="Y360" s="106"/>
      <c r="Z360" s="106"/>
      <c r="AA360" s="106">
        <f t="shared" si="20"/>
        <v>0</v>
      </c>
      <c r="AB360" s="106">
        <f t="shared" si="21"/>
        <v>0</v>
      </c>
      <c r="AC360" s="94"/>
      <c r="AD360" s="94"/>
      <c r="AE360" s="94"/>
      <c r="AF360" s="94"/>
      <c r="AG360" s="94"/>
      <c r="AH360" s="263"/>
    </row>
    <row r="361" spans="1:34" ht="26.25" customHeight="1">
      <c r="A361" s="90"/>
      <c r="B361" s="290"/>
      <c r="C361" s="94"/>
      <c r="D361" s="95"/>
      <c r="E361" s="94"/>
      <c r="F361" s="74"/>
      <c r="G361" s="45"/>
      <c r="H361" s="119"/>
      <c r="I361" s="133"/>
      <c r="J361" s="158"/>
      <c r="K361" s="74"/>
      <c r="L361" s="162"/>
      <c r="M361" s="90"/>
      <c r="N361" s="90"/>
      <c r="O361" s="90"/>
      <c r="P361" s="94"/>
      <c r="Q361" s="94"/>
      <c r="R361" s="94"/>
      <c r="S361" s="94"/>
      <c r="T361" s="90"/>
      <c r="U361" s="90"/>
      <c r="V361" s="90"/>
      <c r="W361" s="105"/>
      <c r="X361" s="106"/>
      <c r="Y361" s="106"/>
      <c r="Z361" s="106"/>
      <c r="AA361" s="106">
        <f t="shared" si="20"/>
        <v>0</v>
      </c>
      <c r="AB361" s="106">
        <f t="shared" si="21"/>
        <v>0</v>
      </c>
      <c r="AC361" s="94"/>
      <c r="AD361" s="94"/>
      <c r="AE361" s="94"/>
      <c r="AF361" s="94"/>
      <c r="AG361" s="94"/>
      <c r="AH361" s="263"/>
    </row>
    <row r="362" spans="1:34" ht="26.25" customHeight="1">
      <c r="A362" s="90"/>
      <c r="B362" s="290"/>
      <c r="C362" s="94"/>
      <c r="D362" s="95"/>
      <c r="E362" s="94"/>
      <c r="F362" s="74"/>
      <c r="G362" s="45"/>
      <c r="H362" s="119"/>
      <c r="I362" s="133"/>
      <c r="J362" s="158"/>
      <c r="K362" s="74"/>
      <c r="L362" s="162"/>
      <c r="M362" s="90"/>
      <c r="N362" s="90"/>
      <c r="O362" s="90"/>
      <c r="P362" s="94"/>
      <c r="Q362" s="94"/>
      <c r="R362" s="94"/>
      <c r="S362" s="94"/>
      <c r="T362" s="90"/>
      <c r="U362" s="90"/>
      <c r="V362" s="90"/>
      <c r="W362" s="105"/>
      <c r="X362" s="106"/>
      <c r="Y362" s="106"/>
      <c r="Z362" s="106"/>
      <c r="AA362" s="106">
        <f t="shared" si="20"/>
        <v>0</v>
      </c>
      <c r="AB362" s="106">
        <f t="shared" si="21"/>
        <v>0</v>
      </c>
      <c r="AC362" s="94"/>
      <c r="AD362" s="94"/>
      <c r="AE362" s="94"/>
      <c r="AF362" s="94"/>
      <c r="AG362" s="94"/>
      <c r="AH362" s="263"/>
    </row>
    <row r="363" spans="1:34" ht="26.25" customHeight="1">
      <c r="AA363" s="106">
        <f t="shared" si="20"/>
        <v>0</v>
      </c>
      <c r="AB363" s="106">
        <f t="shared" si="21"/>
        <v>0</v>
      </c>
    </row>
  </sheetData>
  <mergeCells count="8">
    <mergeCell ref="AD223:AD225"/>
    <mergeCell ref="AC44:AC47"/>
    <mergeCell ref="AC133:AC134"/>
    <mergeCell ref="D135:D141"/>
    <mergeCell ref="AC351:AC353"/>
    <mergeCell ref="AC348:AC350"/>
    <mergeCell ref="AC306:AC311"/>
    <mergeCell ref="C298:D300"/>
  </mergeCells>
  <phoneticPr fontId="31" type="noConversion"/>
  <pageMargins left="0.7" right="0.7" top="0.75" bottom="0.75" header="0.3" footer="0.3"/>
  <pageSetup orientation="portrait" r:id="rId1"/>
  <ignoredErrors>
    <ignoredError sqref="J109" unlockedFormula="1"/>
    <ignoredError sqref="K93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8549-580D-40D1-A870-962D121997A1}">
  <dimension ref="A1:L54"/>
  <sheetViews>
    <sheetView topLeftCell="A37" zoomScaleNormal="100" zoomScaleSheetLayoutView="80" workbookViewId="0">
      <selection activeCell="H44" sqref="H44"/>
    </sheetView>
  </sheetViews>
  <sheetFormatPr defaultColWidth="8.88671875" defaultRowHeight="13.8"/>
  <cols>
    <col min="1" max="1" width="7.6640625" style="292" customWidth="1"/>
    <col min="2" max="2" width="10.5546875" style="292" customWidth="1"/>
    <col min="3" max="3" width="16.44140625" style="292" customWidth="1"/>
    <col min="4" max="4" width="6.44140625" style="292" hidden="1" customWidth="1"/>
    <col min="5" max="5" width="15.5546875" style="292" customWidth="1"/>
    <col min="6" max="6" width="14.5546875" style="292" customWidth="1"/>
    <col min="7" max="7" width="15.6640625" style="292" customWidth="1"/>
    <col min="8" max="10" width="15.6640625" style="309" customWidth="1"/>
    <col min="11" max="11" width="14.33203125" style="292" customWidth="1"/>
    <col min="12" max="12" width="18.88671875" style="292" customWidth="1"/>
    <col min="13" max="16384" width="8.88671875" style="292"/>
  </cols>
  <sheetData>
    <row r="1" spans="1:12" ht="14.4">
      <c r="B1" s="293" t="s">
        <v>2673</v>
      </c>
      <c r="C1" s="293" t="s">
        <v>2674</v>
      </c>
      <c r="D1" s="293" t="s">
        <v>2675</v>
      </c>
      <c r="E1" s="293" t="s">
        <v>2676</v>
      </c>
      <c r="F1" s="293" t="s">
        <v>2677</v>
      </c>
      <c r="G1" s="293" t="s">
        <v>2678</v>
      </c>
      <c r="H1" s="294"/>
      <c r="I1" s="294"/>
      <c r="J1" s="294"/>
    </row>
    <row r="2" spans="1:12">
      <c r="B2" s="546" t="s">
        <v>591</v>
      </c>
      <c r="C2" s="546">
        <v>6000027718</v>
      </c>
      <c r="D2" s="546" t="s">
        <v>2679</v>
      </c>
      <c r="E2" s="546" t="s">
        <v>612</v>
      </c>
      <c r="F2" s="295" t="s">
        <v>27</v>
      </c>
      <c r="G2" s="296">
        <v>712</v>
      </c>
      <c r="H2" s="297"/>
      <c r="I2" s="297"/>
      <c r="J2" s="297"/>
    </row>
    <row r="3" spans="1:12">
      <c r="B3" s="546"/>
      <c r="C3" s="546"/>
      <c r="D3" s="546"/>
      <c r="E3" s="546"/>
      <c r="F3" s="295" t="s">
        <v>46</v>
      </c>
      <c r="G3" s="296">
        <v>5070</v>
      </c>
      <c r="H3" s="297"/>
      <c r="I3" s="297"/>
      <c r="J3" s="297"/>
    </row>
    <row r="4" spans="1:12">
      <c r="B4" s="546"/>
      <c r="C4" s="546"/>
      <c r="D4" s="546"/>
      <c r="E4" s="546"/>
      <c r="F4" s="295" t="s">
        <v>37</v>
      </c>
      <c r="G4" s="296">
        <v>5937</v>
      </c>
      <c r="H4" s="297"/>
      <c r="I4" s="297"/>
      <c r="J4" s="297"/>
    </row>
    <row r="5" spans="1:12">
      <c r="B5" s="546"/>
      <c r="C5" s="546"/>
      <c r="D5" s="546"/>
      <c r="E5" s="546"/>
      <c r="F5" s="295" t="s">
        <v>146</v>
      </c>
      <c r="G5" s="296">
        <v>1118</v>
      </c>
      <c r="H5" s="297"/>
      <c r="I5" s="297"/>
      <c r="J5" s="297"/>
    </row>
    <row r="6" spans="1:12">
      <c r="B6" s="546"/>
      <c r="C6" s="546"/>
      <c r="D6" s="546" t="s">
        <v>2680</v>
      </c>
      <c r="E6" s="546" t="s">
        <v>2681</v>
      </c>
      <c r="F6" s="295" t="s">
        <v>27</v>
      </c>
      <c r="G6" s="296">
        <v>124</v>
      </c>
      <c r="H6" s="297"/>
      <c r="I6" s="297"/>
      <c r="J6" s="297"/>
    </row>
    <row r="7" spans="1:12">
      <c r="B7" s="546"/>
      <c r="C7" s="546"/>
      <c r="D7" s="546"/>
      <c r="E7" s="546"/>
      <c r="F7" s="295" t="s">
        <v>46</v>
      </c>
      <c r="G7" s="296">
        <v>1696</v>
      </c>
      <c r="H7" s="297"/>
      <c r="I7" s="297"/>
      <c r="J7" s="297"/>
    </row>
    <row r="8" spans="1:12">
      <c r="B8" s="546"/>
      <c r="C8" s="546"/>
      <c r="D8" s="546"/>
      <c r="E8" s="546"/>
      <c r="F8" s="295" t="s">
        <v>37</v>
      </c>
      <c r="G8" s="296">
        <v>4380</v>
      </c>
      <c r="H8" s="297"/>
      <c r="I8" s="297"/>
      <c r="J8" s="297"/>
    </row>
    <row r="9" spans="1:12">
      <c r="B9" s="546"/>
      <c r="C9" s="546"/>
      <c r="D9" s="546"/>
      <c r="E9" s="546"/>
      <c r="F9" s="295" t="s">
        <v>146</v>
      </c>
      <c r="G9" s="296">
        <v>2200</v>
      </c>
      <c r="H9" s="297"/>
      <c r="I9" s="297"/>
      <c r="J9" s="297"/>
    </row>
    <row r="10" spans="1:12">
      <c r="B10" s="546"/>
      <c r="C10" s="546"/>
      <c r="D10" s="546" t="s">
        <v>2682</v>
      </c>
      <c r="E10" s="546" t="s">
        <v>2683</v>
      </c>
      <c r="F10" s="295" t="s">
        <v>46</v>
      </c>
      <c r="G10" s="296">
        <v>318</v>
      </c>
      <c r="H10" s="297"/>
      <c r="I10" s="297"/>
      <c r="J10" s="297"/>
    </row>
    <row r="11" spans="1:12">
      <c r="B11" s="546"/>
      <c r="C11" s="546"/>
      <c r="D11" s="546"/>
      <c r="E11" s="546"/>
      <c r="F11" s="295" t="s">
        <v>37</v>
      </c>
      <c r="G11" s="296">
        <v>220</v>
      </c>
      <c r="H11" s="297"/>
      <c r="I11" s="297"/>
      <c r="J11" s="297"/>
    </row>
    <row r="12" spans="1:12">
      <c r="B12" s="546"/>
      <c r="C12" s="546"/>
      <c r="D12" s="546"/>
      <c r="E12" s="295" t="s">
        <v>2684</v>
      </c>
      <c r="F12" s="295" t="s">
        <v>146</v>
      </c>
      <c r="G12" s="296">
        <v>929</v>
      </c>
      <c r="H12" s="297"/>
      <c r="I12" s="297"/>
      <c r="J12" s="297"/>
    </row>
    <row r="15" spans="1:12" ht="14.4">
      <c r="A15" s="293"/>
      <c r="B15" s="293" t="s">
        <v>2673</v>
      </c>
      <c r="C15" s="293" t="s">
        <v>2674</v>
      </c>
      <c r="D15" s="293" t="s">
        <v>2675</v>
      </c>
      <c r="E15" s="293" t="s">
        <v>2676</v>
      </c>
      <c r="F15" s="293" t="s">
        <v>2677</v>
      </c>
      <c r="G15" s="293" t="s">
        <v>2678</v>
      </c>
      <c r="H15" s="298" t="s">
        <v>2685</v>
      </c>
      <c r="I15" s="310" t="s">
        <v>2736</v>
      </c>
      <c r="J15" s="310"/>
      <c r="K15" s="293" t="s">
        <v>2686</v>
      </c>
      <c r="L15" s="293" t="s">
        <v>2687</v>
      </c>
    </row>
    <row r="16" spans="1:12">
      <c r="A16" s="542" t="s">
        <v>2688</v>
      </c>
      <c r="B16" s="542" t="s">
        <v>2689</v>
      </c>
      <c r="C16" s="542">
        <v>6000027718</v>
      </c>
      <c r="D16" s="542" t="s">
        <v>2680</v>
      </c>
      <c r="E16" s="542" t="s">
        <v>592</v>
      </c>
      <c r="F16" s="299" t="s">
        <v>2690</v>
      </c>
      <c r="G16" s="299">
        <v>124</v>
      </c>
      <c r="H16" s="300" t="s">
        <v>2691</v>
      </c>
      <c r="I16" s="316">
        <v>45314</v>
      </c>
      <c r="J16" s="311"/>
      <c r="K16" s="542" t="s">
        <v>2692</v>
      </c>
      <c r="L16" s="540">
        <v>45330</v>
      </c>
    </row>
    <row r="17" spans="1:12" ht="27.6">
      <c r="A17" s="542"/>
      <c r="B17" s="542"/>
      <c r="C17" s="542"/>
      <c r="D17" s="542"/>
      <c r="E17" s="542"/>
      <c r="F17" s="299" t="s">
        <v>2693</v>
      </c>
      <c r="G17" s="299">
        <v>1080</v>
      </c>
      <c r="H17" s="302" t="s">
        <v>2694</v>
      </c>
      <c r="I17" s="317">
        <v>45318</v>
      </c>
      <c r="J17" s="312"/>
      <c r="K17" s="542"/>
      <c r="L17" s="541"/>
    </row>
    <row r="18" spans="1:12">
      <c r="A18" s="542"/>
      <c r="B18" s="542"/>
      <c r="C18" s="542"/>
      <c r="D18" s="542" t="s">
        <v>2695</v>
      </c>
      <c r="E18" s="542" t="s">
        <v>600</v>
      </c>
      <c r="F18" s="299" t="s">
        <v>2693</v>
      </c>
      <c r="G18" s="299">
        <v>318</v>
      </c>
      <c r="H18" s="300" t="s">
        <v>2696</v>
      </c>
      <c r="I18" s="316">
        <v>45314</v>
      </c>
      <c r="J18" s="311"/>
      <c r="K18" s="542"/>
      <c r="L18" s="541"/>
    </row>
    <row r="19" spans="1:12">
      <c r="A19" s="542"/>
      <c r="B19" s="542"/>
      <c r="C19" s="542"/>
      <c r="D19" s="542"/>
      <c r="E19" s="542"/>
      <c r="F19" s="299" t="s">
        <v>2697</v>
      </c>
      <c r="G19" s="299">
        <v>220</v>
      </c>
      <c r="H19" s="300" t="s">
        <v>2698</v>
      </c>
      <c r="I19" s="316">
        <v>45314</v>
      </c>
      <c r="J19" s="311"/>
      <c r="K19" s="542"/>
      <c r="L19" s="541"/>
    </row>
    <row r="20" spans="1:12" ht="27.6">
      <c r="A20" s="542"/>
      <c r="B20" s="542"/>
      <c r="C20" s="542"/>
      <c r="D20" s="542"/>
      <c r="E20" s="303" t="s">
        <v>2699</v>
      </c>
      <c r="F20" s="299" t="s">
        <v>2700</v>
      </c>
      <c r="G20" s="299">
        <v>929</v>
      </c>
      <c r="H20" s="300" t="s">
        <v>2701</v>
      </c>
      <c r="I20" s="317" t="s">
        <v>2737</v>
      </c>
      <c r="J20" s="311"/>
      <c r="K20" s="542"/>
      <c r="L20" s="541"/>
    </row>
    <row r="21" spans="1:12">
      <c r="F21" s="292" t="s">
        <v>2702</v>
      </c>
      <c r="G21" s="304">
        <f>SUM(G16:G20)</f>
        <v>2671</v>
      </c>
      <c r="H21" s="305"/>
      <c r="I21" s="313"/>
      <c r="J21" s="313"/>
    </row>
    <row r="22" spans="1:12">
      <c r="H22" s="306"/>
    </row>
    <row r="23" spans="1:12">
      <c r="H23" s="306"/>
    </row>
    <row r="24" spans="1:12" ht="14.4">
      <c r="A24" s="293"/>
      <c r="B24" s="293" t="s">
        <v>2673</v>
      </c>
      <c r="C24" s="293" t="s">
        <v>2674</v>
      </c>
      <c r="D24" s="293" t="s">
        <v>2675</v>
      </c>
      <c r="E24" s="293" t="s">
        <v>2676</v>
      </c>
      <c r="F24" s="293" t="s">
        <v>2677</v>
      </c>
      <c r="G24" s="293" t="s">
        <v>2678</v>
      </c>
      <c r="H24" s="298"/>
      <c r="I24" s="310"/>
      <c r="J24" s="310"/>
      <c r="K24" s="293" t="s">
        <v>2686</v>
      </c>
      <c r="L24" s="293" t="s">
        <v>2687</v>
      </c>
    </row>
    <row r="25" spans="1:12" ht="27.6">
      <c r="A25" s="542" t="s">
        <v>2703</v>
      </c>
      <c r="B25" s="542" t="s">
        <v>2689</v>
      </c>
      <c r="C25" s="542">
        <v>6000027718</v>
      </c>
      <c r="D25" s="542" t="s">
        <v>2704</v>
      </c>
      <c r="E25" s="542" t="s">
        <v>592</v>
      </c>
      <c r="F25" s="299" t="s">
        <v>2693</v>
      </c>
      <c r="G25" s="299">
        <v>616</v>
      </c>
      <c r="H25" s="302" t="s">
        <v>2705</v>
      </c>
      <c r="I25" s="317">
        <v>45325</v>
      </c>
      <c r="J25" s="312"/>
      <c r="K25" s="542" t="s">
        <v>2692</v>
      </c>
      <c r="L25" s="540">
        <v>45347</v>
      </c>
    </row>
    <row r="26" spans="1:12" ht="27.6">
      <c r="A26" s="542"/>
      <c r="B26" s="542"/>
      <c r="C26" s="542"/>
      <c r="D26" s="542"/>
      <c r="E26" s="542"/>
      <c r="F26" s="299" t="s">
        <v>2697</v>
      </c>
      <c r="G26" s="299">
        <v>2254</v>
      </c>
      <c r="H26" s="307" t="s">
        <v>2706</v>
      </c>
      <c r="I26" s="317" t="s">
        <v>2767</v>
      </c>
      <c r="J26" s="314" t="s">
        <v>2768</v>
      </c>
      <c r="K26" s="542"/>
      <c r="L26" s="541"/>
    </row>
    <row r="27" spans="1:12">
      <c r="F27" s="292" t="s">
        <v>2702</v>
      </c>
      <c r="G27" s="304">
        <f>SUM(G25:G26)</f>
        <v>2870</v>
      </c>
      <c r="H27" s="305"/>
      <c r="I27" s="313"/>
      <c r="J27" s="313"/>
    </row>
    <row r="28" spans="1:12">
      <c r="H28" s="306"/>
    </row>
    <row r="29" spans="1:12">
      <c r="H29" s="306"/>
    </row>
    <row r="30" spans="1:12" ht="14.4">
      <c r="A30" s="293"/>
      <c r="B30" s="293" t="s">
        <v>2673</v>
      </c>
      <c r="C30" s="293" t="s">
        <v>2674</v>
      </c>
      <c r="D30" s="293" t="s">
        <v>2675</v>
      </c>
      <c r="E30" s="293" t="s">
        <v>2676</v>
      </c>
      <c r="F30" s="293" t="s">
        <v>2677</v>
      </c>
      <c r="G30" s="293" t="s">
        <v>2678</v>
      </c>
      <c r="H30" s="298"/>
      <c r="I30" s="310"/>
      <c r="J30" s="310"/>
      <c r="K30" s="293" t="s">
        <v>2686</v>
      </c>
      <c r="L30" s="293" t="s">
        <v>2687</v>
      </c>
    </row>
    <row r="31" spans="1:12" ht="27.6">
      <c r="A31" s="543" t="s">
        <v>2707</v>
      </c>
      <c r="B31" s="543" t="s">
        <v>2689</v>
      </c>
      <c r="C31" s="543">
        <v>6000027718</v>
      </c>
      <c r="D31" s="299" t="s">
        <v>2680</v>
      </c>
      <c r="E31" s="299" t="s">
        <v>2681</v>
      </c>
      <c r="F31" s="299" t="s">
        <v>2697</v>
      </c>
      <c r="G31" s="299">
        <v>1656</v>
      </c>
      <c r="H31" s="300" t="s">
        <v>2708</v>
      </c>
      <c r="I31" s="317" t="s">
        <v>2802</v>
      </c>
      <c r="J31" s="311" t="s">
        <v>2803</v>
      </c>
      <c r="K31" s="542" t="s">
        <v>2692</v>
      </c>
      <c r="L31" s="540">
        <v>45347</v>
      </c>
    </row>
    <row r="32" spans="1:12" ht="27.6">
      <c r="A32" s="544"/>
      <c r="B32" s="544"/>
      <c r="C32" s="544"/>
      <c r="D32" s="543" t="s">
        <v>2679</v>
      </c>
      <c r="E32" s="542" t="s">
        <v>2709</v>
      </c>
      <c r="F32" s="299" t="s">
        <v>2690</v>
      </c>
      <c r="G32" s="299">
        <v>712</v>
      </c>
      <c r="H32" s="300" t="s">
        <v>2710</v>
      </c>
      <c r="I32" s="312" t="s">
        <v>2779</v>
      </c>
      <c r="J32" s="311"/>
      <c r="K32" s="542"/>
      <c r="L32" s="541"/>
    </row>
    <row r="33" spans="1:12">
      <c r="A33" s="545"/>
      <c r="B33" s="545"/>
      <c r="C33" s="545"/>
      <c r="D33" s="545"/>
      <c r="E33" s="542"/>
      <c r="F33" s="299" t="s">
        <v>2700</v>
      </c>
      <c r="G33" s="299">
        <v>1118</v>
      </c>
      <c r="H33" s="300" t="s">
        <v>2711</v>
      </c>
      <c r="I33" s="316">
        <v>45325</v>
      </c>
      <c r="J33" s="311"/>
      <c r="K33" s="542"/>
      <c r="L33" s="541"/>
    </row>
    <row r="34" spans="1:12">
      <c r="F34" s="292" t="s">
        <v>2702</v>
      </c>
      <c r="G34" s="304">
        <f>SUM(G31:G33)</f>
        <v>3486</v>
      </c>
      <c r="H34" s="305"/>
      <c r="I34" s="313"/>
      <c r="J34" s="313"/>
    </row>
    <row r="35" spans="1:12">
      <c r="H35" s="306"/>
    </row>
    <row r="36" spans="1:12">
      <c r="H36" s="306"/>
    </row>
    <row r="37" spans="1:12" ht="14.4">
      <c r="A37" s="293"/>
      <c r="B37" s="293" t="s">
        <v>2673</v>
      </c>
      <c r="C37" s="293" t="s">
        <v>2674</v>
      </c>
      <c r="D37" s="293" t="s">
        <v>2675</v>
      </c>
      <c r="E37" s="293" t="s">
        <v>2676</v>
      </c>
      <c r="F37" s="293" t="s">
        <v>2677</v>
      </c>
      <c r="G37" s="293" t="s">
        <v>2678</v>
      </c>
      <c r="H37" s="298"/>
      <c r="I37" s="310"/>
      <c r="J37" s="310"/>
      <c r="K37" s="293" t="s">
        <v>2686</v>
      </c>
      <c r="L37" s="293" t="s">
        <v>2687</v>
      </c>
    </row>
    <row r="38" spans="1:12">
      <c r="A38" s="542" t="s">
        <v>2712</v>
      </c>
      <c r="B38" s="542" t="s">
        <v>2689</v>
      </c>
      <c r="C38" s="542">
        <v>6000027718</v>
      </c>
      <c r="D38" s="542" t="s">
        <v>2680</v>
      </c>
      <c r="E38" s="542" t="s">
        <v>2681</v>
      </c>
      <c r="F38" s="299" t="s">
        <v>2697</v>
      </c>
      <c r="G38" s="299">
        <v>470</v>
      </c>
      <c r="H38" s="300" t="s">
        <v>2713</v>
      </c>
      <c r="I38" s="316">
        <v>45338</v>
      </c>
      <c r="J38" s="311"/>
      <c r="K38" s="542" t="s">
        <v>2692</v>
      </c>
      <c r="L38" s="540">
        <v>45347</v>
      </c>
    </row>
    <row r="39" spans="1:12">
      <c r="A39" s="542"/>
      <c r="B39" s="542"/>
      <c r="C39" s="542"/>
      <c r="D39" s="542"/>
      <c r="E39" s="542"/>
      <c r="F39" s="299" t="s">
        <v>2700</v>
      </c>
      <c r="G39" s="299">
        <v>2200</v>
      </c>
      <c r="H39" s="308" t="s">
        <v>2714</v>
      </c>
      <c r="I39" s="316">
        <v>45325</v>
      </c>
      <c r="J39" s="315"/>
      <c r="K39" s="542"/>
      <c r="L39" s="541"/>
    </row>
    <row r="40" spans="1:12">
      <c r="A40" s="542"/>
      <c r="B40" s="542"/>
      <c r="C40" s="542"/>
      <c r="D40" s="299" t="s">
        <v>2679</v>
      </c>
      <c r="E40" s="299" t="s">
        <v>2709</v>
      </c>
      <c r="F40" s="299" t="s">
        <v>2693</v>
      </c>
      <c r="G40" s="299">
        <v>313</v>
      </c>
      <c r="H40" s="300" t="s">
        <v>2715</v>
      </c>
      <c r="I40" s="316">
        <v>45321</v>
      </c>
      <c r="J40" s="311"/>
      <c r="K40" s="542"/>
      <c r="L40" s="541"/>
    </row>
    <row r="41" spans="1:12">
      <c r="F41" s="292" t="s">
        <v>2702</v>
      </c>
      <c r="G41" s="304">
        <f>SUM(G38:G40)</f>
        <v>2983</v>
      </c>
      <c r="H41" s="305"/>
      <c r="I41" s="313"/>
      <c r="J41" s="313"/>
    </row>
    <row r="42" spans="1:12" ht="14.4">
      <c r="A42" s="293"/>
      <c r="B42" s="293" t="s">
        <v>2673</v>
      </c>
      <c r="C42" s="293" t="s">
        <v>2674</v>
      </c>
      <c r="D42" s="293" t="s">
        <v>2675</v>
      </c>
      <c r="E42" s="293" t="s">
        <v>2676</v>
      </c>
      <c r="F42" s="293" t="s">
        <v>2677</v>
      </c>
      <c r="G42" s="293" t="s">
        <v>2678</v>
      </c>
      <c r="H42" s="298"/>
      <c r="I42" s="310"/>
      <c r="J42" s="310"/>
      <c r="K42" s="293" t="s">
        <v>2686</v>
      </c>
      <c r="L42" s="293" t="s">
        <v>2687</v>
      </c>
    </row>
    <row r="43" spans="1:12">
      <c r="A43" s="542" t="s">
        <v>2716</v>
      </c>
      <c r="B43" s="542" t="s">
        <v>2689</v>
      </c>
      <c r="C43" s="542">
        <v>6000027718</v>
      </c>
      <c r="D43" s="542" t="s">
        <v>2679</v>
      </c>
      <c r="E43" s="542" t="s">
        <v>2709</v>
      </c>
      <c r="F43" s="299" t="s">
        <v>2693</v>
      </c>
      <c r="G43" s="299">
        <v>2200</v>
      </c>
      <c r="H43" s="300" t="s">
        <v>2717</v>
      </c>
      <c r="I43" s="316">
        <v>45322</v>
      </c>
      <c r="J43" s="311"/>
      <c r="K43" s="542" t="s">
        <v>2692</v>
      </c>
      <c r="L43" s="540">
        <v>45347</v>
      </c>
    </row>
    <row r="44" spans="1:12">
      <c r="A44" s="542"/>
      <c r="B44" s="542"/>
      <c r="C44" s="542"/>
      <c r="D44" s="542"/>
      <c r="E44" s="542"/>
      <c r="F44" s="299" t="s">
        <v>2697</v>
      </c>
      <c r="G44" s="299">
        <v>2200</v>
      </c>
      <c r="H44" s="307" t="s">
        <v>2714</v>
      </c>
      <c r="I44" s="314" t="s">
        <v>2745</v>
      </c>
      <c r="J44" s="314"/>
      <c r="K44" s="542"/>
      <c r="L44" s="541"/>
    </row>
    <row r="45" spans="1:12">
      <c r="F45" s="292" t="s">
        <v>2702</v>
      </c>
      <c r="G45" s="304">
        <f>SUM(G43:G44)</f>
        <v>4400</v>
      </c>
      <c r="H45" s="305"/>
      <c r="I45" s="313"/>
      <c r="J45" s="313"/>
    </row>
    <row r="46" spans="1:12">
      <c r="H46" s="306"/>
    </row>
    <row r="47" spans="1:12">
      <c r="H47" s="306"/>
    </row>
    <row r="48" spans="1:12" ht="14.4">
      <c r="A48" s="293"/>
      <c r="B48" s="293" t="s">
        <v>2673</v>
      </c>
      <c r="C48" s="293" t="s">
        <v>2674</v>
      </c>
      <c r="D48" s="293" t="s">
        <v>2675</v>
      </c>
      <c r="E48" s="293" t="s">
        <v>2676</v>
      </c>
      <c r="F48" s="293" t="s">
        <v>2677</v>
      </c>
      <c r="G48" s="293" t="s">
        <v>2678</v>
      </c>
      <c r="H48" s="298"/>
      <c r="I48" s="310"/>
      <c r="J48" s="310"/>
      <c r="K48" s="293" t="s">
        <v>2686</v>
      </c>
      <c r="L48" s="293" t="s">
        <v>2687</v>
      </c>
    </row>
    <row r="49" spans="1:12">
      <c r="A49" s="542" t="s">
        <v>2718</v>
      </c>
      <c r="B49" s="542" t="s">
        <v>2689</v>
      </c>
      <c r="C49" s="542">
        <v>6000027718</v>
      </c>
      <c r="D49" s="542" t="s">
        <v>2679</v>
      </c>
      <c r="E49" s="542" t="s">
        <v>2709</v>
      </c>
      <c r="F49" s="299" t="s">
        <v>2693</v>
      </c>
      <c r="G49" s="299">
        <v>2557</v>
      </c>
      <c r="H49" s="300" t="s">
        <v>2741</v>
      </c>
      <c r="I49" s="316">
        <v>45327</v>
      </c>
      <c r="J49" s="311"/>
      <c r="K49" s="542" t="s">
        <v>2692</v>
      </c>
      <c r="L49" s="540">
        <v>45354</v>
      </c>
    </row>
    <row r="50" spans="1:12">
      <c r="A50" s="542"/>
      <c r="B50" s="542"/>
      <c r="C50" s="542"/>
      <c r="D50" s="542"/>
      <c r="E50" s="542"/>
      <c r="F50" s="299" t="s">
        <v>2697</v>
      </c>
      <c r="G50" s="299">
        <v>1787</v>
      </c>
      <c r="H50" s="300" t="s">
        <v>2719</v>
      </c>
      <c r="I50" s="316">
        <v>45327</v>
      </c>
      <c r="J50" s="311"/>
      <c r="K50" s="542"/>
      <c r="L50" s="541"/>
    </row>
    <row r="51" spans="1:12" ht="18.75" customHeight="1">
      <c r="F51" s="292" t="s">
        <v>2702</v>
      </c>
      <c r="G51" s="304">
        <f>SUM(G49:G50)</f>
        <v>4344</v>
      </c>
      <c r="H51" s="305"/>
      <c r="I51" s="313"/>
      <c r="J51" s="313"/>
    </row>
    <row r="52" spans="1:12" ht="14.4">
      <c r="A52" s="293"/>
      <c r="B52" s="293" t="s">
        <v>2673</v>
      </c>
      <c r="C52" s="293" t="s">
        <v>2674</v>
      </c>
      <c r="D52" s="293" t="s">
        <v>2675</v>
      </c>
      <c r="E52" s="293" t="s">
        <v>2676</v>
      </c>
      <c r="F52" s="293" t="s">
        <v>2677</v>
      </c>
      <c r="G52" s="293" t="s">
        <v>2678</v>
      </c>
      <c r="H52" s="298"/>
      <c r="I52" s="310"/>
      <c r="J52" s="310"/>
      <c r="K52" s="293" t="s">
        <v>2686</v>
      </c>
      <c r="L52" s="293" t="s">
        <v>2687</v>
      </c>
    </row>
    <row r="53" spans="1:12">
      <c r="A53" s="299" t="s">
        <v>2720</v>
      </c>
      <c r="B53" s="299" t="s">
        <v>2689</v>
      </c>
      <c r="C53" s="299">
        <v>6000027718</v>
      </c>
      <c r="D53" s="299" t="s">
        <v>2679</v>
      </c>
      <c r="E53" s="299" t="s">
        <v>2709</v>
      </c>
      <c r="F53" s="299" t="s">
        <v>2697</v>
      </c>
      <c r="G53" s="299">
        <v>1950</v>
      </c>
      <c r="H53" s="300" t="s">
        <v>2721</v>
      </c>
      <c r="I53" s="316">
        <v>45333</v>
      </c>
      <c r="J53" s="311"/>
      <c r="K53" s="299" t="s">
        <v>2722</v>
      </c>
      <c r="L53" s="301">
        <v>45361</v>
      </c>
    </row>
    <row r="54" spans="1:12">
      <c r="F54" s="292" t="s">
        <v>2702</v>
      </c>
      <c r="G54" s="304">
        <f>SUM(G53)</f>
        <v>1950</v>
      </c>
      <c r="H54" s="305"/>
      <c r="I54" s="313"/>
      <c r="J54" s="313"/>
    </row>
  </sheetData>
  <mergeCells count="52">
    <mergeCell ref="B2:B12"/>
    <mergeCell ref="C2:C12"/>
    <mergeCell ref="D2:D5"/>
    <mergeCell ref="E2:E5"/>
    <mergeCell ref="D6:D9"/>
    <mergeCell ref="E6:E9"/>
    <mergeCell ref="D10:D12"/>
    <mergeCell ref="E10:E11"/>
    <mergeCell ref="L16:L20"/>
    <mergeCell ref="D18:D20"/>
    <mergeCell ref="E18:E19"/>
    <mergeCell ref="A25:A26"/>
    <mergeCell ref="B25:B26"/>
    <mergeCell ref="C25:C26"/>
    <mergeCell ref="D25:D26"/>
    <mergeCell ref="E25:E26"/>
    <mergeCell ref="K25:K26"/>
    <mergeCell ref="L25:L26"/>
    <mergeCell ref="A16:A20"/>
    <mergeCell ref="B16:B20"/>
    <mergeCell ref="C16:C20"/>
    <mergeCell ref="D16:D17"/>
    <mergeCell ref="E16:E17"/>
    <mergeCell ref="K16:K20"/>
    <mergeCell ref="A31:A33"/>
    <mergeCell ref="B31:B33"/>
    <mergeCell ref="C31:C33"/>
    <mergeCell ref="K31:K33"/>
    <mergeCell ref="L31:L33"/>
    <mergeCell ref="D32:D33"/>
    <mergeCell ref="E32:E33"/>
    <mergeCell ref="L38:L40"/>
    <mergeCell ref="A43:A44"/>
    <mergeCell ref="B43:B44"/>
    <mergeCell ref="C43:C44"/>
    <mergeCell ref="D43:D44"/>
    <mergeCell ref="E43:E44"/>
    <mergeCell ref="K43:K44"/>
    <mergeCell ref="L43:L44"/>
    <mergeCell ref="A38:A40"/>
    <mergeCell ref="B38:B40"/>
    <mergeCell ref="C38:C40"/>
    <mergeCell ref="D38:D39"/>
    <mergeCell ref="E38:E39"/>
    <mergeCell ref="K38:K40"/>
    <mergeCell ref="L49:L50"/>
    <mergeCell ref="A49:A50"/>
    <mergeCell ref="B49:B50"/>
    <mergeCell ref="C49:C50"/>
    <mergeCell ref="D49:D50"/>
    <mergeCell ref="E49:E50"/>
    <mergeCell ref="K49:K50"/>
  </mergeCells>
  <phoneticPr fontId="57" type="noConversion"/>
  <pageMargins left="0.7" right="0.7" top="0.75" bottom="0.75" header="0.3" footer="0.3"/>
  <pageSetup scale="86" orientation="landscape" r:id="rId1"/>
  <rowBreaks count="1" manualBreakCount="1">
    <brk id="2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0EE9-4609-4831-AF74-136B1D36181B}">
  <dimension ref="A1:AH366"/>
  <sheetViews>
    <sheetView zoomScale="80" zoomScaleNormal="80" workbookViewId="0">
      <pane xSplit="9" ySplit="11" topLeftCell="Q176" activePane="bottomRight" state="frozen"/>
      <selection activeCell="E17" sqref="E17"/>
      <selection pane="topRight" activeCell="E17" sqref="E17"/>
      <selection pane="bottomLeft" activeCell="E17" sqref="E17"/>
      <selection pane="bottomRight" activeCell="B183" sqref="B183"/>
    </sheetView>
  </sheetViews>
  <sheetFormatPr defaultColWidth="9" defaultRowHeight="26.25" customHeight="1"/>
  <cols>
    <col min="1" max="1" width="12.5546875" style="100" customWidth="1"/>
    <col min="2" max="2" width="12.44140625" style="343" customWidth="1"/>
    <col min="3" max="3" width="10.5546875" style="92" customWidth="1"/>
    <col min="4" max="4" width="15.6640625" style="256" customWidth="1"/>
    <col min="5" max="5" width="7.5546875" style="92" customWidth="1"/>
    <col min="6" max="6" width="8" style="257" customWidth="1"/>
    <col min="7" max="7" width="9" style="144" customWidth="1"/>
    <col min="8" max="8" width="6.33203125" style="258" customWidth="1"/>
    <col min="9" max="9" width="13.88671875" style="129" customWidth="1"/>
    <col min="10" max="10" width="9" style="60" customWidth="1"/>
    <col min="11" max="11" width="7.5546875" style="60" customWidth="1"/>
    <col min="12" max="12" width="12.109375" style="143" customWidth="1"/>
    <col min="13" max="13" width="7.33203125" style="100" customWidth="1"/>
    <col min="14" max="14" width="7.44140625" style="100" customWidth="1"/>
    <col min="15" max="15" width="6.109375" style="100" customWidth="1"/>
    <col min="16" max="16" width="8" style="92" customWidth="1"/>
    <col min="17" max="17" width="12.44140625" style="92" customWidth="1"/>
    <col min="18" max="18" width="12" style="92" customWidth="1"/>
    <col min="19" max="19" width="8" style="92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2.6640625" style="101" customWidth="1"/>
    <col min="24" max="24" width="8.44140625" style="102" customWidth="1"/>
    <col min="25" max="25" width="10.33203125" style="102" customWidth="1"/>
    <col min="26" max="26" width="8.88671875" style="102" customWidth="1"/>
    <col min="27" max="27" width="6.44140625" style="102" customWidth="1"/>
    <col min="28" max="28" width="7.6640625" style="102" customWidth="1"/>
    <col min="29" max="29" width="46.44140625" style="92" customWidth="1"/>
    <col min="30" max="30" width="22.5546875" style="92" customWidth="1"/>
    <col min="31" max="31" width="22.44140625" style="92" customWidth="1"/>
    <col min="32" max="16384" width="9" style="92"/>
  </cols>
  <sheetData>
    <row r="1" spans="1:34" ht="26.25" hidden="1" customHeight="1"/>
    <row r="2" spans="1:34" ht="26.25" hidden="1" customHeight="1"/>
    <row r="3" spans="1:34" ht="26.25" hidden="1" customHeight="1"/>
    <row r="4" spans="1:34" ht="26.25" hidden="1" customHeight="1"/>
    <row r="5" spans="1:34" ht="26.25" hidden="1" customHeight="1"/>
    <row r="6" spans="1:34" ht="26.25" hidden="1" customHeight="1"/>
    <row r="7" spans="1:34" ht="26.25" hidden="1" customHeight="1"/>
    <row r="8" spans="1:34" ht="26.25" hidden="1" customHeight="1"/>
    <row r="9" spans="1:34" ht="26.25" hidden="1" customHeight="1"/>
    <row r="10" spans="1:34" ht="26.25" hidden="1" customHeight="1"/>
    <row r="11" spans="1:34" ht="35.25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53" t="s">
        <v>1493</v>
      </c>
      <c r="G11" s="162" t="s">
        <v>1494</v>
      </c>
      <c r="H11" s="119" t="s">
        <v>5</v>
      </c>
      <c r="I11" s="133" t="s">
        <v>1491</v>
      </c>
      <c r="J11" s="133" t="s">
        <v>1490</v>
      </c>
      <c r="K11" s="53" t="s">
        <v>1487</v>
      </c>
      <c r="L11" s="162" t="s">
        <v>1492</v>
      </c>
      <c r="M11" s="259" t="s">
        <v>1489</v>
      </c>
      <c r="N11" s="259" t="s">
        <v>1488</v>
      </c>
      <c r="O11" s="90" t="s">
        <v>687</v>
      </c>
      <c r="P11" s="111" t="s">
        <v>1483</v>
      </c>
      <c r="Q11" s="111" t="s">
        <v>1484</v>
      </c>
      <c r="R11" s="111" t="s">
        <v>1485</v>
      </c>
      <c r="S11" s="111" t="s">
        <v>1486</v>
      </c>
      <c r="T11" s="259" t="s">
        <v>17</v>
      </c>
      <c r="U11" s="259" t="s">
        <v>18</v>
      </c>
      <c r="V11" s="259" t="s">
        <v>19</v>
      </c>
      <c r="W11" s="10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94"/>
      <c r="AF11" s="94">
        <v>115567</v>
      </c>
      <c r="AG11" s="94">
        <v>2476130</v>
      </c>
      <c r="AH11" s="94">
        <v>130072</v>
      </c>
    </row>
    <row r="12" spans="1:34" ht="19.5" customHeight="1">
      <c r="A12" s="90" t="s">
        <v>645</v>
      </c>
      <c r="B12" s="88">
        <v>6000029075</v>
      </c>
      <c r="C12" s="2" t="s">
        <v>1874</v>
      </c>
      <c r="D12" s="2" t="s">
        <v>3016</v>
      </c>
      <c r="E12" s="338">
        <v>10</v>
      </c>
      <c r="F12" s="339">
        <v>150</v>
      </c>
      <c r="G12" s="340">
        <f>E12*F12</f>
        <v>1500</v>
      </c>
      <c r="H12" s="341" t="s">
        <v>27</v>
      </c>
      <c r="I12" s="262" t="s">
        <v>2073</v>
      </c>
      <c r="J12" s="261"/>
      <c r="K12" s="74"/>
      <c r="L12" s="156"/>
      <c r="M12" s="90"/>
      <c r="N12" s="90">
        <v>29</v>
      </c>
      <c r="O12" s="90"/>
      <c r="P12" s="94" t="s">
        <v>2073</v>
      </c>
      <c r="Q12" s="94">
        <v>8500069748</v>
      </c>
      <c r="R12" s="94">
        <v>5000328988</v>
      </c>
      <c r="S12" s="261"/>
      <c r="T12" s="90" t="s">
        <v>895</v>
      </c>
      <c r="U12" s="90">
        <v>8500069747</v>
      </c>
      <c r="V12" s="90">
        <v>5000328975</v>
      </c>
      <c r="W12" s="109"/>
      <c r="X12" s="106"/>
      <c r="Y12" s="106"/>
      <c r="Z12" s="106"/>
      <c r="AA12" s="106">
        <f>J12-X12</f>
        <v>0</v>
      </c>
      <c r="AB12" s="106">
        <f>M12-Y12</f>
        <v>0</v>
      </c>
      <c r="AC12" s="485" t="s">
        <v>3161</v>
      </c>
      <c r="AD12" s="94"/>
      <c r="AE12" s="94"/>
      <c r="AF12" s="94"/>
      <c r="AG12" s="94"/>
      <c r="AH12" s="263"/>
    </row>
    <row r="13" spans="1:34" ht="19.5" customHeight="1">
      <c r="A13" s="90"/>
      <c r="B13" s="88"/>
      <c r="C13" s="192"/>
      <c r="D13" s="192"/>
      <c r="E13" s="74">
        <v>10</v>
      </c>
      <c r="F13" s="74">
        <v>800</v>
      </c>
      <c r="G13" s="45">
        <f t="shared" ref="G13:G76" si="0">E13*F13</f>
        <v>8000</v>
      </c>
      <c r="H13" s="119" t="s">
        <v>46</v>
      </c>
      <c r="I13" s="262">
        <v>45359</v>
      </c>
      <c r="J13" s="74">
        <v>800</v>
      </c>
      <c r="K13" s="74">
        <f>13+2</f>
        <v>15</v>
      </c>
      <c r="L13" s="156">
        <v>45360</v>
      </c>
      <c r="M13" s="90">
        <v>8000</v>
      </c>
      <c r="N13" s="90">
        <v>100</v>
      </c>
      <c r="O13" s="90"/>
      <c r="P13" s="94" t="s">
        <v>160</v>
      </c>
      <c r="Q13" s="94">
        <v>8500069748</v>
      </c>
      <c r="R13" s="94">
        <v>5000328988</v>
      </c>
      <c r="S13" s="74">
        <v>800</v>
      </c>
      <c r="T13" s="90" t="s">
        <v>1558</v>
      </c>
      <c r="U13" s="90">
        <v>8500069747</v>
      </c>
      <c r="V13" s="90">
        <v>5000328975</v>
      </c>
      <c r="W13" s="109">
        <v>45367</v>
      </c>
      <c r="X13" s="106">
        <v>800</v>
      </c>
      <c r="Y13" s="106">
        <v>8000</v>
      </c>
      <c r="Z13" s="106" t="s">
        <v>2991</v>
      </c>
      <c r="AA13" s="106">
        <f t="shared" ref="AA13:AA76" si="1">J13-X13</f>
        <v>0</v>
      </c>
      <c r="AB13" s="106">
        <f t="shared" ref="AB13:AB76" si="2">M13-Y13</f>
        <v>0</v>
      </c>
      <c r="AC13" s="486"/>
      <c r="AD13" s="94"/>
      <c r="AE13" s="94"/>
      <c r="AF13" s="94"/>
      <c r="AG13" s="94"/>
      <c r="AH13" s="263"/>
    </row>
    <row r="14" spans="1:34" ht="19.5" customHeight="1">
      <c r="A14" s="90"/>
      <c r="B14" s="88"/>
      <c r="C14" s="192"/>
      <c r="D14" s="192"/>
      <c r="E14" s="74">
        <v>10</v>
      </c>
      <c r="F14" s="74">
        <v>800</v>
      </c>
      <c r="G14" s="45">
        <f t="shared" si="0"/>
        <v>8000</v>
      </c>
      <c r="H14" s="119" t="s">
        <v>37</v>
      </c>
      <c r="I14" s="262">
        <v>45359</v>
      </c>
      <c r="J14" s="74">
        <v>800</v>
      </c>
      <c r="K14" s="74">
        <f>13+7</f>
        <v>20</v>
      </c>
      <c r="L14" s="156">
        <v>45360</v>
      </c>
      <c r="M14" s="90">
        <v>8000</v>
      </c>
      <c r="N14" s="90">
        <v>100</v>
      </c>
      <c r="O14" s="90"/>
      <c r="P14" s="94" t="s">
        <v>160</v>
      </c>
      <c r="Q14" s="94">
        <v>8500069748</v>
      </c>
      <c r="R14" s="94">
        <v>5000328988</v>
      </c>
      <c r="S14" s="74">
        <v>800</v>
      </c>
      <c r="T14" s="90" t="s">
        <v>1558</v>
      </c>
      <c r="U14" s="90">
        <v>8500069747</v>
      </c>
      <c r="V14" s="90">
        <v>5000328975</v>
      </c>
      <c r="W14" s="109">
        <v>45367</v>
      </c>
      <c r="X14" s="106">
        <v>800</v>
      </c>
      <c r="Y14" s="106">
        <v>8000</v>
      </c>
      <c r="Z14" s="106" t="s">
        <v>2991</v>
      </c>
      <c r="AA14" s="106">
        <f t="shared" si="1"/>
        <v>0</v>
      </c>
      <c r="AB14" s="106">
        <f t="shared" si="2"/>
        <v>0</v>
      </c>
      <c r="AC14" s="486"/>
      <c r="AD14" s="94"/>
      <c r="AE14" s="94"/>
      <c r="AF14" s="94"/>
      <c r="AG14" s="94"/>
      <c r="AH14" s="263"/>
    </row>
    <row r="15" spans="1:34" ht="26.25" customHeight="1">
      <c r="A15" s="90"/>
      <c r="B15" s="88"/>
      <c r="C15" s="192"/>
      <c r="D15" s="192"/>
      <c r="E15" s="74">
        <v>10</v>
      </c>
      <c r="F15" s="74">
        <v>300</v>
      </c>
      <c r="G15" s="45">
        <f t="shared" si="0"/>
        <v>3000</v>
      </c>
      <c r="H15" s="119" t="s">
        <v>146</v>
      </c>
      <c r="I15" s="262">
        <v>45359</v>
      </c>
      <c r="J15" s="74">
        <v>300</v>
      </c>
      <c r="K15" s="74">
        <v>8</v>
      </c>
      <c r="L15" s="156">
        <v>45360</v>
      </c>
      <c r="M15" s="90">
        <v>3000</v>
      </c>
      <c r="N15" s="90">
        <v>50</v>
      </c>
      <c r="O15" s="90" t="s">
        <v>1370</v>
      </c>
      <c r="P15" s="94" t="s">
        <v>160</v>
      </c>
      <c r="Q15" s="94">
        <v>8500069748</v>
      </c>
      <c r="R15" s="94">
        <v>5000328988</v>
      </c>
      <c r="S15" s="74">
        <v>300</v>
      </c>
      <c r="T15" s="90" t="s">
        <v>1558</v>
      </c>
      <c r="U15" s="90">
        <v>8500069747</v>
      </c>
      <c r="V15" s="90">
        <v>5000328975</v>
      </c>
      <c r="W15" s="109">
        <v>45393</v>
      </c>
      <c r="X15" s="106">
        <v>300</v>
      </c>
      <c r="Y15" s="106">
        <v>3000</v>
      </c>
      <c r="Z15" s="106" t="s">
        <v>800</v>
      </c>
      <c r="AA15" s="106">
        <f t="shared" si="1"/>
        <v>0</v>
      </c>
      <c r="AB15" s="106">
        <f t="shared" si="2"/>
        <v>0</v>
      </c>
      <c r="AC15" s="487"/>
      <c r="AD15" s="94"/>
      <c r="AE15" s="94"/>
      <c r="AF15" s="94"/>
      <c r="AG15" s="94"/>
      <c r="AH15" s="263"/>
    </row>
    <row r="16" spans="1:34" ht="26.25" customHeight="1">
      <c r="A16" s="90" t="s">
        <v>645</v>
      </c>
      <c r="B16" s="88">
        <v>6000029188</v>
      </c>
      <c r="C16" s="2" t="s">
        <v>646</v>
      </c>
      <c r="D16" s="2">
        <v>4227633222</v>
      </c>
      <c r="E16" s="94">
        <v>10</v>
      </c>
      <c r="F16" s="74">
        <v>2050</v>
      </c>
      <c r="G16" s="45">
        <f t="shared" si="0"/>
        <v>20500</v>
      </c>
      <c r="H16" s="119" t="s">
        <v>46</v>
      </c>
      <c r="I16" s="128">
        <v>45365</v>
      </c>
      <c r="J16" s="158">
        <v>2050</v>
      </c>
      <c r="K16" s="152">
        <f>13</f>
        <v>13</v>
      </c>
      <c r="L16" s="156">
        <v>45363</v>
      </c>
      <c r="M16" s="90">
        <v>20500</v>
      </c>
      <c r="N16" s="90">
        <v>205</v>
      </c>
      <c r="O16" s="90"/>
      <c r="P16" s="94" t="s">
        <v>160</v>
      </c>
      <c r="Q16" s="94">
        <v>8500069229</v>
      </c>
      <c r="R16" s="94">
        <v>5000308419</v>
      </c>
      <c r="S16" s="158">
        <v>2050</v>
      </c>
      <c r="T16" s="90" t="s">
        <v>1558</v>
      </c>
      <c r="U16" s="90">
        <v>8500069226</v>
      </c>
      <c r="V16" s="90">
        <v>5000294938</v>
      </c>
      <c r="W16" s="109">
        <v>45369</v>
      </c>
      <c r="X16" s="106">
        <v>2050</v>
      </c>
      <c r="Y16" s="106">
        <v>20500</v>
      </c>
      <c r="Z16" s="106" t="s">
        <v>2991</v>
      </c>
      <c r="AA16" s="106">
        <f t="shared" si="1"/>
        <v>0</v>
      </c>
      <c r="AB16" s="106">
        <f t="shared" si="2"/>
        <v>0</v>
      </c>
      <c r="AC16" s="94"/>
      <c r="AD16" s="94"/>
      <c r="AE16" s="94"/>
      <c r="AF16" s="94"/>
      <c r="AG16" s="94"/>
      <c r="AH16" s="263"/>
    </row>
    <row r="17" spans="1:34" ht="26.25" customHeight="1">
      <c r="A17" s="90" t="s">
        <v>178</v>
      </c>
      <c r="B17" s="88">
        <v>6000029222</v>
      </c>
      <c r="C17" s="2" t="s">
        <v>842</v>
      </c>
      <c r="D17" s="2">
        <v>4924045001</v>
      </c>
      <c r="E17" s="94">
        <v>4</v>
      </c>
      <c r="F17" s="74">
        <v>200</v>
      </c>
      <c r="G17" s="45">
        <f>E17*F17</f>
        <v>800</v>
      </c>
      <c r="H17" s="119" t="s">
        <v>27</v>
      </c>
      <c r="I17" s="128">
        <v>45378</v>
      </c>
      <c r="J17" s="74">
        <v>200</v>
      </c>
      <c r="K17" s="74">
        <v>2</v>
      </c>
      <c r="L17" s="156">
        <v>45360</v>
      </c>
      <c r="M17" s="90">
        <v>800</v>
      </c>
      <c r="N17" s="90">
        <v>8</v>
      </c>
      <c r="O17" s="90" t="s">
        <v>1362</v>
      </c>
      <c r="P17" s="94" t="s">
        <v>1558</v>
      </c>
      <c r="Q17" s="94">
        <v>8500068759</v>
      </c>
      <c r="R17" s="94">
        <v>5000369530</v>
      </c>
      <c r="S17" s="74">
        <v>200</v>
      </c>
      <c r="T17" s="90" t="s">
        <v>87</v>
      </c>
      <c r="U17" s="90">
        <v>8500068758</v>
      </c>
      <c r="V17" s="90">
        <v>5000282933</v>
      </c>
      <c r="W17" s="109">
        <v>45386</v>
      </c>
      <c r="X17" s="106">
        <v>200</v>
      </c>
      <c r="Y17" s="106">
        <v>800</v>
      </c>
      <c r="Z17" s="106" t="s">
        <v>800</v>
      </c>
      <c r="AA17" s="106">
        <f>J17-X17</f>
        <v>0</v>
      </c>
      <c r="AB17" s="106">
        <f t="shared" si="2"/>
        <v>0</v>
      </c>
      <c r="AC17" s="94"/>
      <c r="AD17" s="94"/>
      <c r="AE17" s="94"/>
      <c r="AF17" s="94"/>
      <c r="AG17" s="94"/>
      <c r="AH17" s="263"/>
    </row>
    <row r="18" spans="1:34" ht="26.25" customHeight="1">
      <c r="A18" s="90"/>
      <c r="B18" s="88"/>
      <c r="C18" s="2"/>
      <c r="D18" s="2"/>
      <c r="E18" s="94">
        <v>4</v>
      </c>
      <c r="F18" s="74">
        <v>2000</v>
      </c>
      <c r="G18" s="45">
        <f>E18*F18</f>
        <v>8000</v>
      </c>
      <c r="H18" s="119" t="s">
        <v>46</v>
      </c>
      <c r="I18" s="128">
        <v>45378</v>
      </c>
      <c r="J18" s="74">
        <v>2000</v>
      </c>
      <c r="K18" s="74">
        <v>20</v>
      </c>
      <c r="L18" s="156">
        <v>45360</v>
      </c>
      <c r="M18" s="90">
        <v>8000</v>
      </c>
      <c r="N18" s="90">
        <v>80</v>
      </c>
      <c r="O18" s="90" t="s">
        <v>1784</v>
      </c>
      <c r="P18" s="94" t="s">
        <v>1558</v>
      </c>
      <c r="Q18" s="94">
        <v>8500068759</v>
      </c>
      <c r="R18" s="94">
        <v>5000369530</v>
      </c>
      <c r="S18" s="74">
        <v>2000</v>
      </c>
      <c r="T18" s="90" t="s">
        <v>87</v>
      </c>
      <c r="U18" s="90">
        <v>8500068758</v>
      </c>
      <c r="V18" s="90">
        <v>5000282933</v>
      </c>
      <c r="W18" s="109">
        <v>45391</v>
      </c>
      <c r="X18" s="106">
        <v>2000</v>
      </c>
      <c r="Y18" s="106">
        <v>8000</v>
      </c>
      <c r="Z18" s="361" t="s">
        <v>1460</v>
      </c>
      <c r="AA18" s="106">
        <f>J18-X18</f>
        <v>0</v>
      </c>
      <c r="AB18" s="106">
        <f t="shared" si="2"/>
        <v>0</v>
      </c>
      <c r="AC18" s="94"/>
      <c r="AD18" s="94"/>
      <c r="AE18" s="94"/>
      <c r="AF18" s="94"/>
      <c r="AG18" s="94"/>
      <c r="AH18" s="263"/>
    </row>
    <row r="19" spans="1:34" ht="26.25" customHeight="1">
      <c r="A19" s="90"/>
      <c r="B19" s="88"/>
      <c r="C19" s="2"/>
      <c r="D19" s="2"/>
      <c r="E19" s="94">
        <v>4</v>
      </c>
      <c r="F19" s="74">
        <v>2000</v>
      </c>
      <c r="G19" s="45">
        <f>E19*F19</f>
        <v>8000</v>
      </c>
      <c r="H19" s="119" t="s">
        <v>37</v>
      </c>
      <c r="I19" s="128">
        <v>45378</v>
      </c>
      <c r="J19" s="74">
        <v>2000</v>
      </c>
      <c r="K19" s="74">
        <v>20</v>
      </c>
      <c r="L19" s="156">
        <v>45360</v>
      </c>
      <c r="M19" s="90">
        <v>8000</v>
      </c>
      <c r="N19" s="90">
        <v>80</v>
      </c>
      <c r="O19" s="90" t="s">
        <v>1784</v>
      </c>
      <c r="P19" s="94" t="s">
        <v>1558</v>
      </c>
      <c r="Q19" s="94">
        <v>8500068759</v>
      </c>
      <c r="R19" s="94">
        <v>5000369530</v>
      </c>
      <c r="S19" s="74">
        <v>2000</v>
      </c>
      <c r="T19" s="90" t="s">
        <v>87</v>
      </c>
      <c r="U19" s="90">
        <v>8500068758</v>
      </c>
      <c r="V19" s="90">
        <v>5000282933</v>
      </c>
      <c r="W19" s="109">
        <v>45395</v>
      </c>
      <c r="X19" s="106">
        <v>2000</v>
      </c>
      <c r="Y19" s="106">
        <v>8000</v>
      </c>
      <c r="Z19" s="106" t="s">
        <v>870</v>
      </c>
      <c r="AA19" s="106">
        <f>J19-X19</f>
        <v>0</v>
      </c>
      <c r="AB19" s="106">
        <f t="shared" si="2"/>
        <v>0</v>
      </c>
      <c r="AC19" s="94"/>
      <c r="AD19" s="94"/>
      <c r="AE19" s="94"/>
      <c r="AF19" s="94"/>
      <c r="AG19" s="94"/>
      <c r="AH19" s="263"/>
    </row>
    <row r="20" spans="1:34" ht="26.25" customHeight="1">
      <c r="A20" s="90"/>
      <c r="B20" s="88"/>
      <c r="C20" s="2"/>
      <c r="D20" s="2"/>
      <c r="E20" s="94">
        <v>4</v>
      </c>
      <c r="F20" s="74">
        <v>2250</v>
      </c>
      <c r="G20" s="45">
        <f>E20*F20</f>
        <v>9000</v>
      </c>
      <c r="H20" s="119" t="s">
        <v>146</v>
      </c>
      <c r="I20" s="128">
        <v>45378</v>
      </c>
      <c r="J20" s="74">
        <v>2250</v>
      </c>
      <c r="K20" s="74">
        <v>22</v>
      </c>
      <c r="L20" s="156">
        <v>45360</v>
      </c>
      <c r="M20" s="90">
        <v>9000</v>
      </c>
      <c r="N20" s="90">
        <v>90</v>
      </c>
      <c r="O20" s="90" t="s">
        <v>1784</v>
      </c>
      <c r="P20" s="94" t="s">
        <v>1558</v>
      </c>
      <c r="Q20" s="94">
        <v>8500068759</v>
      </c>
      <c r="R20" s="94">
        <v>5000369530</v>
      </c>
      <c r="S20" s="74">
        <v>2250</v>
      </c>
      <c r="T20" s="90" t="s">
        <v>87</v>
      </c>
      <c r="U20" s="90">
        <v>8500068758</v>
      </c>
      <c r="V20" s="90">
        <v>5000282933</v>
      </c>
      <c r="W20" s="109">
        <v>45395</v>
      </c>
      <c r="X20" s="106">
        <v>2250</v>
      </c>
      <c r="Y20" s="106">
        <v>9000</v>
      </c>
      <c r="Z20" s="106" t="s">
        <v>3344</v>
      </c>
      <c r="AA20" s="106">
        <f>J20-X20</f>
        <v>0</v>
      </c>
      <c r="AB20" s="106">
        <f t="shared" si="2"/>
        <v>0</v>
      </c>
      <c r="AC20" s="94" t="s">
        <v>3402</v>
      </c>
      <c r="AD20" s="94"/>
      <c r="AE20" s="94"/>
      <c r="AF20" s="94"/>
      <c r="AG20" s="94"/>
      <c r="AH20" s="263"/>
    </row>
    <row r="21" spans="1:34" ht="19.5" customHeight="1">
      <c r="A21" s="90" t="s">
        <v>178</v>
      </c>
      <c r="B21" s="88">
        <v>6000029365</v>
      </c>
      <c r="C21" s="2" t="s">
        <v>843</v>
      </c>
      <c r="D21" s="2">
        <v>4924045002</v>
      </c>
      <c r="E21" s="94">
        <v>4</v>
      </c>
      <c r="F21" s="74">
        <v>800</v>
      </c>
      <c r="G21" s="45">
        <f t="shared" si="0"/>
        <v>3200</v>
      </c>
      <c r="H21" s="119" t="s">
        <v>27</v>
      </c>
      <c r="I21" s="128">
        <v>45362</v>
      </c>
      <c r="J21" s="74">
        <v>800</v>
      </c>
      <c r="K21" s="74">
        <v>8</v>
      </c>
      <c r="L21" s="156">
        <v>45367</v>
      </c>
      <c r="M21" s="90">
        <v>3200</v>
      </c>
      <c r="N21" s="90">
        <v>32</v>
      </c>
      <c r="O21" s="90" t="s">
        <v>791</v>
      </c>
      <c r="P21" s="94" t="s">
        <v>1558</v>
      </c>
      <c r="Q21" s="94">
        <v>8500068895</v>
      </c>
      <c r="R21" s="94">
        <v>5000291362</v>
      </c>
      <c r="S21" s="74">
        <v>800</v>
      </c>
      <c r="T21" s="90" t="s">
        <v>87</v>
      </c>
      <c r="U21" s="90">
        <v>8500068894</v>
      </c>
      <c r="V21" s="90">
        <v>5000315000</v>
      </c>
      <c r="W21" s="109">
        <v>45388</v>
      </c>
      <c r="X21" s="106">
        <v>800</v>
      </c>
      <c r="Y21" s="106">
        <v>3200</v>
      </c>
      <c r="Z21" s="106" t="s">
        <v>1513</v>
      </c>
      <c r="AA21" s="106">
        <f t="shared" si="1"/>
        <v>0</v>
      </c>
      <c r="AB21" s="106">
        <f t="shared" si="2"/>
        <v>0</v>
      </c>
      <c r="AC21" s="94"/>
      <c r="AD21" s="94"/>
      <c r="AE21" s="94"/>
      <c r="AF21" s="94"/>
      <c r="AG21" s="94"/>
      <c r="AH21" s="263"/>
    </row>
    <row r="22" spans="1:34" ht="20.25" customHeight="1">
      <c r="A22" s="90"/>
      <c r="B22" s="88"/>
      <c r="C22" s="192"/>
      <c r="D22" s="192"/>
      <c r="E22" s="94">
        <v>4</v>
      </c>
      <c r="F22" s="74">
        <v>1800</v>
      </c>
      <c r="G22" s="45">
        <f t="shared" si="0"/>
        <v>7200</v>
      </c>
      <c r="H22" s="119" t="s">
        <v>46</v>
      </c>
      <c r="I22" s="128">
        <v>45362</v>
      </c>
      <c r="J22" s="74">
        <v>1800</v>
      </c>
      <c r="K22" s="74">
        <v>18</v>
      </c>
      <c r="L22" s="156">
        <v>45367</v>
      </c>
      <c r="M22" s="90">
        <v>7200</v>
      </c>
      <c r="N22" s="90">
        <v>72</v>
      </c>
      <c r="O22" s="90"/>
      <c r="P22" s="94" t="s">
        <v>1558</v>
      </c>
      <c r="Q22" s="94">
        <v>8500068895</v>
      </c>
      <c r="R22" s="94">
        <v>5000291362</v>
      </c>
      <c r="S22" s="74">
        <v>1800</v>
      </c>
      <c r="T22" s="90" t="s">
        <v>87</v>
      </c>
      <c r="U22" s="90">
        <v>8500068894</v>
      </c>
      <c r="V22" s="90">
        <v>5000315000</v>
      </c>
      <c r="W22" s="109">
        <v>45386</v>
      </c>
      <c r="X22" s="106">
        <v>1800</v>
      </c>
      <c r="Y22" s="106">
        <v>7200</v>
      </c>
      <c r="Z22" s="106" t="s">
        <v>755</v>
      </c>
      <c r="AA22" s="106">
        <f t="shared" si="1"/>
        <v>0</v>
      </c>
      <c r="AB22" s="106">
        <f t="shared" si="2"/>
        <v>0</v>
      </c>
      <c r="AC22" s="94"/>
      <c r="AD22" s="94"/>
      <c r="AE22" s="94"/>
      <c r="AF22" s="94"/>
      <c r="AG22" s="94"/>
      <c r="AH22" s="263"/>
    </row>
    <row r="23" spans="1:34" ht="31.5" customHeight="1">
      <c r="A23" s="90"/>
      <c r="B23" s="88"/>
      <c r="C23" s="192"/>
      <c r="D23" s="192"/>
      <c r="E23" s="94">
        <v>4</v>
      </c>
      <c r="F23" s="74">
        <v>1900</v>
      </c>
      <c r="G23" s="45">
        <f t="shared" si="0"/>
        <v>7600</v>
      </c>
      <c r="H23" s="119" t="s">
        <v>37</v>
      </c>
      <c r="I23" s="128">
        <v>45362</v>
      </c>
      <c r="J23" s="74">
        <v>1900</v>
      </c>
      <c r="K23" s="74">
        <v>19</v>
      </c>
      <c r="L23" s="156">
        <v>45367</v>
      </c>
      <c r="M23" s="90">
        <v>7600</v>
      </c>
      <c r="N23" s="90">
        <v>76</v>
      </c>
      <c r="O23" s="90"/>
      <c r="P23" s="94" t="s">
        <v>1558</v>
      </c>
      <c r="Q23" s="94">
        <v>8500068895</v>
      </c>
      <c r="R23" s="94">
        <v>5000291362</v>
      </c>
      <c r="S23" s="74">
        <v>1900</v>
      </c>
      <c r="T23" s="90" t="s">
        <v>87</v>
      </c>
      <c r="U23" s="90">
        <v>8500068894</v>
      </c>
      <c r="V23" s="90">
        <v>5000315000</v>
      </c>
      <c r="W23" s="360" t="s">
        <v>3247</v>
      </c>
      <c r="X23" s="106">
        <f>1000+900</f>
        <v>1900</v>
      </c>
      <c r="Y23" s="106">
        <f>4000+3600</f>
        <v>7600</v>
      </c>
      <c r="Z23" s="106" t="s">
        <v>3248</v>
      </c>
      <c r="AA23" s="106">
        <f t="shared" si="1"/>
        <v>0</v>
      </c>
      <c r="AB23" s="106">
        <f t="shared" si="2"/>
        <v>0</v>
      </c>
      <c r="AC23" s="94"/>
      <c r="AD23" s="94"/>
      <c r="AE23" s="94"/>
      <c r="AF23" s="94"/>
      <c r="AG23" s="94"/>
      <c r="AH23" s="263"/>
    </row>
    <row r="24" spans="1:34" ht="19.5" customHeight="1">
      <c r="A24" s="90"/>
      <c r="B24" s="88"/>
      <c r="C24" s="192"/>
      <c r="D24" s="192"/>
      <c r="E24" s="94">
        <v>4</v>
      </c>
      <c r="F24" s="74">
        <v>2000</v>
      </c>
      <c r="G24" s="45">
        <f t="shared" si="0"/>
        <v>8000</v>
      </c>
      <c r="H24" s="119" t="s">
        <v>146</v>
      </c>
      <c r="I24" s="128">
        <v>45362</v>
      </c>
      <c r="J24" s="74">
        <v>2000</v>
      </c>
      <c r="K24" s="74">
        <v>20</v>
      </c>
      <c r="L24" s="156">
        <v>45367</v>
      </c>
      <c r="M24" s="90">
        <v>8000</v>
      </c>
      <c r="N24" s="90">
        <v>80</v>
      </c>
      <c r="O24" s="90"/>
      <c r="P24" s="94" t="s">
        <v>1558</v>
      </c>
      <c r="Q24" s="94">
        <v>8500068895</v>
      </c>
      <c r="R24" s="94">
        <v>5000291362</v>
      </c>
      <c r="S24" s="74">
        <v>2000</v>
      </c>
      <c r="T24" s="90" t="s">
        <v>87</v>
      </c>
      <c r="U24" s="90">
        <v>8500068894</v>
      </c>
      <c r="V24" s="90">
        <v>5000315000</v>
      </c>
      <c r="W24" s="109">
        <v>45387</v>
      </c>
      <c r="X24" s="106">
        <v>2000</v>
      </c>
      <c r="Y24" s="106">
        <v>8000</v>
      </c>
      <c r="Z24" s="106" t="s">
        <v>798</v>
      </c>
      <c r="AA24" s="106">
        <f t="shared" si="1"/>
        <v>0</v>
      </c>
      <c r="AB24" s="106">
        <f t="shared" si="2"/>
        <v>0</v>
      </c>
      <c r="AC24" s="94"/>
      <c r="AD24" s="94"/>
      <c r="AE24" s="94"/>
      <c r="AF24" s="94"/>
      <c r="AG24" s="94"/>
      <c r="AH24" s="263"/>
    </row>
    <row r="25" spans="1:34" ht="23.25" customHeight="1">
      <c r="A25" s="90" t="s">
        <v>178</v>
      </c>
      <c r="B25" s="88">
        <v>6000029366</v>
      </c>
      <c r="C25" s="2" t="s">
        <v>843</v>
      </c>
      <c r="D25" s="2">
        <v>4924045003</v>
      </c>
      <c r="E25" s="94">
        <v>4</v>
      </c>
      <c r="F25" s="74">
        <v>800</v>
      </c>
      <c r="G25" s="45">
        <f t="shared" ref="G25:G32" si="3">E25*F25</f>
        <v>3200</v>
      </c>
      <c r="H25" s="119" t="s">
        <v>27</v>
      </c>
      <c r="I25" s="128">
        <v>45362</v>
      </c>
      <c r="J25" s="74">
        <v>800</v>
      </c>
      <c r="K25" s="74">
        <v>8</v>
      </c>
      <c r="L25" s="156">
        <v>45367</v>
      </c>
      <c r="M25" s="90">
        <v>3200</v>
      </c>
      <c r="N25" s="90">
        <v>32</v>
      </c>
      <c r="O25" s="90" t="s">
        <v>3150</v>
      </c>
      <c r="P25" s="94" t="s">
        <v>1558</v>
      </c>
      <c r="Q25" s="94">
        <v>8500068897</v>
      </c>
      <c r="R25" s="94">
        <v>5000291363</v>
      </c>
      <c r="S25" s="74">
        <v>800</v>
      </c>
      <c r="T25" s="90" t="s">
        <v>87</v>
      </c>
      <c r="U25" s="90">
        <v>8500068896</v>
      </c>
      <c r="V25" s="90">
        <v>5000322535</v>
      </c>
      <c r="W25" s="109">
        <v>45390</v>
      </c>
      <c r="X25" s="106">
        <v>800</v>
      </c>
      <c r="Y25" s="106">
        <v>3200</v>
      </c>
      <c r="Z25" s="106" t="s">
        <v>3282</v>
      </c>
      <c r="AA25" s="106">
        <f t="shared" si="1"/>
        <v>0</v>
      </c>
      <c r="AB25" s="106">
        <f t="shared" si="2"/>
        <v>0</v>
      </c>
      <c r="AC25" s="94"/>
      <c r="AD25" s="94"/>
      <c r="AE25" s="94"/>
      <c r="AF25" s="94"/>
      <c r="AG25" s="94"/>
      <c r="AH25" s="263"/>
    </row>
    <row r="26" spans="1:34" ht="19.5" customHeight="1">
      <c r="A26" s="90"/>
      <c r="B26" s="88"/>
      <c r="C26" s="192"/>
      <c r="D26" s="192"/>
      <c r="E26" s="94">
        <v>4</v>
      </c>
      <c r="F26" s="74">
        <v>1800</v>
      </c>
      <c r="G26" s="45">
        <f t="shared" si="3"/>
        <v>7200</v>
      </c>
      <c r="H26" s="119" t="s">
        <v>46</v>
      </c>
      <c r="I26" s="128">
        <v>45362</v>
      </c>
      <c r="J26" s="74">
        <v>1800</v>
      </c>
      <c r="K26" s="74">
        <v>18</v>
      </c>
      <c r="L26" s="156">
        <v>45367</v>
      </c>
      <c r="M26" s="90">
        <v>7200</v>
      </c>
      <c r="N26" s="90">
        <v>72</v>
      </c>
      <c r="O26" s="90"/>
      <c r="P26" s="94" t="s">
        <v>1558</v>
      </c>
      <c r="Q26" s="94">
        <v>8500068897</v>
      </c>
      <c r="R26" s="94">
        <v>5000291363</v>
      </c>
      <c r="S26" s="74">
        <v>1800</v>
      </c>
      <c r="T26" s="90" t="s">
        <v>87</v>
      </c>
      <c r="U26" s="90">
        <v>8500068896</v>
      </c>
      <c r="V26" s="90">
        <v>5000314806</v>
      </c>
      <c r="W26" s="109">
        <v>45388</v>
      </c>
      <c r="X26" s="106">
        <v>1800</v>
      </c>
      <c r="Y26" s="106">
        <v>7200</v>
      </c>
      <c r="Z26" s="106" t="s">
        <v>3278</v>
      </c>
      <c r="AA26" s="106">
        <f t="shared" si="1"/>
        <v>0</v>
      </c>
      <c r="AB26" s="106">
        <f t="shared" si="2"/>
        <v>0</v>
      </c>
      <c r="AC26" s="94"/>
      <c r="AD26" s="94"/>
      <c r="AE26" s="94"/>
      <c r="AF26" s="94"/>
      <c r="AG26" s="94"/>
      <c r="AH26" s="263"/>
    </row>
    <row r="27" spans="1:34" ht="19.5" customHeight="1">
      <c r="A27" s="90"/>
      <c r="B27" s="88"/>
      <c r="C27" s="192"/>
      <c r="D27" s="192"/>
      <c r="E27" s="94">
        <v>4</v>
      </c>
      <c r="F27" s="74">
        <v>1900</v>
      </c>
      <c r="G27" s="45">
        <f t="shared" si="3"/>
        <v>7600</v>
      </c>
      <c r="H27" s="119" t="s">
        <v>37</v>
      </c>
      <c r="I27" s="128">
        <v>45362</v>
      </c>
      <c r="J27" s="74">
        <v>1900</v>
      </c>
      <c r="K27" s="74">
        <v>19</v>
      </c>
      <c r="L27" s="156">
        <v>45366</v>
      </c>
      <c r="M27" s="90">
        <v>7600</v>
      </c>
      <c r="N27" s="90">
        <v>76</v>
      </c>
      <c r="O27" s="90"/>
      <c r="P27" s="94" t="s">
        <v>1558</v>
      </c>
      <c r="Q27" s="94">
        <v>8500068897</v>
      </c>
      <c r="R27" s="94">
        <v>5000291363</v>
      </c>
      <c r="S27" s="74">
        <v>1900</v>
      </c>
      <c r="T27" s="90" t="s">
        <v>87</v>
      </c>
      <c r="U27" s="90">
        <v>8500068896</v>
      </c>
      <c r="V27" s="90">
        <v>5000310289</v>
      </c>
      <c r="W27" s="360" t="s">
        <v>3276</v>
      </c>
      <c r="X27" s="106">
        <f>250+1650</f>
        <v>1900</v>
      </c>
      <c r="Y27" s="106">
        <f>1000+6600</f>
        <v>7600</v>
      </c>
      <c r="Z27" s="106" t="s">
        <v>3279</v>
      </c>
      <c r="AA27" s="106">
        <f t="shared" si="1"/>
        <v>0</v>
      </c>
      <c r="AB27" s="106">
        <f t="shared" si="2"/>
        <v>0</v>
      </c>
      <c r="AC27" s="94"/>
      <c r="AD27" s="111"/>
      <c r="AE27" s="94"/>
      <c r="AF27" s="94"/>
      <c r="AG27" s="94"/>
      <c r="AH27" s="263"/>
    </row>
    <row r="28" spans="1:34" ht="19.5" customHeight="1">
      <c r="A28" s="90"/>
      <c r="B28" s="88"/>
      <c r="C28" s="192"/>
      <c r="D28" s="192"/>
      <c r="E28" s="94">
        <v>4</v>
      </c>
      <c r="F28" s="74">
        <v>2000</v>
      </c>
      <c r="G28" s="45">
        <f t="shared" si="3"/>
        <v>8000</v>
      </c>
      <c r="H28" s="119" t="s">
        <v>146</v>
      </c>
      <c r="I28" s="128">
        <v>45362</v>
      </c>
      <c r="J28" s="74">
        <v>2000</v>
      </c>
      <c r="K28" s="74">
        <v>20</v>
      </c>
      <c r="L28" s="156">
        <v>45367</v>
      </c>
      <c r="M28" s="90">
        <v>8000</v>
      </c>
      <c r="N28" s="90">
        <v>80</v>
      </c>
      <c r="O28" s="90" t="s">
        <v>1439</v>
      </c>
      <c r="P28" s="94" t="s">
        <v>1558</v>
      </c>
      <c r="Q28" s="94">
        <v>8500068897</v>
      </c>
      <c r="R28" s="94">
        <v>5000291363</v>
      </c>
      <c r="S28" s="74">
        <v>2000</v>
      </c>
      <c r="T28" s="90" t="s">
        <v>87</v>
      </c>
      <c r="U28" s="90">
        <v>8500068896</v>
      </c>
      <c r="V28" s="90">
        <v>5000314806</v>
      </c>
      <c r="W28" s="109">
        <v>45392</v>
      </c>
      <c r="X28" s="106">
        <v>2000</v>
      </c>
      <c r="Y28" s="106">
        <v>8000</v>
      </c>
      <c r="Z28" s="106" t="s">
        <v>798</v>
      </c>
      <c r="AA28" s="106">
        <f t="shared" si="1"/>
        <v>0</v>
      </c>
      <c r="AB28" s="106">
        <f t="shared" si="2"/>
        <v>0</v>
      </c>
      <c r="AC28" s="94"/>
      <c r="AD28" s="94"/>
      <c r="AE28" s="94"/>
      <c r="AF28" s="94"/>
      <c r="AG28" s="94"/>
      <c r="AH28" s="263"/>
    </row>
    <row r="29" spans="1:34" ht="19.5" customHeight="1">
      <c r="A29" s="90" t="s">
        <v>178</v>
      </c>
      <c r="B29" s="88">
        <v>6000029367</v>
      </c>
      <c r="C29" s="2" t="s">
        <v>843</v>
      </c>
      <c r="D29" s="2">
        <v>4924045004</v>
      </c>
      <c r="E29" s="94">
        <v>4</v>
      </c>
      <c r="F29" s="74">
        <v>800</v>
      </c>
      <c r="G29" s="45">
        <f t="shared" si="3"/>
        <v>3200</v>
      </c>
      <c r="H29" s="119" t="s">
        <v>27</v>
      </c>
      <c r="I29" s="128">
        <v>45363</v>
      </c>
      <c r="J29" s="74">
        <v>800</v>
      </c>
      <c r="K29" s="74">
        <v>8</v>
      </c>
      <c r="L29" s="156">
        <v>45367</v>
      </c>
      <c r="M29" s="90">
        <v>3200</v>
      </c>
      <c r="N29" s="90">
        <v>32</v>
      </c>
      <c r="O29" s="90" t="s">
        <v>1412</v>
      </c>
      <c r="P29" s="94" t="s">
        <v>1558</v>
      </c>
      <c r="Q29" s="94">
        <v>8500068899</v>
      </c>
      <c r="R29" s="94">
        <v>5000294943</v>
      </c>
      <c r="S29" s="74">
        <v>800</v>
      </c>
      <c r="T29" s="90" t="s">
        <v>87</v>
      </c>
      <c r="U29" s="90">
        <v>8500068898</v>
      </c>
      <c r="V29" s="90">
        <v>5000322536</v>
      </c>
      <c r="W29" s="109" t="s">
        <v>3294</v>
      </c>
      <c r="X29" s="106">
        <f>300+500</f>
        <v>800</v>
      </c>
      <c r="Y29" s="106">
        <f>1200+2000</f>
        <v>3200</v>
      </c>
      <c r="Z29" s="106" t="s">
        <v>3295</v>
      </c>
      <c r="AA29" s="106">
        <f t="shared" si="1"/>
        <v>0</v>
      </c>
      <c r="AB29" s="106">
        <f t="shared" si="2"/>
        <v>0</v>
      </c>
      <c r="AC29" s="94"/>
      <c r="AD29" s="94"/>
      <c r="AE29" s="94"/>
      <c r="AF29" s="94"/>
      <c r="AG29" s="94"/>
      <c r="AH29" s="263"/>
    </row>
    <row r="30" spans="1:34" ht="19.5" customHeight="1">
      <c r="A30" s="90"/>
      <c r="B30" s="88"/>
      <c r="C30" s="2"/>
      <c r="D30" s="192"/>
      <c r="E30" s="94">
        <v>4</v>
      </c>
      <c r="F30" s="74">
        <v>1800</v>
      </c>
      <c r="G30" s="45">
        <f t="shared" si="3"/>
        <v>7200</v>
      </c>
      <c r="H30" s="119" t="s">
        <v>46</v>
      </c>
      <c r="I30" s="128">
        <v>45362</v>
      </c>
      <c r="J30" s="74">
        <v>1800</v>
      </c>
      <c r="K30" s="74">
        <v>18</v>
      </c>
      <c r="L30" s="156">
        <v>45367</v>
      </c>
      <c r="M30" s="90">
        <v>7200</v>
      </c>
      <c r="N30" s="90">
        <v>72</v>
      </c>
      <c r="O30" s="90"/>
      <c r="P30" s="94" t="s">
        <v>1558</v>
      </c>
      <c r="Q30" s="94">
        <v>8500068899</v>
      </c>
      <c r="R30" s="94">
        <v>5000291364</v>
      </c>
      <c r="S30" s="74">
        <v>1800</v>
      </c>
      <c r="T30" s="90" t="s">
        <v>87</v>
      </c>
      <c r="U30" s="90">
        <v>8500068898</v>
      </c>
      <c r="V30" s="90">
        <v>5000314807</v>
      </c>
      <c r="W30" s="109" t="s">
        <v>3294</v>
      </c>
      <c r="X30" s="106">
        <f>680+1120</f>
        <v>1800</v>
      </c>
      <c r="Y30" s="106">
        <f>2720+4480</f>
        <v>7200</v>
      </c>
      <c r="Z30" s="106" t="s">
        <v>3296</v>
      </c>
      <c r="AA30" s="106">
        <f t="shared" si="1"/>
        <v>0</v>
      </c>
      <c r="AB30" s="106">
        <f t="shared" si="2"/>
        <v>0</v>
      </c>
      <c r="AC30" s="94"/>
      <c r="AD30" s="94"/>
      <c r="AE30" s="94"/>
      <c r="AF30" s="94"/>
      <c r="AG30" s="94"/>
      <c r="AH30" s="263"/>
    </row>
    <row r="31" spans="1:34" ht="22.5" customHeight="1">
      <c r="A31" s="90"/>
      <c r="B31" s="88"/>
      <c r="C31" s="2"/>
      <c r="D31" s="192"/>
      <c r="E31" s="94">
        <v>4</v>
      </c>
      <c r="F31" s="74">
        <v>1900</v>
      </c>
      <c r="G31" s="45">
        <f t="shared" si="3"/>
        <v>7600</v>
      </c>
      <c r="H31" s="119" t="s">
        <v>37</v>
      </c>
      <c r="I31" s="128">
        <v>45363</v>
      </c>
      <c r="J31" s="74">
        <v>1900</v>
      </c>
      <c r="K31" s="74">
        <v>19</v>
      </c>
      <c r="L31" s="156">
        <v>45366</v>
      </c>
      <c r="M31" s="90">
        <v>7600</v>
      </c>
      <c r="N31" s="90">
        <v>76</v>
      </c>
      <c r="O31" s="90"/>
      <c r="P31" s="94" t="s">
        <v>1558</v>
      </c>
      <c r="Q31" s="94">
        <v>8500068899</v>
      </c>
      <c r="R31" s="94">
        <v>5000294943</v>
      </c>
      <c r="S31" s="74">
        <v>1900</v>
      </c>
      <c r="T31" s="90" t="s">
        <v>87</v>
      </c>
      <c r="U31" s="90">
        <v>8500068898</v>
      </c>
      <c r="V31" s="90">
        <v>5000310302</v>
      </c>
      <c r="W31" s="109">
        <v>45392</v>
      </c>
      <c r="X31" s="106">
        <v>1900</v>
      </c>
      <c r="Y31" s="106">
        <v>7600</v>
      </c>
      <c r="Z31" s="106" t="s">
        <v>3162</v>
      </c>
      <c r="AA31" s="106">
        <f t="shared" si="1"/>
        <v>0</v>
      </c>
      <c r="AB31" s="106">
        <f t="shared" si="2"/>
        <v>0</v>
      </c>
      <c r="AC31" s="94"/>
      <c r="AD31" s="94"/>
      <c r="AE31" s="94"/>
      <c r="AF31" s="94"/>
      <c r="AG31" s="94"/>
      <c r="AH31" s="263"/>
    </row>
    <row r="32" spans="1:34" ht="19.5" customHeight="1">
      <c r="A32" s="90"/>
      <c r="B32" s="88"/>
      <c r="C32" s="2"/>
      <c r="D32" s="192"/>
      <c r="E32" s="94">
        <v>4</v>
      </c>
      <c r="F32" s="74">
        <v>2000</v>
      </c>
      <c r="G32" s="45">
        <f t="shared" si="3"/>
        <v>8000</v>
      </c>
      <c r="H32" s="119" t="s">
        <v>146</v>
      </c>
      <c r="I32" s="128">
        <v>45363</v>
      </c>
      <c r="J32" s="74">
        <v>2000</v>
      </c>
      <c r="K32" s="74">
        <v>20</v>
      </c>
      <c r="L32" s="156">
        <v>45367</v>
      </c>
      <c r="M32" s="90">
        <v>8000</v>
      </c>
      <c r="N32" s="90">
        <v>80</v>
      </c>
      <c r="O32" s="90" t="s">
        <v>1439</v>
      </c>
      <c r="P32" s="94" t="s">
        <v>1558</v>
      </c>
      <c r="Q32" s="94">
        <v>8500068899</v>
      </c>
      <c r="R32" s="94">
        <v>5000294943</v>
      </c>
      <c r="S32" s="74">
        <v>2000</v>
      </c>
      <c r="T32" s="90" t="s">
        <v>87</v>
      </c>
      <c r="U32" s="90">
        <v>8500068898</v>
      </c>
      <c r="V32" s="90">
        <v>5000314807</v>
      </c>
      <c r="W32" s="109">
        <v>45395</v>
      </c>
      <c r="X32" s="106">
        <v>2000</v>
      </c>
      <c r="Y32" s="106">
        <v>8000</v>
      </c>
      <c r="Z32" s="106" t="s">
        <v>798</v>
      </c>
      <c r="AA32" s="106">
        <f t="shared" si="1"/>
        <v>0</v>
      </c>
      <c r="AB32" s="106">
        <f t="shared" si="2"/>
        <v>0</v>
      </c>
      <c r="AC32" s="94"/>
      <c r="AD32" s="94"/>
      <c r="AE32" s="94"/>
      <c r="AF32" s="94"/>
      <c r="AG32" s="94"/>
      <c r="AH32" s="263"/>
    </row>
    <row r="33" spans="1:34" ht="19.5" customHeight="1">
      <c r="A33" s="90" t="s">
        <v>692</v>
      </c>
      <c r="B33" s="88">
        <v>6000029015</v>
      </c>
      <c r="C33" s="2" t="s">
        <v>1399</v>
      </c>
      <c r="D33" s="2" t="s">
        <v>3019</v>
      </c>
      <c r="E33" s="94">
        <v>10</v>
      </c>
      <c r="F33" s="74">
        <v>800</v>
      </c>
      <c r="G33" s="45">
        <f t="shared" si="0"/>
        <v>8000</v>
      </c>
      <c r="H33" s="119" t="s">
        <v>27</v>
      </c>
      <c r="I33" s="128">
        <v>45367</v>
      </c>
      <c r="J33" s="74">
        <v>800</v>
      </c>
      <c r="K33" s="74">
        <f>16+1</f>
        <v>17</v>
      </c>
      <c r="L33" s="156">
        <v>45366</v>
      </c>
      <c r="M33" s="90">
        <v>8000</v>
      </c>
      <c r="N33" s="90">
        <v>80</v>
      </c>
      <c r="O33" s="90" t="s">
        <v>862</v>
      </c>
      <c r="P33" s="94" t="s">
        <v>160</v>
      </c>
      <c r="Q33" s="94">
        <v>8500068306</v>
      </c>
      <c r="R33" s="94">
        <v>5000313737</v>
      </c>
      <c r="S33" s="74">
        <v>800</v>
      </c>
      <c r="T33" s="90" t="s">
        <v>1558</v>
      </c>
      <c r="U33" s="90">
        <v>8500068305</v>
      </c>
      <c r="V33" s="90">
        <v>5000313030</v>
      </c>
      <c r="W33" s="109">
        <v>45374</v>
      </c>
      <c r="X33" s="106">
        <v>800</v>
      </c>
      <c r="Y33" s="106">
        <v>8000</v>
      </c>
      <c r="Z33" s="106" t="s">
        <v>800</v>
      </c>
      <c r="AA33" s="106">
        <f t="shared" si="1"/>
        <v>0</v>
      </c>
      <c r="AB33" s="106">
        <f t="shared" si="2"/>
        <v>0</v>
      </c>
      <c r="AC33" s="94"/>
      <c r="AD33" s="94"/>
      <c r="AE33" s="94"/>
      <c r="AF33" s="94"/>
      <c r="AG33" s="94"/>
      <c r="AH33" s="263"/>
    </row>
    <row r="34" spans="1:34" ht="18.75" customHeight="1">
      <c r="A34" s="90"/>
      <c r="B34" s="88"/>
      <c r="C34" s="2"/>
      <c r="D34" s="2" t="s">
        <v>3020</v>
      </c>
      <c r="E34" s="94">
        <v>10</v>
      </c>
      <c r="F34" s="74">
        <v>1122</v>
      </c>
      <c r="G34" s="45">
        <f t="shared" si="0"/>
        <v>11220</v>
      </c>
      <c r="H34" s="119" t="s">
        <v>46</v>
      </c>
      <c r="I34" s="128">
        <v>45367</v>
      </c>
      <c r="J34" s="74">
        <v>1122</v>
      </c>
      <c r="K34" s="74">
        <f>23+2</f>
        <v>25</v>
      </c>
      <c r="L34" s="156">
        <v>45366</v>
      </c>
      <c r="M34" s="90">
        <v>11220</v>
      </c>
      <c r="N34" s="90">
        <v>112</v>
      </c>
      <c r="O34" s="90" t="s">
        <v>1439</v>
      </c>
      <c r="P34" s="94" t="s">
        <v>160</v>
      </c>
      <c r="Q34" s="94">
        <v>8500068304</v>
      </c>
      <c r="R34" s="94">
        <v>5000313738</v>
      </c>
      <c r="S34" s="74">
        <v>1122</v>
      </c>
      <c r="T34" s="90" t="s">
        <v>1558</v>
      </c>
      <c r="U34" s="90">
        <v>8500068303</v>
      </c>
      <c r="V34" s="90">
        <v>5000313031</v>
      </c>
      <c r="W34" s="109" t="s">
        <v>3189</v>
      </c>
      <c r="X34" s="106">
        <f>400+722</f>
        <v>1122</v>
      </c>
      <c r="Y34" s="106">
        <f>4000+7220</f>
        <v>11220</v>
      </c>
      <c r="Z34" s="106" t="s">
        <v>3190</v>
      </c>
      <c r="AA34" s="106">
        <f t="shared" si="1"/>
        <v>0</v>
      </c>
      <c r="AB34" s="106">
        <f t="shared" si="2"/>
        <v>0</v>
      </c>
      <c r="AC34" s="94"/>
      <c r="AD34" s="94"/>
      <c r="AE34" s="94"/>
      <c r="AF34" s="94"/>
      <c r="AG34" s="94"/>
      <c r="AH34" s="263"/>
    </row>
    <row r="35" spans="1:34" ht="19.5" customHeight="1">
      <c r="A35" s="90"/>
      <c r="B35" s="88"/>
      <c r="C35" s="2"/>
      <c r="D35" s="2" t="s">
        <v>3018</v>
      </c>
      <c r="E35" s="94">
        <v>10</v>
      </c>
      <c r="F35" s="74">
        <v>750</v>
      </c>
      <c r="G35" s="45">
        <f t="shared" si="0"/>
        <v>7500</v>
      </c>
      <c r="H35" s="119" t="s">
        <v>37</v>
      </c>
      <c r="I35" s="128">
        <v>45366</v>
      </c>
      <c r="J35" s="158">
        <v>750</v>
      </c>
      <c r="K35" s="74">
        <f>15+3</f>
        <v>18</v>
      </c>
      <c r="L35" s="156">
        <v>45366</v>
      </c>
      <c r="M35" s="90">
        <v>7500</v>
      </c>
      <c r="N35" s="90">
        <v>75</v>
      </c>
      <c r="O35" s="90" t="s">
        <v>1439</v>
      </c>
      <c r="P35" s="94" t="s">
        <v>160</v>
      </c>
      <c r="Q35" s="94">
        <v>8500068302</v>
      </c>
      <c r="R35" s="94">
        <v>5000309693</v>
      </c>
      <c r="S35" s="158">
        <v>750</v>
      </c>
      <c r="T35" s="90" t="s">
        <v>1558</v>
      </c>
      <c r="U35" s="90">
        <v>8500068301</v>
      </c>
      <c r="V35" s="90">
        <v>5000313033</v>
      </c>
      <c r="W35" s="109">
        <v>45374</v>
      </c>
      <c r="X35" s="106">
        <v>750</v>
      </c>
      <c r="Y35" s="106">
        <v>7500</v>
      </c>
      <c r="Z35" s="106" t="s">
        <v>800</v>
      </c>
      <c r="AA35" s="106">
        <f t="shared" si="1"/>
        <v>0</v>
      </c>
      <c r="AB35" s="106">
        <f t="shared" si="2"/>
        <v>0</v>
      </c>
      <c r="AC35" s="94"/>
      <c r="AD35" s="94"/>
      <c r="AE35" s="94"/>
      <c r="AF35" s="94"/>
      <c r="AG35" s="94"/>
      <c r="AH35" s="263"/>
    </row>
    <row r="36" spans="1:34" ht="19.5" customHeight="1">
      <c r="A36" s="90"/>
      <c r="B36" s="88"/>
      <c r="C36" s="2"/>
      <c r="D36" s="2" t="s">
        <v>3021</v>
      </c>
      <c r="E36" s="94">
        <v>10</v>
      </c>
      <c r="F36" s="74">
        <v>100</v>
      </c>
      <c r="G36" s="45">
        <f t="shared" si="0"/>
        <v>1000</v>
      </c>
      <c r="H36" s="119" t="s">
        <v>146</v>
      </c>
      <c r="I36" s="128">
        <v>45367</v>
      </c>
      <c r="J36" s="74">
        <v>100</v>
      </c>
      <c r="K36" s="74">
        <f>3+2</f>
        <v>5</v>
      </c>
      <c r="L36" s="156">
        <v>45366</v>
      </c>
      <c r="M36" s="90">
        <v>1000</v>
      </c>
      <c r="N36" s="90">
        <v>10</v>
      </c>
      <c r="O36" s="90" t="s">
        <v>1556</v>
      </c>
      <c r="P36" s="94" t="s">
        <v>160</v>
      </c>
      <c r="Q36" s="94">
        <v>8500068308</v>
      </c>
      <c r="R36" s="94">
        <v>5000313739</v>
      </c>
      <c r="S36" s="74">
        <v>100</v>
      </c>
      <c r="T36" s="90" t="s">
        <v>1558</v>
      </c>
      <c r="U36" s="90">
        <v>8500068307</v>
      </c>
      <c r="V36" s="90">
        <v>5000313035</v>
      </c>
      <c r="W36" s="109">
        <v>45374</v>
      </c>
      <c r="X36" s="106">
        <v>100</v>
      </c>
      <c r="Y36" s="106">
        <v>1000</v>
      </c>
      <c r="Z36" s="106" t="s">
        <v>800</v>
      </c>
      <c r="AA36" s="106">
        <f t="shared" si="1"/>
        <v>0</v>
      </c>
      <c r="AB36" s="106">
        <f t="shared" si="2"/>
        <v>0</v>
      </c>
      <c r="AC36" s="94"/>
      <c r="AD36" s="94"/>
      <c r="AE36" s="94"/>
      <c r="AF36" s="94"/>
      <c r="AG36" s="94"/>
      <c r="AH36" s="263"/>
    </row>
    <row r="37" spans="1:34" ht="19.5" customHeight="1">
      <c r="A37" s="90" t="s">
        <v>692</v>
      </c>
      <c r="B37" s="88">
        <v>6000029018</v>
      </c>
      <c r="C37" s="2" t="s">
        <v>1399</v>
      </c>
      <c r="D37" s="2" t="s">
        <v>3023</v>
      </c>
      <c r="E37" s="94">
        <v>10</v>
      </c>
      <c r="F37" s="74">
        <v>800</v>
      </c>
      <c r="G37" s="45">
        <f t="shared" si="0"/>
        <v>8000</v>
      </c>
      <c r="H37" s="119" t="s">
        <v>27</v>
      </c>
      <c r="I37" s="128">
        <v>45367</v>
      </c>
      <c r="J37" s="261">
        <v>800</v>
      </c>
      <c r="K37" s="74">
        <f>16+4</f>
        <v>20</v>
      </c>
      <c r="L37" s="156">
        <v>45366</v>
      </c>
      <c r="M37" s="90">
        <v>8000</v>
      </c>
      <c r="N37" s="90">
        <v>80</v>
      </c>
      <c r="O37" s="90" t="s">
        <v>1439</v>
      </c>
      <c r="P37" s="94" t="s">
        <v>160</v>
      </c>
      <c r="Q37" s="94">
        <v>8500068324</v>
      </c>
      <c r="R37" s="94">
        <v>5000313776</v>
      </c>
      <c r="S37" s="261">
        <v>800</v>
      </c>
      <c r="T37" s="90" t="s">
        <v>1558</v>
      </c>
      <c r="U37" s="90">
        <v>8500068323</v>
      </c>
      <c r="V37" s="90">
        <v>5000313055</v>
      </c>
      <c r="W37" s="109">
        <v>45371</v>
      </c>
      <c r="X37" s="106">
        <v>800</v>
      </c>
      <c r="Y37" s="106">
        <v>8000</v>
      </c>
      <c r="Z37" s="106" t="s">
        <v>800</v>
      </c>
      <c r="AA37" s="106">
        <f t="shared" si="1"/>
        <v>0</v>
      </c>
      <c r="AB37" s="106">
        <f t="shared" si="2"/>
        <v>0</v>
      </c>
      <c r="AC37" s="94"/>
      <c r="AD37" s="94"/>
      <c r="AE37" s="94"/>
      <c r="AF37" s="94"/>
      <c r="AG37" s="94"/>
      <c r="AH37" s="263"/>
    </row>
    <row r="38" spans="1:34" ht="18.75" customHeight="1">
      <c r="A38" s="90"/>
      <c r="B38" s="88"/>
      <c r="C38" s="2"/>
      <c r="D38" s="2" t="s">
        <v>3024</v>
      </c>
      <c r="E38" s="94">
        <v>10</v>
      </c>
      <c r="F38" s="74">
        <v>1122</v>
      </c>
      <c r="G38" s="45">
        <f t="shared" si="0"/>
        <v>11220</v>
      </c>
      <c r="H38" s="119" t="s">
        <v>46</v>
      </c>
      <c r="I38" s="128">
        <v>45366</v>
      </c>
      <c r="J38" s="74">
        <v>1122</v>
      </c>
      <c r="K38" s="74">
        <v>23</v>
      </c>
      <c r="L38" s="156">
        <v>45366</v>
      </c>
      <c r="M38" s="90">
        <v>11220</v>
      </c>
      <c r="N38" s="90">
        <v>112</v>
      </c>
      <c r="O38" s="90" t="s">
        <v>1439</v>
      </c>
      <c r="P38" s="94" t="s">
        <v>160</v>
      </c>
      <c r="Q38" s="94">
        <v>8500068322</v>
      </c>
      <c r="R38" s="94">
        <v>5000310123</v>
      </c>
      <c r="S38" s="74">
        <v>1122</v>
      </c>
      <c r="T38" s="90" t="s">
        <v>1558</v>
      </c>
      <c r="U38" s="90">
        <v>8500068321</v>
      </c>
      <c r="V38" s="90">
        <v>5000313057</v>
      </c>
      <c r="W38" s="109">
        <v>45367</v>
      </c>
      <c r="X38" s="106">
        <v>1122</v>
      </c>
      <c r="Y38" s="106">
        <v>11220</v>
      </c>
      <c r="Z38" s="106" t="s">
        <v>800</v>
      </c>
      <c r="AA38" s="106">
        <f t="shared" si="1"/>
        <v>0</v>
      </c>
      <c r="AB38" s="106">
        <f t="shared" si="2"/>
        <v>0</v>
      </c>
      <c r="AC38" s="94"/>
      <c r="AD38" s="94"/>
      <c r="AE38" s="94"/>
      <c r="AF38" s="94"/>
      <c r="AG38" s="94"/>
      <c r="AH38" s="263"/>
    </row>
    <row r="39" spans="1:34" ht="19.5" customHeight="1">
      <c r="A39" s="90"/>
      <c r="B39" s="88"/>
      <c r="C39" s="2"/>
      <c r="D39" s="2" t="s">
        <v>3022</v>
      </c>
      <c r="E39" s="94">
        <v>10</v>
      </c>
      <c r="F39" s="74">
        <v>750</v>
      </c>
      <c r="G39" s="45">
        <f t="shared" si="0"/>
        <v>7500</v>
      </c>
      <c r="H39" s="119" t="s">
        <v>37</v>
      </c>
      <c r="I39" s="128">
        <v>45366</v>
      </c>
      <c r="J39" s="74">
        <v>750</v>
      </c>
      <c r="K39" s="74">
        <f>15+3</f>
        <v>18</v>
      </c>
      <c r="L39" s="156">
        <v>45366</v>
      </c>
      <c r="M39" s="90">
        <v>7500</v>
      </c>
      <c r="N39" s="90">
        <v>75</v>
      </c>
      <c r="O39" s="90"/>
      <c r="P39" s="94" t="s">
        <v>160</v>
      </c>
      <c r="Q39" s="94">
        <v>8500068344</v>
      </c>
      <c r="R39" s="94">
        <v>5000310125</v>
      </c>
      <c r="S39" s="74">
        <v>750</v>
      </c>
      <c r="T39" s="90" t="s">
        <v>1558</v>
      </c>
      <c r="U39" s="90">
        <v>8500068319</v>
      </c>
      <c r="V39" s="90">
        <v>5000313059</v>
      </c>
      <c r="W39" s="109">
        <v>45367</v>
      </c>
      <c r="X39" s="106">
        <v>750</v>
      </c>
      <c r="Y39" s="106">
        <v>7500</v>
      </c>
      <c r="Z39" s="106" t="s">
        <v>800</v>
      </c>
      <c r="AA39" s="106">
        <f t="shared" si="1"/>
        <v>0</v>
      </c>
      <c r="AB39" s="106">
        <f t="shared" si="2"/>
        <v>0</v>
      </c>
      <c r="AC39" s="94"/>
      <c r="AD39" s="94"/>
      <c r="AE39" s="94"/>
      <c r="AF39" s="94"/>
      <c r="AG39" s="94"/>
      <c r="AH39" s="263"/>
    </row>
    <row r="40" spans="1:34" ht="19.5" customHeight="1">
      <c r="A40" s="90"/>
      <c r="B40" s="88"/>
      <c r="C40" s="2"/>
      <c r="D40" s="2" t="s">
        <v>3025</v>
      </c>
      <c r="E40" s="94">
        <v>10</v>
      </c>
      <c r="F40" s="74">
        <v>100</v>
      </c>
      <c r="G40" s="45">
        <f t="shared" si="0"/>
        <v>1000</v>
      </c>
      <c r="H40" s="119" t="s">
        <v>146</v>
      </c>
      <c r="I40" s="128">
        <v>45367</v>
      </c>
      <c r="J40" s="158">
        <v>100</v>
      </c>
      <c r="K40" s="74">
        <f>3+2</f>
        <v>5</v>
      </c>
      <c r="L40" s="156">
        <v>45366</v>
      </c>
      <c r="M40" s="90">
        <v>1000</v>
      </c>
      <c r="N40" s="90">
        <v>10</v>
      </c>
      <c r="O40" s="90" t="s">
        <v>922</v>
      </c>
      <c r="P40" s="94" t="s">
        <v>160</v>
      </c>
      <c r="Q40" s="94">
        <v>8500068326</v>
      </c>
      <c r="R40" s="94">
        <v>5000313777</v>
      </c>
      <c r="S40" s="158">
        <v>100</v>
      </c>
      <c r="T40" s="90" t="s">
        <v>1558</v>
      </c>
      <c r="U40" s="90">
        <v>8500068325</v>
      </c>
      <c r="V40" s="90">
        <v>5000313061</v>
      </c>
      <c r="W40" s="109">
        <v>45371</v>
      </c>
      <c r="X40" s="106">
        <v>100</v>
      </c>
      <c r="Y40" s="106">
        <v>1000</v>
      </c>
      <c r="Z40" s="106" t="s">
        <v>800</v>
      </c>
      <c r="AA40" s="106">
        <f t="shared" si="1"/>
        <v>0</v>
      </c>
      <c r="AB40" s="106">
        <f t="shared" si="2"/>
        <v>0</v>
      </c>
      <c r="AC40" s="94"/>
      <c r="AD40" s="94"/>
      <c r="AE40" s="94"/>
      <c r="AF40" s="94"/>
      <c r="AG40" s="94"/>
      <c r="AH40" s="263"/>
    </row>
    <row r="41" spans="1:34" ht="19.5" customHeight="1">
      <c r="A41" s="90" t="s">
        <v>692</v>
      </c>
      <c r="B41" s="88">
        <v>6000029023</v>
      </c>
      <c r="C41" s="2" t="s">
        <v>1399</v>
      </c>
      <c r="D41" s="2" t="s">
        <v>3029</v>
      </c>
      <c r="E41" s="94">
        <v>10</v>
      </c>
      <c r="F41" s="74">
        <v>800</v>
      </c>
      <c r="G41" s="45">
        <f>E41*F41</f>
        <v>8000</v>
      </c>
      <c r="H41" s="119" t="s">
        <v>27</v>
      </c>
      <c r="I41" s="128">
        <v>45367</v>
      </c>
      <c r="J41" s="158">
        <v>800</v>
      </c>
      <c r="K41" s="74">
        <v>16</v>
      </c>
      <c r="L41" s="156">
        <v>45367</v>
      </c>
      <c r="M41" s="90">
        <v>8000</v>
      </c>
      <c r="N41" s="90">
        <v>80</v>
      </c>
      <c r="O41" s="90" t="s">
        <v>1743</v>
      </c>
      <c r="P41" s="94" t="s">
        <v>160</v>
      </c>
      <c r="Q41" s="94">
        <v>8500068316</v>
      </c>
      <c r="R41" s="94">
        <v>5000313780</v>
      </c>
      <c r="S41" s="261">
        <v>800</v>
      </c>
      <c r="T41" s="90" t="s">
        <v>1558</v>
      </c>
      <c r="U41" s="90">
        <v>8500068315</v>
      </c>
      <c r="V41" s="90">
        <v>5000314757</v>
      </c>
      <c r="W41" s="109">
        <v>45381</v>
      </c>
      <c r="X41" s="106">
        <v>800</v>
      </c>
      <c r="Y41" s="106">
        <v>8000</v>
      </c>
      <c r="Z41" s="106" t="s">
        <v>800</v>
      </c>
      <c r="AA41" s="106">
        <f t="shared" si="1"/>
        <v>0</v>
      </c>
      <c r="AB41" s="106">
        <f t="shared" si="2"/>
        <v>0</v>
      </c>
      <c r="AC41" s="111"/>
      <c r="AD41" s="94"/>
      <c r="AE41" s="94"/>
      <c r="AF41" s="94"/>
      <c r="AG41" s="94"/>
      <c r="AH41" s="263"/>
    </row>
    <row r="42" spans="1:34" ht="28.5" customHeight="1">
      <c r="A42" s="90"/>
      <c r="B42" s="88"/>
      <c r="C42" s="2"/>
      <c r="D42" s="2" t="s">
        <v>3026</v>
      </c>
      <c r="E42" s="94">
        <v>10</v>
      </c>
      <c r="F42" s="74">
        <v>1122</v>
      </c>
      <c r="G42" s="45">
        <f>E42*F42</f>
        <v>11220</v>
      </c>
      <c r="H42" s="119" t="s">
        <v>46</v>
      </c>
      <c r="I42" s="128">
        <v>45366</v>
      </c>
      <c r="J42" s="74">
        <v>1122</v>
      </c>
      <c r="K42" s="74">
        <f>23+5</f>
        <v>28</v>
      </c>
      <c r="L42" s="156">
        <v>45367</v>
      </c>
      <c r="M42" s="90">
        <v>11220</v>
      </c>
      <c r="N42" s="90">
        <v>112</v>
      </c>
      <c r="O42" s="90" t="s">
        <v>741</v>
      </c>
      <c r="P42" s="94" t="s">
        <v>160</v>
      </c>
      <c r="Q42" s="94">
        <v>8500068314</v>
      </c>
      <c r="R42" s="53">
        <v>5000310279</v>
      </c>
      <c r="S42" s="74">
        <v>1122</v>
      </c>
      <c r="T42" s="90" t="s">
        <v>1558</v>
      </c>
      <c r="U42" s="90">
        <v>8500068313</v>
      </c>
      <c r="V42" s="90">
        <v>5000314758</v>
      </c>
      <c r="W42" s="109" t="s">
        <v>3225</v>
      </c>
      <c r="X42" s="106">
        <f>500+122+500</f>
        <v>1122</v>
      </c>
      <c r="Y42" s="106">
        <f>5000+1220+5000</f>
        <v>11220</v>
      </c>
      <c r="Z42" s="106" t="s">
        <v>3226</v>
      </c>
      <c r="AA42" s="106">
        <f t="shared" si="1"/>
        <v>0</v>
      </c>
      <c r="AB42" s="106">
        <f t="shared" si="2"/>
        <v>0</v>
      </c>
      <c r="AC42" s="111"/>
      <c r="AD42" s="94"/>
      <c r="AE42" s="94"/>
      <c r="AF42" s="94"/>
      <c r="AG42" s="94"/>
      <c r="AH42" s="263"/>
    </row>
    <row r="43" spans="1:34" ht="19.5" customHeight="1">
      <c r="A43" s="90"/>
      <c r="B43" s="88"/>
      <c r="C43" s="2"/>
      <c r="D43" s="2" t="s">
        <v>3027</v>
      </c>
      <c r="E43" s="94">
        <v>10</v>
      </c>
      <c r="F43" s="74">
        <v>750</v>
      </c>
      <c r="G43" s="45">
        <f>E43*F43</f>
        <v>7500</v>
      </c>
      <c r="H43" s="119" t="s">
        <v>37</v>
      </c>
      <c r="I43" s="128">
        <v>45366</v>
      </c>
      <c r="J43" s="74">
        <v>750</v>
      </c>
      <c r="K43" s="74">
        <f>15+2</f>
        <v>17</v>
      </c>
      <c r="L43" s="156">
        <v>45366</v>
      </c>
      <c r="M43" s="90">
        <v>7500</v>
      </c>
      <c r="N43" s="90">
        <v>75</v>
      </c>
      <c r="O43" s="90"/>
      <c r="P43" s="94" t="s">
        <v>160</v>
      </c>
      <c r="Q43" s="94">
        <v>8500068312</v>
      </c>
      <c r="R43" s="94">
        <v>5000310280</v>
      </c>
      <c r="S43" s="74">
        <v>750</v>
      </c>
      <c r="T43" s="90" t="s">
        <v>1558</v>
      </c>
      <c r="U43" s="90">
        <v>8500068311</v>
      </c>
      <c r="V43" s="90">
        <v>5000313103</v>
      </c>
      <c r="W43" s="109">
        <v>45379</v>
      </c>
      <c r="X43" s="106">
        <v>750</v>
      </c>
      <c r="Y43" s="106">
        <v>7500</v>
      </c>
      <c r="Z43" s="106" t="s">
        <v>800</v>
      </c>
      <c r="AA43" s="106">
        <f t="shared" si="1"/>
        <v>0</v>
      </c>
      <c r="AB43" s="106">
        <f t="shared" si="2"/>
        <v>0</v>
      </c>
      <c r="AC43" s="111"/>
      <c r="AD43" s="94"/>
      <c r="AE43" s="94"/>
      <c r="AF43" s="94"/>
      <c r="AG43" s="94"/>
      <c r="AH43" s="263"/>
    </row>
    <row r="44" spans="1:34" ht="19.5" customHeight="1">
      <c r="A44" s="90"/>
      <c r="B44" s="88"/>
      <c r="C44" s="2"/>
      <c r="D44" s="2" t="s">
        <v>3028</v>
      </c>
      <c r="E44" s="94">
        <v>10</v>
      </c>
      <c r="F44" s="74">
        <v>100</v>
      </c>
      <c r="G44" s="45">
        <f>E44*F44</f>
        <v>1000</v>
      </c>
      <c r="H44" s="119" t="s">
        <v>146</v>
      </c>
      <c r="I44" s="128">
        <v>45367</v>
      </c>
      <c r="J44" s="74">
        <v>100</v>
      </c>
      <c r="K44" s="74">
        <v>3</v>
      </c>
      <c r="L44" s="156">
        <v>45366</v>
      </c>
      <c r="M44" s="90">
        <v>1000</v>
      </c>
      <c r="N44" s="90">
        <v>10</v>
      </c>
      <c r="O44" s="90" t="s">
        <v>1556</v>
      </c>
      <c r="P44" s="94" t="s">
        <v>160</v>
      </c>
      <c r="Q44" s="94">
        <v>8500068318</v>
      </c>
      <c r="R44" s="94">
        <v>5000313782</v>
      </c>
      <c r="S44" s="158">
        <v>100</v>
      </c>
      <c r="T44" s="90" t="s">
        <v>1558</v>
      </c>
      <c r="U44" s="90">
        <v>8500068317</v>
      </c>
      <c r="V44" s="90">
        <v>5000313106</v>
      </c>
      <c r="W44" s="109">
        <v>45379</v>
      </c>
      <c r="X44" s="106">
        <v>100</v>
      </c>
      <c r="Y44" s="106">
        <v>1000</v>
      </c>
      <c r="Z44" s="106" t="s">
        <v>800</v>
      </c>
      <c r="AA44" s="106">
        <f t="shared" si="1"/>
        <v>0</v>
      </c>
      <c r="AB44" s="106">
        <f t="shared" si="2"/>
        <v>0</v>
      </c>
      <c r="AC44" s="111"/>
      <c r="AD44" s="94"/>
      <c r="AE44" s="94"/>
      <c r="AF44" s="94"/>
      <c r="AG44" s="94"/>
      <c r="AH44" s="263"/>
    </row>
    <row r="45" spans="1:34" ht="25.5" customHeight="1">
      <c r="A45" s="90" t="s">
        <v>692</v>
      </c>
      <c r="B45" s="88">
        <v>6000029154</v>
      </c>
      <c r="C45" s="2" t="s">
        <v>1529</v>
      </c>
      <c r="D45" s="2" t="s">
        <v>3030</v>
      </c>
      <c r="E45" s="94">
        <v>20</v>
      </c>
      <c r="F45" s="74">
        <v>350</v>
      </c>
      <c r="G45" s="45">
        <f t="shared" si="0"/>
        <v>7000</v>
      </c>
      <c r="H45" s="119" t="s">
        <v>27</v>
      </c>
      <c r="I45" s="128">
        <v>45372</v>
      </c>
      <c r="J45" s="74">
        <v>350</v>
      </c>
      <c r="K45" s="74">
        <f>5+2</f>
        <v>7</v>
      </c>
      <c r="L45" s="156">
        <v>45366</v>
      </c>
      <c r="M45" s="90">
        <v>7000</v>
      </c>
      <c r="N45" s="90">
        <v>70</v>
      </c>
      <c r="O45" s="90" t="s">
        <v>1637</v>
      </c>
      <c r="P45" s="94" t="s">
        <v>160</v>
      </c>
      <c r="Q45" s="94">
        <v>8500068552</v>
      </c>
      <c r="R45" s="94">
        <v>5000341314</v>
      </c>
      <c r="S45" s="74">
        <v>350</v>
      </c>
      <c r="T45" s="90" t="s">
        <v>1558</v>
      </c>
      <c r="U45" s="90">
        <v>8500068551</v>
      </c>
      <c r="V45" s="90">
        <v>5000313134</v>
      </c>
      <c r="W45" s="109">
        <v>45409</v>
      </c>
      <c r="X45" s="106">
        <v>350</v>
      </c>
      <c r="Y45" s="106">
        <v>7000</v>
      </c>
      <c r="Z45" s="106" t="s">
        <v>1783</v>
      </c>
      <c r="AA45" s="106">
        <f t="shared" si="1"/>
        <v>0</v>
      </c>
      <c r="AB45" s="106">
        <f t="shared" si="2"/>
        <v>0</v>
      </c>
      <c r="AC45" s="111" t="s">
        <v>3321</v>
      </c>
      <c r="AD45" s="94"/>
      <c r="AE45" s="94"/>
      <c r="AF45" s="94"/>
      <c r="AG45" s="94"/>
      <c r="AH45" s="263"/>
    </row>
    <row r="46" spans="1:34" ht="25.5" customHeight="1">
      <c r="A46" s="90"/>
      <c r="B46" s="88"/>
      <c r="C46" s="2"/>
      <c r="D46" s="192" t="s">
        <v>3031</v>
      </c>
      <c r="E46" s="94">
        <v>20</v>
      </c>
      <c r="F46" s="74">
        <v>640</v>
      </c>
      <c r="G46" s="45">
        <f t="shared" si="0"/>
        <v>12800</v>
      </c>
      <c r="H46" s="119" t="s">
        <v>46</v>
      </c>
      <c r="I46" s="128">
        <v>45371</v>
      </c>
      <c r="J46" s="74">
        <v>640</v>
      </c>
      <c r="K46" s="74">
        <v>10</v>
      </c>
      <c r="L46" s="156">
        <v>45366</v>
      </c>
      <c r="M46" s="90">
        <v>12800</v>
      </c>
      <c r="N46" s="90">
        <v>128</v>
      </c>
      <c r="O46" s="90"/>
      <c r="P46" s="94" t="s">
        <v>160</v>
      </c>
      <c r="Q46" s="94">
        <v>8500068557</v>
      </c>
      <c r="R46" s="94">
        <v>5000332448</v>
      </c>
      <c r="S46" s="74">
        <v>640</v>
      </c>
      <c r="T46" s="90" t="s">
        <v>1558</v>
      </c>
      <c r="U46" s="90">
        <v>8500068549</v>
      </c>
      <c r="V46" s="90">
        <v>5000313135</v>
      </c>
      <c r="W46" s="109">
        <v>45411</v>
      </c>
      <c r="X46" s="106">
        <v>640</v>
      </c>
      <c r="Y46" s="106">
        <v>12800</v>
      </c>
      <c r="Z46" s="106" t="s">
        <v>3464</v>
      </c>
      <c r="AA46" s="106">
        <f t="shared" si="1"/>
        <v>0</v>
      </c>
      <c r="AB46" s="106">
        <f t="shared" si="2"/>
        <v>0</v>
      </c>
      <c r="AC46" s="111" t="s">
        <v>3322</v>
      </c>
      <c r="AD46" s="94"/>
      <c r="AE46" s="94"/>
      <c r="AF46" s="94"/>
      <c r="AG46" s="94"/>
      <c r="AH46" s="263"/>
    </row>
    <row r="47" spans="1:34" ht="19.5" customHeight="1">
      <c r="A47" s="90"/>
      <c r="B47" s="88"/>
      <c r="C47" s="2"/>
      <c r="D47" s="192" t="s">
        <v>3032</v>
      </c>
      <c r="E47" s="94">
        <v>20</v>
      </c>
      <c r="F47" s="261">
        <v>300</v>
      </c>
      <c r="G47" s="45">
        <f t="shared" si="0"/>
        <v>6000</v>
      </c>
      <c r="H47" s="119" t="s">
        <v>37</v>
      </c>
      <c r="I47" s="128">
        <v>45372</v>
      </c>
      <c r="J47" s="261">
        <v>300</v>
      </c>
      <c r="K47" s="74">
        <f>5+1</f>
        <v>6</v>
      </c>
      <c r="L47" s="156">
        <v>45366</v>
      </c>
      <c r="M47" s="90">
        <v>6000</v>
      </c>
      <c r="N47" s="90">
        <v>60</v>
      </c>
      <c r="O47" s="90" t="s">
        <v>922</v>
      </c>
      <c r="P47" s="94" t="s">
        <v>160</v>
      </c>
      <c r="Q47" s="94">
        <v>8500068546</v>
      </c>
      <c r="R47" s="94">
        <v>5000341315</v>
      </c>
      <c r="S47" s="261">
        <v>300</v>
      </c>
      <c r="T47" s="90" t="s">
        <v>1558</v>
      </c>
      <c r="U47" s="90">
        <v>8500068544</v>
      </c>
      <c r="V47" s="90">
        <v>5000313138</v>
      </c>
      <c r="W47" s="109">
        <v>45404</v>
      </c>
      <c r="X47" s="106">
        <v>300</v>
      </c>
      <c r="Y47" s="106">
        <v>6000</v>
      </c>
      <c r="Z47" s="106" t="s">
        <v>798</v>
      </c>
      <c r="AA47" s="106">
        <f t="shared" si="1"/>
        <v>0</v>
      </c>
      <c r="AB47" s="106">
        <f t="shared" si="2"/>
        <v>0</v>
      </c>
      <c r="AC47" s="111"/>
      <c r="AD47" s="94"/>
      <c r="AE47" s="94"/>
      <c r="AF47" s="94"/>
      <c r="AG47" s="94"/>
      <c r="AH47" s="263"/>
    </row>
    <row r="48" spans="1:34" ht="19.5" customHeight="1">
      <c r="A48" s="90"/>
      <c r="B48" s="88"/>
      <c r="C48" s="2"/>
      <c r="D48" s="192" t="s">
        <v>3033</v>
      </c>
      <c r="E48" s="94">
        <v>20</v>
      </c>
      <c r="F48" s="261">
        <v>250</v>
      </c>
      <c r="G48" s="45">
        <f t="shared" si="0"/>
        <v>5000</v>
      </c>
      <c r="H48" s="119" t="s">
        <v>146</v>
      </c>
      <c r="I48" s="128">
        <v>45372</v>
      </c>
      <c r="J48" s="261">
        <v>250</v>
      </c>
      <c r="K48" s="74">
        <f>4+1</f>
        <v>5</v>
      </c>
      <c r="L48" s="156">
        <v>45366</v>
      </c>
      <c r="M48" s="90">
        <v>5000</v>
      </c>
      <c r="N48" s="90">
        <v>50</v>
      </c>
      <c r="O48" s="90" t="s">
        <v>795</v>
      </c>
      <c r="P48" s="94" t="s">
        <v>160</v>
      </c>
      <c r="Q48" s="94">
        <v>8500068554</v>
      </c>
      <c r="R48" s="94">
        <v>5000341316</v>
      </c>
      <c r="S48" s="261">
        <v>250</v>
      </c>
      <c r="T48" s="90" t="s">
        <v>1558</v>
      </c>
      <c r="U48" s="90">
        <v>8500068553</v>
      </c>
      <c r="V48" s="90">
        <v>5000313144</v>
      </c>
      <c r="W48" s="109" t="s">
        <v>3522</v>
      </c>
      <c r="X48" s="106">
        <f>180+70</f>
        <v>250</v>
      </c>
      <c r="Y48" s="106">
        <f>3600+1400</f>
        <v>5000</v>
      </c>
      <c r="Z48" s="106" t="s">
        <v>3523</v>
      </c>
      <c r="AA48" s="106">
        <f t="shared" si="1"/>
        <v>0</v>
      </c>
      <c r="AB48" s="106">
        <f t="shared" si="2"/>
        <v>0</v>
      </c>
      <c r="AC48" s="94" t="s">
        <v>3524</v>
      </c>
      <c r="AD48" s="94"/>
      <c r="AE48" s="94"/>
      <c r="AF48" s="94"/>
      <c r="AG48" s="94"/>
      <c r="AH48" s="263"/>
    </row>
    <row r="49" spans="1:34" ht="36.75" customHeight="1">
      <c r="A49" s="90" t="s">
        <v>703</v>
      </c>
      <c r="B49" s="88">
        <v>2000001267</v>
      </c>
      <c r="C49" s="2" t="s">
        <v>3034</v>
      </c>
      <c r="D49" s="348" t="s">
        <v>3152</v>
      </c>
      <c r="E49" s="74">
        <v>10</v>
      </c>
      <c r="F49" s="74">
        <v>100</v>
      </c>
      <c r="G49" s="45">
        <f t="shared" si="0"/>
        <v>1000</v>
      </c>
      <c r="H49" s="119" t="s">
        <v>27</v>
      </c>
      <c r="I49" s="128">
        <v>45371</v>
      </c>
      <c r="J49" s="74">
        <v>100</v>
      </c>
      <c r="K49" s="74">
        <f>2+8</f>
        <v>10</v>
      </c>
      <c r="L49" s="156">
        <v>45370</v>
      </c>
      <c r="M49" s="90">
        <v>1000</v>
      </c>
      <c r="N49" s="90">
        <v>5</v>
      </c>
      <c r="O49" s="90" t="s">
        <v>1389</v>
      </c>
      <c r="P49" s="94" t="s">
        <v>160</v>
      </c>
      <c r="Q49" s="94">
        <v>8500069069</v>
      </c>
      <c r="R49" s="94">
        <v>5000332538</v>
      </c>
      <c r="S49" s="74">
        <v>100</v>
      </c>
      <c r="T49" s="90" t="s">
        <v>152</v>
      </c>
      <c r="U49" s="90">
        <v>8500069068</v>
      </c>
      <c r="V49" s="90">
        <v>5000328405</v>
      </c>
      <c r="W49" s="109">
        <v>45374</v>
      </c>
      <c r="X49" s="106">
        <v>100</v>
      </c>
      <c r="Y49" s="106">
        <v>1000</v>
      </c>
      <c r="Z49" s="106" t="s">
        <v>1980</v>
      </c>
      <c r="AA49" s="106">
        <f t="shared" si="1"/>
        <v>0</v>
      </c>
      <c r="AB49" s="106">
        <f t="shared" si="2"/>
        <v>0</v>
      </c>
      <c r="AC49" s="94"/>
      <c r="AD49" s="94"/>
      <c r="AE49" s="94"/>
      <c r="AF49" s="94"/>
      <c r="AG49" s="94"/>
      <c r="AH49" s="263"/>
    </row>
    <row r="50" spans="1:34" ht="19.5" customHeight="1">
      <c r="A50" s="90"/>
      <c r="B50" s="88">
        <v>2000001267</v>
      </c>
      <c r="C50" s="2" t="s">
        <v>3034</v>
      </c>
      <c r="D50" s="192" t="s">
        <v>244</v>
      </c>
      <c r="E50" s="74">
        <v>10</v>
      </c>
      <c r="F50" s="74">
        <v>5</v>
      </c>
      <c r="G50" s="45">
        <f t="shared" si="0"/>
        <v>50</v>
      </c>
      <c r="H50" s="119" t="s">
        <v>27</v>
      </c>
      <c r="I50" s="128">
        <v>45371</v>
      </c>
      <c r="J50" s="74">
        <v>5</v>
      </c>
      <c r="K50" s="74">
        <v>10</v>
      </c>
      <c r="L50" s="156">
        <v>45370</v>
      </c>
      <c r="M50" s="90">
        <v>50</v>
      </c>
      <c r="N50" s="90">
        <v>1</v>
      </c>
      <c r="O50" s="90" t="s">
        <v>1699</v>
      </c>
      <c r="P50" s="94" t="s">
        <v>160</v>
      </c>
      <c r="Q50" s="94">
        <v>8500069071</v>
      </c>
      <c r="R50" s="94">
        <v>5000332577</v>
      </c>
      <c r="S50" s="74">
        <v>5</v>
      </c>
      <c r="T50" s="90" t="s">
        <v>152</v>
      </c>
      <c r="U50" s="90">
        <v>8500069070</v>
      </c>
      <c r="V50" s="90">
        <v>5000328406</v>
      </c>
      <c r="W50" s="109">
        <v>45415</v>
      </c>
      <c r="X50" s="106">
        <v>5</v>
      </c>
      <c r="Y50" s="106">
        <v>50</v>
      </c>
      <c r="Z50" s="106" t="s">
        <v>800</v>
      </c>
      <c r="AA50" s="106">
        <f t="shared" si="1"/>
        <v>0</v>
      </c>
      <c r="AB50" s="106">
        <f t="shared" si="2"/>
        <v>0</v>
      </c>
      <c r="AC50" s="94"/>
      <c r="AD50" s="94"/>
      <c r="AE50" s="94"/>
      <c r="AF50" s="94"/>
      <c r="AG50" s="94"/>
      <c r="AH50" s="263"/>
    </row>
    <row r="51" spans="1:34" ht="25.5" customHeight="1">
      <c r="A51" s="90" t="s">
        <v>703</v>
      </c>
      <c r="B51" s="88">
        <v>2000001267</v>
      </c>
      <c r="C51" s="2" t="s">
        <v>3035</v>
      </c>
      <c r="D51" s="559" t="s">
        <v>3152</v>
      </c>
      <c r="E51" s="74">
        <v>10</v>
      </c>
      <c r="F51" s="74">
        <v>550</v>
      </c>
      <c r="G51" s="45">
        <f t="shared" si="0"/>
        <v>5500</v>
      </c>
      <c r="H51" s="119" t="s">
        <v>27</v>
      </c>
      <c r="I51" s="128">
        <v>45371</v>
      </c>
      <c r="J51" s="74">
        <v>550</v>
      </c>
      <c r="K51" s="74">
        <f>11+1</f>
        <v>12</v>
      </c>
      <c r="L51" s="156">
        <v>45370</v>
      </c>
      <c r="M51" s="90">
        <v>5500</v>
      </c>
      <c r="N51" s="90">
        <v>28</v>
      </c>
      <c r="O51" s="90" t="s">
        <v>1961</v>
      </c>
      <c r="P51" s="94" t="s">
        <v>160</v>
      </c>
      <c r="Q51" s="94">
        <v>8500069075</v>
      </c>
      <c r="R51" s="94">
        <v>5000332594</v>
      </c>
      <c r="S51" s="74">
        <v>550</v>
      </c>
      <c r="T51" s="90" t="s">
        <v>152</v>
      </c>
      <c r="U51" s="90">
        <v>8500069073</v>
      </c>
      <c r="V51" s="90">
        <v>5000328409</v>
      </c>
      <c r="W51" s="109">
        <v>45371</v>
      </c>
      <c r="X51" s="106">
        <v>550</v>
      </c>
      <c r="Y51" s="106">
        <v>5500</v>
      </c>
      <c r="Z51" s="106" t="s">
        <v>1502</v>
      </c>
      <c r="AA51" s="106">
        <f t="shared" si="1"/>
        <v>0</v>
      </c>
      <c r="AB51" s="106">
        <f t="shared" si="2"/>
        <v>0</v>
      </c>
      <c r="AC51" s="94"/>
      <c r="AD51" s="94"/>
      <c r="AE51" s="94"/>
      <c r="AF51" s="94"/>
      <c r="AG51" s="94"/>
      <c r="AH51" s="263"/>
    </row>
    <row r="52" spans="1:34" ht="23.25" customHeight="1">
      <c r="A52" s="90"/>
      <c r="B52" s="88"/>
      <c r="C52" s="2"/>
      <c r="D52" s="561"/>
      <c r="E52" s="192">
        <v>10</v>
      </c>
      <c r="F52" s="74">
        <v>300</v>
      </c>
      <c r="G52" s="45">
        <f t="shared" si="0"/>
        <v>3000</v>
      </c>
      <c r="H52" s="119" t="s">
        <v>46</v>
      </c>
      <c r="I52" s="128">
        <v>45371</v>
      </c>
      <c r="J52" s="74">
        <v>300</v>
      </c>
      <c r="K52" s="74">
        <f>6+2</f>
        <v>8</v>
      </c>
      <c r="L52" s="156">
        <v>45370</v>
      </c>
      <c r="M52" s="90">
        <v>3000</v>
      </c>
      <c r="N52" s="90">
        <v>15</v>
      </c>
      <c r="O52" s="90" t="s">
        <v>2107</v>
      </c>
      <c r="P52" s="94" t="s">
        <v>160</v>
      </c>
      <c r="Q52" s="94">
        <v>8500069075</v>
      </c>
      <c r="R52" s="94">
        <v>5000332594</v>
      </c>
      <c r="S52" s="74">
        <v>300</v>
      </c>
      <c r="T52" s="90" t="s">
        <v>152</v>
      </c>
      <c r="U52" s="90">
        <v>8500069073</v>
      </c>
      <c r="V52" s="90">
        <v>5000328409</v>
      </c>
      <c r="W52" s="109">
        <v>45374</v>
      </c>
      <c r="X52" s="106">
        <v>300</v>
      </c>
      <c r="Y52" s="106">
        <v>3000</v>
      </c>
      <c r="Z52" s="106" t="s">
        <v>1980</v>
      </c>
      <c r="AA52" s="106">
        <f t="shared" si="1"/>
        <v>0</v>
      </c>
      <c r="AB52" s="106">
        <f t="shared" si="2"/>
        <v>0</v>
      </c>
      <c r="AC52" s="94"/>
      <c r="AD52" s="94"/>
      <c r="AE52" s="94"/>
      <c r="AF52" s="94"/>
      <c r="AG52" s="94"/>
      <c r="AH52" s="263"/>
    </row>
    <row r="53" spans="1:34" ht="19.5" customHeight="1">
      <c r="A53" s="90" t="s">
        <v>703</v>
      </c>
      <c r="B53" s="88">
        <v>2000001267</v>
      </c>
      <c r="C53" s="2" t="s">
        <v>3035</v>
      </c>
      <c r="D53" s="192" t="s">
        <v>244</v>
      </c>
      <c r="E53" s="192">
        <v>10</v>
      </c>
      <c r="F53" s="74">
        <v>10</v>
      </c>
      <c r="G53" s="45">
        <f t="shared" si="0"/>
        <v>100</v>
      </c>
      <c r="H53" s="119" t="s">
        <v>27</v>
      </c>
      <c r="I53" s="128">
        <v>45371</v>
      </c>
      <c r="J53" s="74">
        <v>10</v>
      </c>
      <c r="K53" s="74"/>
      <c r="L53" s="156">
        <v>45370</v>
      </c>
      <c r="M53" s="90">
        <v>100</v>
      </c>
      <c r="N53" s="90">
        <v>1</v>
      </c>
      <c r="O53" s="90" t="s">
        <v>3158</v>
      </c>
      <c r="P53" s="94" t="s">
        <v>160</v>
      </c>
      <c r="Q53" s="94">
        <v>8500069077</v>
      </c>
      <c r="R53" s="94">
        <v>5000332596</v>
      </c>
      <c r="S53" s="74">
        <v>10</v>
      </c>
      <c r="T53" s="90" t="s">
        <v>152</v>
      </c>
      <c r="U53" s="90">
        <v>8500069076</v>
      </c>
      <c r="V53" s="90">
        <v>5000328411</v>
      </c>
      <c r="W53" s="109">
        <v>45415</v>
      </c>
      <c r="X53" s="106">
        <v>10</v>
      </c>
      <c r="Y53" s="106">
        <v>100</v>
      </c>
      <c r="Z53" s="106" t="s">
        <v>800</v>
      </c>
      <c r="AA53" s="106">
        <f t="shared" si="1"/>
        <v>0</v>
      </c>
      <c r="AB53" s="106">
        <f t="shared" si="2"/>
        <v>0</v>
      </c>
      <c r="AC53" s="94"/>
      <c r="AD53" s="94"/>
      <c r="AE53" s="94"/>
      <c r="AF53" s="94"/>
      <c r="AG53" s="94"/>
      <c r="AH53" s="263"/>
    </row>
    <row r="54" spans="1:34" ht="19.5" customHeight="1">
      <c r="A54" s="90"/>
      <c r="B54" s="88"/>
      <c r="C54" s="2"/>
      <c r="D54" s="192"/>
      <c r="E54" s="192">
        <v>10</v>
      </c>
      <c r="F54" s="74">
        <v>20</v>
      </c>
      <c r="G54" s="45">
        <f t="shared" si="0"/>
        <v>200</v>
      </c>
      <c r="H54" s="119" t="s">
        <v>46</v>
      </c>
      <c r="I54" s="128">
        <v>45371</v>
      </c>
      <c r="J54" s="74">
        <v>20</v>
      </c>
      <c r="K54" s="74"/>
      <c r="L54" s="156">
        <v>45370</v>
      </c>
      <c r="M54" s="90">
        <v>200</v>
      </c>
      <c r="N54" s="90">
        <v>1</v>
      </c>
      <c r="O54" s="90" t="s">
        <v>3158</v>
      </c>
      <c r="P54" s="94" t="s">
        <v>160</v>
      </c>
      <c r="Q54" s="94">
        <v>8500069077</v>
      </c>
      <c r="R54" s="94">
        <v>5000332596</v>
      </c>
      <c r="S54" s="74">
        <v>20</v>
      </c>
      <c r="T54" s="90" t="s">
        <v>152</v>
      </c>
      <c r="U54" s="90">
        <v>8500069076</v>
      </c>
      <c r="V54" s="90">
        <v>5000328411</v>
      </c>
      <c r="W54" s="109">
        <v>45415</v>
      </c>
      <c r="X54" s="106">
        <v>20</v>
      </c>
      <c r="Y54" s="106">
        <v>200</v>
      </c>
      <c r="Z54" s="106" t="s">
        <v>800</v>
      </c>
      <c r="AA54" s="106">
        <f t="shared" si="1"/>
        <v>0</v>
      </c>
      <c r="AB54" s="106">
        <f t="shared" si="2"/>
        <v>0</v>
      </c>
      <c r="AC54" s="94"/>
      <c r="AD54" s="94"/>
      <c r="AE54" s="94"/>
      <c r="AF54" s="94"/>
      <c r="AG54" s="94"/>
      <c r="AH54" s="263"/>
    </row>
    <row r="55" spans="1:34" ht="24" customHeight="1">
      <c r="A55" s="90" t="s">
        <v>703</v>
      </c>
      <c r="B55" s="88">
        <v>2000001267</v>
      </c>
      <c r="C55" s="2" t="s">
        <v>704</v>
      </c>
      <c r="D55" s="559" t="s">
        <v>3037</v>
      </c>
      <c r="E55" s="192">
        <v>10</v>
      </c>
      <c r="F55" s="74">
        <v>300</v>
      </c>
      <c r="G55" s="45">
        <f t="shared" si="0"/>
        <v>3000</v>
      </c>
      <c r="H55" s="119" t="s">
        <v>27</v>
      </c>
      <c r="I55" s="128">
        <v>45371</v>
      </c>
      <c r="J55" s="74">
        <v>300</v>
      </c>
      <c r="K55" s="74">
        <v>6</v>
      </c>
      <c r="L55" s="156">
        <v>45378</v>
      </c>
      <c r="M55" s="90">
        <v>3000</v>
      </c>
      <c r="N55" s="90">
        <v>15</v>
      </c>
      <c r="O55" s="90" t="s">
        <v>735</v>
      </c>
      <c r="P55" s="94" t="s">
        <v>160</v>
      </c>
      <c r="Q55" s="94">
        <v>8500069079</v>
      </c>
      <c r="R55" s="94">
        <v>5000332600</v>
      </c>
      <c r="S55" s="74">
        <v>300</v>
      </c>
      <c r="T55" s="90" t="s">
        <v>152</v>
      </c>
      <c r="U55" s="90">
        <v>8500069078</v>
      </c>
      <c r="V55" s="90">
        <v>5000369495</v>
      </c>
      <c r="W55" s="109">
        <v>45404</v>
      </c>
      <c r="X55" s="106">
        <v>300</v>
      </c>
      <c r="Y55" s="106">
        <v>3000</v>
      </c>
      <c r="Z55" s="106" t="s">
        <v>800</v>
      </c>
      <c r="AA55" s="106">
        <f t="shared" si="1"/>
        <v>0</v>
      </c>
      <c r="AB55" s="106">
        <f t="shared" si="2"/>
        <v>0</v>
      </c>
      <c r="AC55" s="94" t="s">
        <v>3401</v>
      </c>
      <c r="AD55" s="94"/>
      <c r="AE55" s="94"/>
      <c r="AF55" s="94"/>
      <c r="AG55" s="94"/>
      <c r="AH55" s="263"/>
    </row>
    <row r="56" spans="1:34" ht="19.5" customHeight="1">
      <c r="A56" s="90"/>
      <c r="B56" s="88"/>
      <c r="C56" s="2"/>
      <c r="D56" s="560"/>
      <c r="E56" s="192">
        <v>10</v>
      </c>
      <c r="F56" s="74">
        <v>300</v>
      </c>
      <c r="G56" s="45">
        <f t="shared" si="0"/>
        <v>3000</v>
      </c>
      <c r="H56" s="119" t="s">
        <v>46</v>
      </c>
      <c r="I56" s="128">
        <v>45371</v>
      </c>
      <c r="J56" s="74">
        <v>300</v>
      </c>
      <c r="K56" s="74">
        <f>6+14</f>
        <v>20</v>
      </c>
      <c r="L56" s="156">
        <v>45374</v>
      </c>
      <c r="M56" s="90">
        <v>3000</v>
      </c>
      <c r="N56" s="90">
        <v>15</v>
      </c>
      <c r="O56" s="90" t="s">
        <v>1657</v>
      </c>
      <c r="P56" s="94" t="s">
        <v>160</v>
      </c>
      <c r="Q56" s="94">
        <v>8500069079</v>
      </c>
      <c r="R56" s="94">
        <v>5000332600</v>
      </c>
      <c r="S56" s="74">
        <v>300</v>
      </c>
      <c r="T56" s="90" t="s">
        <v>152</v>
      </c>
      <c r="U56" s="90">
        <v>8500069078</v>
      </c>
      <c r="V56" s="90">
        <v>5000355256</v>
      </c>
      <c r="W56" s="109">
        <v>45404</v>
      </c>
      <c r="X56" s="106">
        <v>300</v>
      </c>
      <c r="Y56" s="106">
        <v>3000</v>
      </c>
      <c r="Z56" s="106" t="s">
        <v>800</v>
      </c>
      <c r="AA56" s="106">
        <f t="shared" si="1"/>
        <v>0</v>
      </c>
      <c r="AB56" s="106">
        <f t="shared" si="2"/>
        <v>0</v>
      </c>
      <c r="AC56" s="94" t="s">
        <v>3474</v>
      </c>
      <c r="AD56" s="94"/>
      <c r="AE56" s="94"/>
      <c r="AF56" s="94"/>
      <c r="AG56" s="94"/>
      <c r="AH56" s="263"/>
    </row>
    <row r="57" spans="1:34" ht="21" customHeight="1">
      <c r="A57" s="90"/>
      <c r="B57" s="88"/>
      <c r="C57" s="2"/>
      <c r="D57" s="561"/>
      <c r="E57" s="192">
        <v>10</v>
      </c>
      <c r="F57" s="74">
        <v>184</v>
      </c>
      <c r="G57" s="45">
        <f t="shared" si="0"/>
        <v>1840</v>
      </c>
      <c r="H57" s="119" t="s">
        <v>37</v>
      </c>
      <c r="I57" s="128">
        <v>45371</v>
      </c>
      <c r="J57" s="74">
        <v>184</v>
      </c>
      <c r="K57" s="74">
        <v>4</v>
      </c>
      <c r="L57" s="156">
        <v>45378</v>
      </c>
      <c r="M57" s="90">
        <v>1840</v>
      </c>
      <c r="N57" s="90">
        <v>10</v>
      </c>
      <c r="O57" s="90" t="s">
        <v>735</v>
      </c>
      <c r="P57" s="94" t="s">
        <v>160</v>
      </c>
      <c r="Q57" s="94">
        <v>8500069079</v>
      </c>
      <c r="R57" s="94">
        <v>5000332600</v>
      </c>
      <c r="S57" s="74">
        <v>184</v>
      </c>
      <c r="T57" s="90" t="s">
        <v>152</v>
      </c>
      <c r="U57" s="90">
        <v>8500069078</v>
      </c>
      <c r="V57" s="90">
        <v>5000369495</v>
      </c>
      <c r="W57" s="109">
        <v>45404</v>
      </c>
      <c r="X57" s="106">
        <v>184</v>
      </c>
      <c r="Y57" s="106">
        <v>1840</v>
      </c>
      <c r="Z57" s="106" t="s">
        <v>800</v>
      </c>
      <c r="AA57" s="106">
        <f t="shared" si="1"/>
        <v>0</v>
      </c>
      <c r="AB57" s="106">
        <f t="shared" si="2"/>
        <v>0</v>
      </c>
      <c r="AC57" s="94"/>
      <c r="AD57" s="94"/>
      <c r="AE57" s="94"/>
      <c r="AF57" s="94"/>
      <c r="AG57" s="94"/>
      <c r="AH57" s="263"/>
    </row>
    <row r="58" spans="1:34" ht="19.5" customHeight="1">
      <c r="A58" s="90" t="s">
        <v>703</v>
      </c>
      <c r="B58" s="88">
        <v>2000001267</v>
      </c>
      <c r="C58" s="2" t="s">
        <v>704</v>
      </c>
      <c r="D58" s="192" t="s">
        <v>244</v>
      </c>
      <c r="E58" s="192">
        <v>10</v>
      </c>
      <c r="F58" s="74">
        <v>5</v>
      </c>
      <c r="G58" s="45">
        <f t="shared" si="0"/>
        <v>50</v>
      </c>
      <c r="H58" s="119" t="s">
        <v>27</v>
      </c>
      <c r="I58" s="128">
        <v>45371</v>
      </c>
      <c r="J58" s="74">
        <v>5</v>
      </c>
      <c r="K58" s="74">
        <v>2</v>
      </c>
      <c r="L58" s="156">
        <v>45374</v>
      </c>
      <c r="M58" s="90">
        <v>50</v>
      </c>
      <c r="N58" s="90">
        <v>1</v>
      </c>
      <c r="O58" s="90"/>
      <c r="P58" s="94" t="s">
        <v>160</v>
      </c>
      <c r="Q58" s="94">
        <v>8500069081</v>
      </c>
      <c r="R58" s="94">
        <v>5000332602</v>
      </c>
      <c r="S58" s="74">
        <v>5</v>
      </c>
      <c r="T58" s="90" t="s">
        <v>152</v>
      </c>
      <c r="U58" s="90">
        <v>8500069080</v>
      </c>
      <c r="V58" s="90">
        <v>5000355257</v>
      </c>
      <c r="W58" s="109">
        <v>45415</v>
      </c>
      <c r="X58" s="106">
        <v>5</v>
      </c>
      <c r="Y58" s="106">
        <v>50</v>
      </c>
      <c r="Z58" s="106" t="s">
        <v>800</v>
      </c>
      <c r="AA58" s="106">
        <f t="shared" si="1"/>
        <v>0</v>
      </c>
      <c r="AB58" s="106">
        <f t="shared" si="2"/>
        <v>0</v>
      </c>
      <c r="AC58" s="94"/>
      <c r="AD58" s="94"/>
      <c r="AE58" s="94"/>
      <c r="AF58" s="94"/>
      <c r="AG58" s="94"/>
      <c r="AH58" s="263"/>
    </row>
    <row r="59" spans="1:34" ht="19.5" customHeight="1">
      <c r="A59" s="90"/>
      <c r="B59" s="88"/>
      <c r="C59" s="2"/>
      <c r="D59" s="192"/>
      <c r="E59" s="192">
        <v>10</v>
      </c>
      <c r="F59" s="74">
        <v>25</v>
      </c>
      <c r="G59" s="45">
        <f t="shared" si="0"/>
        <v>250</v>
      </c>
      <c r="H59" s="119" t="s">
        <v>46</v>
      </c>
      <c r="I59" s="128">
        <v>45371</v>
      </c>
      <c r="J59" s="74">
        <v>25</v>
      </c>
      <c r="K59" s="74">
        <v>2</v>
      </c>
      <c r="L59" s="156">
        <v>45374</v>
      </c>
      <c r="M59" s="90">
        <v>250</v>
      </c>
      <c r="N59" s="90">
        <v>2</v>
      </c>
      <c r="O59" s="90"/>
      <c r="P59" s="94" t="s">
        <v>160</v>
      </c>
      <c r="Q59" s="94">
        <v>8500069081</v>
      </c>
      <c r="R59" s="94">
        <v>5000332602</v>
      </c>
      <c r="S59" s="74">
        <v>25</v>
      </c>
      <c r="T59" s="90" t="s">
        <v>152</v>
      </c>
      <c r="U59" s="90">
        <v>8500069080</v>
      </c>
      <c r="V59" s="90">
        <v>5000355257</v>
      </c>
      <c r="W59" s="109">
        <v>45415</v>
      </c>
      <c r="X59" s="106">
        <v>25</v>
      </c>
      <c r="Y59" s="106">
        <v>250</v>
      </c>
      <c r="Z59" s="106" t="s">
        <v>800</v>
      </c>
      <c r="AA59" s="106">
        <f t="shared" si="1"/>
        <v>0</v>
      </c>
      <c r="AB59" s="106">
        <f t="shared" si="2"/>
        <v>0</v>
      </c>
      <c r="AC59" s="94" t="s">
        <v>3387</v>
      </c>
      <c r="AD59" s="94"/>
      <c r="AE59" s="94"/>
      <c r="AF59" s="94"/>
      <c r="AG59" s="94"/>
      <c r="AH59" s="263"/>
    </row>
    <row r="60" spans="1:34" ht="19.5" customHeight="1">
      <c r="A60" s="90"/>
      <c r="B60" s="88"/>
      <c r="C60" s="2"/>
      <c r="D60" s="192"/>
      <c r="E60" s="192">
        <v>10</v>
      </c>
      <c r="F60" s="74">
        <v>10</v>
      </c>
      <c r="G60" s="45">
        <f t="shared" si="0"/>
        <v>100</v>
      </c>
      <c r="H60" s="119" t="s">
        <v>37</v>
      </c>
      <c r="I60" s="128">
        <v>45371</v>
      </c>
      <c r="J60" s="74">
        <v>10</v>
      </c>
      <c r="K60" s="74">
        <v>2</v>
      </c>
      <c r="L60" s="156">
        <v>45379</v>
      </c>
      <c r="M60" s="90">
        <v>100</v>
      </c>
      <c r="N60" s="90"/>
      <c r="O60" s="90"/>
      <c r="P60" s="94" t="s">
        <v>160</v>
      </c>
      <c r="Q60" s="94">
        <v>8500069081</v>
      </c>
      <c r="R60" s="94">
        <v>5000332602</v>
      </c>
      <c r="S60" s="74">
        <v>10</v>
      </c>
      <c r="T60" s="90" t="s">
        <v>152</v>
      </c>
      <c r="U60" s="90">
        <v>8500069080</v>
      </c>
      <c r="V60" s="90">
        <v>5000369533</v>
      </c>
      <c r="W60" s="109">
        <v>45415</v>
      </c>
      <c r="X60" s="106">
        <v>10</v>
      </c>
      <c r="Y60" s="106">
        <v>100</v>
      </c>
      <c r="Z60" s="106" t="s">
        <v>800</v>
      </c>
      <c r="AA60" s="106">
        <f t="shared" si="1"/>
        <v>0</v>
      </c>
      <c r="AB60" s="106">
        <f t="shared" si="2"/>
        <v>0</v>
      </c>
      <c r="AC60" s="94"/>
      <c r="AD60" s="94"/>
      <c r="AE60" s="94"/>
      <c r="AF60" s="94"/>
      <c r="AG60" s="94"/>
      <c r="AH60" s="263"/>
    </row>
    <row r="61" spans="1:34" ht="19.5" customHeight="1">
      <c r="A61" s="90" t="s">
        <v>703</v>
      </c>
      <c r="B61" s="88">
        <v>2000001278</v>
      </c>
      <c r="C61" s="2" t="s">
        <v>3036</v>
      </c>
      <c r="D61" s="342" t="s">
        <v>3038</v>
      </c>
      <c r="E61" s="192">
        <v>10</v>
      </c>
      <c r="F61" s="74">
        <v>100</v>
      </c>
      <c r="G61" s="45">
        <f t="shared" si="0"/>
        <v>1000</v>
      </c>
      <c r="H61" s="119" t="s">
        <v>27</v>
      </c>
      <c r="I61" s="128">
        <v>45363</v>
      </c>
      <c r="J61" s="74">
        <v>100</v>
      </c>
      <c r="K61" s="74">
        <v>7</v>
      </c>
      <c r="L61" s="156">
        <v>45366</v>
      </c>
      <c r="M61" s="45">
        <v>1000</v>
      </c>
      <c r="N61" s="90" t="s">
        <v>3139</v>
      </c>
      <c r="O61" s="90"/>
      <c r="P61" s="94" t="s">
        <v>28</v>
      </c>
      <c r="Q61" s="94">
        <v>8500069050</v>
      </c>
      <c r="R61" s="94">
        <v>5000296032</v>
      </c>
      <c r="S61" s="74">
        <v>100</v>
      </c>
      <c r="T61" s="90" t="s">
        <v>924</v>
      </c>
      <c r="U61" s="90">
        <v>8500069051</v>
      </c>
      <c r="V61" s="90">
        <v>5000313490</v>
      </c>
      <c r="W61" s="109">
        <v>45386</v>
      </c>
      <c r="X61" s="106">
        <v>100</v>
      </c>
      <c r="Y61" s="106">
        <v>1000</v>
      </c>
      <c r="Z61" s="106" t="s">
        <v>800</v>
      </c>
      <c r="AA61" s="106">
        <f t="shared" si="1"/>
        <v>0</v>
      </c>
      <c r="AB61" s="106">
        <f t="shared" si="2"/>
        <v>0</v>
      </c>
      <c r="AC61" s="94"/>
      <c r="AD61" s="94"/>
      <c r="AE61" s="94"/>
      <c r="AF61" s="94"/>
      <c r="AG61" s="94"/>
      <c r="AH61" s="263"/>
    </row>
    <row r="62" spans="1:34" ht="19.5" customHeight="1">
      <c r="A62" s="90"/>
      <c r="B62" s="88"/>
      <c r="C62" s="2"/>
      <c r="D62" s="555" t="s">
        <v>3037</v>
      </c>
      <c r="E62" s="192">
        <v>10</v>
      </c>
      <c r="F62" s="74">
        <v>200</v>
      </c>
      <c r="G62" s="45">
        <f t="shared" si="0"/>
        <v>2000</v>
      </c>
      <c r="H62" s="119" t="s">
        <v>46</v>
      </c>
      <c r="I62" s="128">
        <v>45363</v>
      </c>
      <c r="J62" s="74">
        <v>200</v>
      </c>
      <c r="K62" s="74">
        <f>7+1</f>
        <v>8</v>
      </c>
      <c r="L62" s="156">
        <v>45366</v>
      </c>
      <c r="M62" s="45">
        <v>2000</v>
      </c>
      <c r="N62" s="90" t="s">
        <v>3140</v>
      </c>
      <c r="O62" s="90"/>
      <c r="P62" s="94" t="s">
        <v>28</v>
      </c>
      <c r="Q62" s="94">
        <v>8500069050</v>
      </c>
      <c r="R62" s="94">
        <v>5000296032</v>
      </c>
      <c r="S62" s="74">
        <v>200</v>
      </c>
      <c r="T62" s="90" t="s">
        <v>924</v>
      </c>
      <c r="U62" s="90">
        <v>8500069051</v>
      </c>
      <c r="V62" s="90">
        <v>5000313490</v>
      </c>
      <c r="W62" s="109">
        <v>45386</v>
      </c>
      <c r="X62" s="106">
        <v>200</v>
      </c>
      <c r="Y62" s="106">
        <v>2000</v>
      </c>
      <c r="Z62" s="106" t="s">
        <v>800</v>
      </c>
      <c r="AA62" s="106">
        <f t="shared" si="1"/>
        <v>0</v>
      </c>
      <c r="AB62" s="106">
        <f t="shared" si="2"/>
        <v>0</v>
      </c>
      <c r="AC62" s="94"/>
      <c r="AD62" s="94"/>
      <c r="AE62" s="94"/>
      <c r="AF62" s="94"/>
      <c r="AG62" s="94"/>
      <c r="AH62" s="263"/>
    </row>
    <row r="63" spans="1:34" ht="19.5" customHeight="1">
      <c r="A63" s="90"/>
      <c r="B63" s="88"/>
      <c r="C63" s="2"/>
      <c r="D63" s="556"/>
      <c r="E63" s="192">
        <v>10</v>
      </c>
      <c r="F63" s="74">
        <v>100</v>
      </c>
      <c r="G63" s="45">
        <f t="shared" si="0"/>
        <v>1000</v>
      </c>
      <c r="H63" s="119" t="s">
        <v>37</v>
      </c>
      <c r="I63" s="128">
        <v>45363</v>
      </c>
      <c r="J63" s="74">
        <v>100</v>
      </c>
      <c r="K63" s="74">
        <v>7</v>
      </c>
      <c r="L63" s="156">
        <v>45366</v>
      </c>
      <c r="M63" s="45">
        <v>1000</v>
      </c>
      <c r="N63" s="90" t="s">
        <v>3141</v>
      </c>
      <c r="O63" s="90"/>
      <c r="P63" s="94" t="s">
        <v>28</v>
      </c>
      <c r="Q63" s="94">
        <v>8500069050</v>
      </c>
      <c r="R63" s="94">
        <v>5000296032</v>
      </c>
      <c r="S63" s="74">
        <v>100</v>
      </c>
      <c r="T63" s="90" t="s">
        <v>924</v>
      </c>
      <c r="U63" s="90">
        <v>8500069051</v>
      </c>
      <c r="V63" s="90">
        <v>5000313490</v>
      </c>
      <c r="W63" s="109">
        <v>45386</v>
      </c>
      <c r="X63" s="106">
        <v>100</v>
      </c>
      <c r="Y63" s="106">
        <v>1000</v>
      </c>
      <c r="Z63" s="106" t="s">
        <v>800</v>
      </c>
      <c r="AA63" s="106">
        <f t="shared" si="1"/>
        <v>0</v>
      </c>
      <c r="AB63" s="106">
        <f t="shared" si="2"/>
        <v>0</v>
      </c>
      <c r="AC63" s="94"/>
      <c r="AD63" s="94"/>
      <c r="AE63" s="94"/>
      <c r="AF63" s="94"/>
      <c r="AG63" s="94"/>
      <c r="AH63" s="263"/>
    </row>
    <row r="64" spans="1:34" ht="19.5" customHeight="1">
      <c r="A64" s="90" t="s">
        <v>1481</v>
      </c>
      <c r="B64" s="88">
        <v>6000029240</v>
      </c>
      <c r="C64" s="2" t="s">
        <v>1480</v>
      </c>
      <c r="D64" s="192" t="s">
        <v>3041</v>
      </c>
      <c r="E64" s="192">
        <v>10</v>
      </c>
      <c r="F64" s="74">
        <v>250</v>
      </c>
      <c r="G64" s="45">
        <f t="shared" si="0"/>
        <v>2500</v>
      </c>
      <c r="H64" s="119" t="s">
        <v>27</v>
      </c>
      <c r="I64" s="128">
        <v>45362</v>
      </c>
      <c r="J64" s="74">
        <v>250</v>
      </c>
      <c r="K64" s="74">
        <f>3+1</f>
        <v>4</v>
      </c>
      <c r="L64" s="156">
        <v>45360</v>
      </c>
      <c r="M64" s="90">
        <v>2500</v>
      </c>
      <c r="N64" s="90">
        <v>25</v>
      </c>
      <c r="O64" s="90" t="s">
        <v>2152</v>
      </c>
      <c r="P64" s="94" t="s">
        <v>28</v>
      </c>
      <c r="Q64" s="94">
        <v>8500068879</v>
      </c>
      <c r="R64" s="94">
        <v>5000291355</v>
      </c>
      <c r="S64" s="74">
        <v>250</v>
      </c>
      <c r="T64" s="90" t="s">
        <v>1558</v>
      </c>
      <c r="U64" s="90">
        <v>8500068878</v>
      </c>
      <c r="V64" s="90">
        <v>5000282940</v>
      </c>
      <c r="W64" s="109">
        <v>45394</v>
      </c>
      <c r="X64" s="106">
        <v>250</v>
      </c>
      <c r="Y64" s="106">
        <v>2500</v>
      </c>
      <c r="Z64" s="106" t="s">
        <v>1513</v>
      </c>
      <c r="AA64" s="106">
        <f t="shared" si="1"/>
        <v>0</v>
      </c>
      <c r="AB64" s="106">
        <f t="shared" si="2"/>
        <v>0</v>
      </c>
      <c r="AC64" s="111"/>
      <c r="AD64" s="94"/>
      <c r="AE64" s="94"/>
      <c r="AF64" s="94"/>
      <c r="AG64" s="94"/>
      <c r="AH64" s="263"/>
    </row>
    <row r="65" spans="1:34" ht="19.5" customHeight="1">
      <c r="A65" s="90"/>
      <c r="B65" s="88"/>
      <c r="C65" s="2"/>
      <c r="D65" s="192"/>
      <c r="E65" s="192">
        <v>10</v>
      </c>
      <c r="F65" s="74">
        <v>1450</v>
      </c>
      <c r="G65" s="45">
        <f t="shared" si="0"/>
        <v>14500</v>
      </c>
      <c r="H65" s="119" t="s">
        <v>46</v>
      </c>
      <c r="I65" s="128">
        <v>45362</v>
      </c>
      <c r="J65" s="74">
        <v>1450</v>
      </c>
      <c r="K65" s="74">
        <f>17+2</f>
        <v>19</v>
      </c>
      <c r="L65" s="156">
        <v>45360</v>
      </c>
      <c r="M65" s="90">
        <v>14500</v>
      </c>
      <c r="N65" s="90">
        <v>145</v>
      </c>
      <c r="O65" s="90"/>
      <c r="P65" s="94" t="s">
        <v>28</v>
      </c>
      <c r="Q65" s="94">
        <v>8500068879</v>
      </c>
      <c r="R65" s="94">
        <v>5000291355</v>
      </c>
      <c r="S65" s="74">
        <v>1450</v>
      </c>
      <c r="T65" s="90" t="s">
        <v>1558</v>
      </c>
      <c r="U65" s="90">
        <v>8500068878</v>
      </c>
      <c r="V65" s="90">
        <v>5000282940</v>
      </c>
      <c r="W65" s="109">
        <v>45398</v>
      </c>
      <c r="X65" s="106">
        <v>1450</v>
      </c>
      <c r="Y65" s="106">
        <v>14500</v>
      </c>
      <c r="Z65" s="106" t="s">
        <v>1472</v>
      </c>
      <c r="AA65" s="106">
        <f t="shared" si="1"/>
        <v>0</v>
      </c>
      <c r="AB65" s="106">
        <f t="shared" si="2"/>
        <v>0</v>
      </c>
      <c r="AC65" s="111"/>
      <c r="AD65" s="94"/>
      <c r="AE65" s="94"/>
      <c r="AF65" s="94"/>
      <c r="AG65" s="94"/>
      <c r="AH65" s="263"/>
    </row>
    <row r="66" spans="1:34" ht="19.5" customHeight="1">
      <c r="A66" s="90"/>
      <c r="B66" s="88"/>
      <c r="C66" s="2"/>
      <c r="D66" s="192"/>
      <c r="E66" s="192">
        <v>10</v>
      </c>
      <c r="F66" s="74">
        <v>860</v>
      </c>
      <c r="G66" s="45">
        <f t="shared" si="0"/>
        <v>8600</v>
      </c>
      <c r="H66" s="119" t="s">
        <v>37</v>
      </c>
      <c r="I66" s="128">
        <v>45362</v>
      </c>
      <c r="J66" s="74">
        <v>860</v>
      </c>
      <c r="K66" s="74">
        <f>10+2</f>
        <v>12</v>
      </c>
      <c r="L66" s="156">
        <v>45360</v>
      </c>
      <c r="M66" s="90">
        <v>8600</v>
      </c>
      <c r="N66" s="90">
        <v>86</v>
      </c>
      <c r="O66" s="90"/>
      <c r="P66" s="94" t="s">
        <v>28</v>
      </c>
      <c r="Q66" s="94">
        <v>8500068879</v>
      </c>
      <c r="R66" s="94">
        <v>5000291355</v>
      </c>
      <c r="S66" s="74">
        <v>860</v>
      </c>
      <c r="T66" s="90" t="s">
        <v>1558</v>
      </c>
      <c r="U66" s="90">
        <v>8500068878</v>
      </c>
      <c r="V66" s="90">
        <v>5000282940</v>
      </c>
      <c r="W66" s="109">
        <v>45392</v>
      </c>
      <c r="X66" s="106">
        <v>860</v>
      </c>
      <c r="Y66" s="106">
        <v>8600</v>
      </c>
      <c r="Z66" s="106" t="s">
        <v>35</v>
      </c>
      <c r="AA66" s="106">
        <f t="shared" si="1"/>
        <v>0</v>
      </c>
      <c r="AB66" s="106">
        <f t="shared" si="2"/>
        <v>0</v>
      </c>
      <c r="AC66" s="111"/>
      <c r="AD66" s="94"/>
      <c r="AE66" s="94"/>
      <c r="AF66" s="94"/>
      <c r="AG66" s="94"/>
      <c r="AH66" s="263"/>
    </row>
    <row r="67" spans="1:34" ht="19.5" customHeight="1">
      <c r="A67" s="90"/>
      <c r="B67" s="88"/>
      <c r="C67" s="2"/>
      <c r="D67" s="192"/>
      <c r="E67" s="192">
        <v>10</v>
      </c>
      <c r="F67" s="74">
        <v>100</v>
      </c>
      <c r="G67" s="45">
        <f t="shared" si="0"/>
        <v>1000</v>
      </c>
      <c r="H67" s="119" t="s">
        <v>146</v>
      </c>
      <c r="I67" s="128">
        <v>45362</v>
      </c>
      <c r="J67" s="74">
        <v>100</v>
      </c>
      <c r="K67" s="74">
        <v>1</v>
      </c>
      <c r="L67" s="156">
        <v>45360</v>
      </c>
      <c r="M67" s="90">
        <v>1000</v>
      </c>
      <c r="N67" s="90">
        <v>10</v>
      </c>
      <c r="O67" s="90" t="s">
        <v>1549</v>
      </c>
      <c r="P67" s="94" t="s">
        <v>28</v>
      </c>
      <c r="Q67" s="94">
        <v>8500068881</v>
      </c>
      <c r="R67" s="94">
        <v>5000291358</v>
      </c>
      <c r="S67" s="74">
        <v>100</v>
      </c>
      <c r="T67" s="90" t="s">
        <v>1558</v>
      </c>
      <c r="U67" s="90">
        <v>8500068880</v>
      </c>
      <c r="V67" s="90">
        <v>5000282944</v>
      </c>
      <c r="W67" s="109">
        <v>45374</v>
      </c>
      <c r="X67" s="106">
        <v>100</v>
      </c>
      <c r="Y67" s="106">
        <v>1000</v>
      </c>
      <c r="Z67" s="106" t="s">
        <v>798</v>
      </c>
      <c r="AA67" s="106">
        <f t="shared" si="1"/>
        <v>0</v>
      </c>
      <c r="AB67" s="106">
        <f t="shared" si="2"/>
        <v>0</v>
      </c>
      <c r="AC67" s="94"/>
      <c r="AD67" s="94"/>
      <c r="AE67" s="94"/>
      <c r="AF67" s="94"/>
      <c r="AG67" s="94"/>
      <c r="AH67" s="263"/>
    </row>
    <row r="68" spans="1:34" ht="19.5" customHeight="1">
      <c r="A68" s="90" t="s">
        <v>3043</v>
      </c>
      <c r="B68" s="88">
        <v>6000028987</v>
      </c>
      <c r="C68" s="2" t="s">
        <v>3042</v>
      </c>
      <c r="D68" s="192">
        <v>7860</v>
      </c>
      <c r="E68" s="192">
        <v>8</v>
      </c>
      <c r="F68" s="74">
        <v>320</v>
      </c>
      <c r="G68" s="45">
        <f t="shared" si="0"/>
        <v>2560</v>
      </c>
      <c r="H68" s="119" t="s">
        <v>27</v>
      </c>
      <c r="I68" s="128">
        <v>45372</v>
      </c>
      <c r="J68" s="74">
        <v>320</v>
      </c>
      <c r="K68" s="74">
        <f>5+1</f>
        <v>6</v>
      </c>
      <c r="L68" s="156">
        <v>45371</v>
      </c>
      <c r="M68" s="90">
        <v>2560</v>
      </c>
      <c r="N68" s="90">
        <v>26</v>
      </c>
      <c r="O68" s="90" t="s">
        <v>1662</v>
      </c>
      <c r="P68" s="94" t="s">
        <v>160</v>
      </c>
      <c r="Q68" s="94">
        <v>8500068486</v>
      </c>
      <c r="R68" s="94">
        <v>5000341317</v>
      </c>
      <c r="S68" s="74">
        <v>320</v>
      </c>
      <c r="T68" s="90" t="s">
        <v>87</v>
      </c>
      <c r="U68" s="90">
        <v>8500068485</v>
      </c>
      <c r="V68" s="90">
        <v>5000336796</v>
      </c>
      <c r="W68" s="109">
        <v>45409</v>
      </c>
      <c r="X68" s="106">
        <f>150+170</f>
        <v>320</v>
      </c>
      <c r="Y68" s="106">
        <f>1200+1360</f>
        <v>2560</v>
      </c>
      <c r="Z68" s="106" t="s">
        <v>800</v>
      </c>
      <c r="AA68" s="106">
        <f t="shared" si="1"/>
        <v>0</v>
      </c>
      <c r="AB68" s="106">
        <f t="shared" si="2"/>
        <v>0</v>
      </c>
      <c r="AC68" s="94"/>
      <c r="AD68" s="94"/>
      <c r="AE68" s="94"/>
      <c r="AF68" s="94"/>
      <c r="AG68" s="94"/>
      <c r="AH68" s="263"/>
    </row>
    <row r="69" spans="1:34" ht="19.5" customHeight="1">
      <c r="A69" s="90"/>
      <c r="B69" s="88"/>
      <c r="C69" s="2"/>
      <c r="D69" s="192"/>
      <c r="E69" s="192">
        <v>8</v>
      </c>
      <c r="F69" s="74">
        <v>730</v>
      </c>
      <c r="G69" s="45">
        <f t="shared" si="0"/>
        <v>5840</v>
      </c>
      <c r="H69" s="119" t="s">
        <v>46</v>
      </c>
      <c r="I69" s="128">
        <v>45372</v>
      </c>
      <c r="J69" s="74">
        <v>730</v>
      </c>
      <c r="K69" s="74">
        <f>10+2</f>
        <v>12</v>
      </c>
      <c r="L69" s="156">
        <v>45371</v>
      </c>
      <c r="M69" s="90">
        <v>5840</v>
      </c>
      <c r="N69" s="90">
        <v>58</v>
      </c>
      <c r="O69" s="90"/>
      <c r="P69" s="94" t="s">
        <v>160</v>
      </c>
      <c r="Q69" s="94">
        <v>8500068486</v>
      </c>
      <c r="R69" s="94">
        <v>5000341317</v>
      </c>
      <c r="S69" s="74">
        <v>730</v>
      </c>
      <c r="T69" s="90" t="s">
        <v>87</v>
      </c>
      <c r="U69" s="90">
        <v>8500068485</v>
      </c>
      <c r="V69" s="90">
        <v>5000336796</v>
      </c>
      <c r="W69" s="109">
        <v>45411</v>
      </c>
      <c r="X69" s="106">
        <v>730</v>
      </c>
      <c r="Y69" s="106">
        <v>5840</v>
      </c>
      <c r="Z69" s="106" t="s">
        <v>800</v>
      </c>
      <c r="AA69" s="106">
        <f t="shared" si="1"/>
        <v>0</v>
      </c>
      <c r="AB69" s="106">
        <f t="shared" si="2"/>
        <v>0</v>
      </c>
      <c r="AC69" s="94"/>
      <c r="AD69" s="94"/>
      <c r="AE69" s="94"/>
      <c r="AF69" s="94"/>
      <c r="AG69" s="94"/>
      <c r="AH69" s="263"/>
    </row>
    <row r="70" spans="1:34" ht="21.75" customHeight="1">
      <c r="A70" s="90"/>
      <c r="B70" s="88"/>
      <c r="C70" s="2"/>
      <c r="D70" s="192"/>
      <c r="E70" s="192">
        <v>8</v>
      </c>
      <c r="F70" s="74">
        <v>350</v>
      </c>
      <c r="G70" s="45">
        <f t="shared" si="0"/>
        <v>2800</v>
      </c>
      <c r="H70" s="119" t="s">
        <v>37</v>
      </c>
      <c r="I70" s="128">
        <v>45372</v>
      </c>
      <c r="J70" s="74">
        <v>350</v>
      </c>
      <c r="K70" s="74">
        <f>6</f>
        <v>6</v>
      </c>
      <c r="L70" s="156">
        <v>45371</v>
      </c>
      <c r="M70" s="90">
        <v>2800</v>
      </c>
      <c r="N70" s="90">
        <v>28</v>
      </c>
      <c r="O70" s="90" t="s">
        <v>1662</v>
      </c>
      <c r="P70" s="94" t="s">
        <v>160</v>
      </c>
      <c r="Q70" s="94">
        <v>8500068486</v>
      </c>
      <c r="R70" s="94">
        <v>5000341317</v>
      </c>
      <c r="S70" s="74">
        <v>350</v>
      </c>
      <c r="T70" s="90" t="s">
        <v>87</v>
      </c>
      <c r="U70" s="90">
        <v>8500068485</v>
      </c>
      <c r="V70" s="90">
        <v>5000336796</v>
      </c>
      <c r="W70" s="109" t="s">
        <v>3428</v>
      </c>
      <c r="X70" s="106">
        <f>250+100</f>
        <v>350</v>
      </c>
      <c r="Y70" s="106">
        <f>2000+800</f>
        <v>2800</v>
      </c>
      <c r="Z70" s="106" t="s">
        <v>1822</v>
      </c>
      <c r="AA70" s="106">
        <f t="shared" si="1"/>
        <v>0</v>
      </c>
      <c r="AB70" s="106">
        <f t="shared" si="2"/>
        <v>0</v>
      </c>
      <c r="AC70" s="94"/>
      <c r="AD70" s="94"/>
      <c r="AE70" s="94"/>
      <c r="AF70" s="94"/>
      <c r="AG70" s="94"/>
      <c r="AH70" s="263"/>
    </row>
    <row r="71" spans="1:34" ht="19.5" customHeight="1">
      <c r="A71" s="90" t="s">
        <v>573</v>
      </c>
      <c r="B71" s="88">
        <v>6000029371</v>
      </c>
      <c r="C71" s="2" t="s">
        <v>574</v>
      </c>
      <c r="D71" s="192">
        <v>6000029371</v>
      </c>
      <c r="E71" s="192">
        <v>10</v>
      </c>
      <c r="F71" s="74">
        <v>600</v>
      </c>
      <c r="G71" s="45">
        <f t="shared" si="0"/>
        <v>6000</v>
      </c>
      <c r="H71" s="119" t="s">
        <v>27</v>
      </c>
      <c r="I71" s="128">
        <v>45366</v>
      </c>
      <c r="J71" s="74">
        <v>600</v>
      </c>
      <c r="K71" s="74">
        <f>8+4</f>
        <v>12</v>
      </c>
      <c r="L71" s="156">
        <v>45367</v>
      </c>
      <c r="M71" s="90">
        <v>6000</v>
      </c>
      <c r="N71" s="90">
        <v>60</v>
      </c>
      <c r="O71" s="90"/>
      <c r="P71" s="94" t="s">
        <v>160</v>
      </c>
      <c r="Q71" s="94">
        <v>8500069016</v>
      </c>
      <c r="R71" s="94">
        <v>5000310285</v>
      </c>
      <c r="S71" s="74">
        <v>600</v>
      </c>
      <c r="T71" s="90" t="s">
        <v>1558</v>
      </c>
      <c r="U71" s="90">
        <v>8500069015</v>
      </c>
      <c r="V71" s="90">
        <v>5000315001</v>
      </c>
      <c r="W71" s="109">
        <v>45367</v>
      </c>
      <c r="X71" s="106">
        <v>600</v>
      </c>
      <c r="Y71" s="106">
        <v>6000</v>
      </c>
      <c r="Z71" s="106" t="s">
        <v>727</v>
      </c>
      <c r="AA71" s="106">
        <f t="shared" si="1"/>
        <v>0</v>
      </c>
      <c r="AB71" s="106">
        <f t="shared" si="2"/>
        <v>0</v>
      </c>
      <c r="AC71" s="94"/>
      <c r="AD71" s="94"/>
      <c r="AE71" s="94"/>
      <c r="AF71" s="94"/>
      <c r="AG71" s="94"/>
      <c r="AH71" s="263"/>
    </row>
    <row r="72" spans="1:34" ht="19.5" customHeight="1">
      <c r="A72" s="90"/>
      <c r="B72" s="88"/>
      <c r="C72" s="2"/>
      <c r="D72" s="192"/>
      <c r="E72" s="192">
        <v>10</v>
      </c>
      <c r="F72" s="74">
        <v>1500</v>
      </c>
      <c r="G72" s="45">
        <f t="shared" si="0"/>
        <v>15000</v>
      </c>
      <c r="H72" s="119" t="s">
        <v>46</v>
      </c>
      <c r="I72" s="128">
        <v>45366</v>
      </c>
      <c r="J72" s="74">
        <v>1500</v>
      </c>
      <c r="K72" s="74">
        <f>17+3</f>
        <v>20</v>
      </c>
      <c r="L72" s="156">
        <v>45367</v>
      </c>
      <c r="M72" s="90">
        <v>15000</v>
      </c>
      <c r="N72" s="90">
        <v>150</v>
      </c>
      <c r="O72" s="90"/>
      <c r="P72" s="94" t="s">
        <v>160</v>
      </c>
      <c r="Q72" s="94">
        <v>8500069016</v>
      </c>
      <c r="R72" s="94">
        <v>5000310285</v>
      </c>
      <c r="S72" s="74">
        <v>1500</v>
      </c>
      <c r="T72" s="90" t="s">
        <v>1558</v>
      </c>
      <c r="U72" s="90">
        <v>8500069015</v>
      </c>
      <c r="V72" s="90">
        <v>5000315001</v>
      </c>
      <c r="W72" s="109" t="s">
        <v>3445</v>
      </c>
      <c r="X72" s="106">
        <f>400+1100</f>
        <v>1500</v>
      </c>
      <c r="Y72" s="106">
        <f>4000+11000</f>
        <v>15000</v>
      </c>
      <c r="Z72" s="106" t="s">
        <v>3446</v>
      </c>
      <c r="AA72" s="106">
        <f t="shared" si="1"/>
        <v>0</v>
      </c>
      <c r="AB72" s="106">
        <f t="shared" si="2"/>
        <v>0</v>
      </c>
      <c r="AC72" s="94"/>
      <c r="AD72" s="94"/>
      <c r="AE72" s="94"/>
      <c r="AF72" s="94"/>
      <c r="AG72" s="94"/>
      <c r="AH72" s="263"/>
    </row>
    <row r="73" spans="1:34" ht="19.5" customHeight="1">
      <c r="A73" s="90"/>
      <c r="B73" s="88"/>
      <c r="C73" s="2"/>
      <c r="D73" s="192"/>
      <c r="E73" s="192">
        <v>10</v>
      </c>
      <c r="F73" s="74">
        <v>1650</v>
      </c>
      <c r="G73" s="45">
        <f t="shared" si="0"/>
        <v>16500</v>
      </c>
      <c r="H73" s="119" t="s">
        <v>37</v>
      </c>
      <c r="I73" s="128">
        <v>45366</v>
      </c>
      <c r="J73" s="74">
        <v>1650</v>
      </c>
      <c r="K73" s="74">
        <f>18+12</f>
        <v>30</v>
      </c>
      <c r="L73" s="156">
        <v>45367</v>
      </c>
      <c r="M73" s="90">
        <v>16500</v>
      </c>
      <c r="N73" s="90">
        <v>165</v>
      </c>
      <c r="O73" s="90"/>
      <c r="P73" s="94" t="s">
        <v>160</v>
      </c>
      <c r="Q73" s="94">
        <v>8500069016</v>
      </c>
      <c r="R73" s="94">
        <v>5000310285</v>
      </c>
      <c r="S73" s="74">
        <v>1650</v>
      </c>
      <c r="T73" s="90" t="s">
        <v>1558</v>
      </c>
      <c r="U73" s="90">
        <v>8500069015</v>
      </c>
      <c r="V73" s="90">
        <v>5000315001</v>
      </c>
      <c r="W73" s="109" t="s">
        <v>3414</v>
      </c>
      <c r="X73" s="106">
        <f>470+1180</f>
        <v>1650</v>
      </c>
      <c r="Y73" s="106">
        <f>4700+11800</f>
        <v>16500</v>
      </c>
      <c r="Z73" s="106" t="s">
        <v>3416</v>
      </c>
      <c r="AA73" s="106">
        <f t="shared" si="1"/>
        <v>0</v>
      </c>
      <c r="AB73" s="106">
        <f t="shared" si="2"/>
        <v>0</v>
      </c>
      <c r="AC73" s="94"/>
      <c r="AD73" s="94"/>
      <c r="AE73" s="94"/>
      <c r="AF73" s="94"/>
      <c r="AG73" s="94"/>
      <c r="AH73" s="263"/>
    </row>
    <row r="74" spans="1:34" ht="19.5" customHeight="1">
      <c r="A74" s="90"/>
      <c r="B74" s="88"/>
      <c r="C74" s="2"/>
      <c r="D74" s="192"/>
      <c r="E74" s="192">
        <v>10</v>
      </c>
      <c r="F74" s="74">
        <v>600</v>
      </c>
      <c r="G74" s="45">
        <f t="shared" si="0"/>
        <v>6000</v>
      </c>
      <c r="H74" s="119" t="s">
        <v>146</v>
      </c>
      <c r="I74" s="128" t="s">
        <v>3147</v>
      </c>
      <c r="J74" s="74">
        <f>260+340</f>
        <v>600</v>
      </c>
      <c r="K74" s="74">
        <f>8+4</f>
        <v>12</v>
      </c>
      <c r="L74" s="156">
        <v>45367</v>
      </c>
      <c r="M74" s="90">
        <v>6000</v>
      </c>
      <c r="N74" s="90">
        <v>60</v>
      </c>
      <c r="O74" s="90" t="s">
        <v>1732</v>
      </c>
      <c r="P74" s="94" t="s">
        <v>160</v>
      </c>
      <c r="Q74" s="94">
        <v>8500069016</v>
      </c>
      <c r="R74" s="94">
        <v>5000310285</v>
      </c>
      <c r="S74" s="74">
        <f>260+340</f>
        <v>600</v>
      </c>
      <c r="T74" s="90" t="s">
        <v>1558</v>
      </c>
      <c r="U74" s="90">
        <v>8500069015</v>
      </c>
      <c r="V74" s="90">
        <v>5000315001</v>
      </c>
      <c r="W74" s="109" t="s">
        <v>3458</v>
      </c>
      <c r="X74" s="106">
        <f>200+400</f>
        <v>600</v>
      </c>
      <c r="Y74" s="106">
        <f>2000+4000</f>
        <v>6000</v>
      </c>
      <c r="Z74" s="106" t="s">
        <v>3459</v>
      </c>
      <c r="AA74" s="106">
        <f t="shared" si="1"/>
        <v>0</v>
      </c>
      <c r="AB74" s="106">
        <f t="shared" si="2"/>
        <v>0</v>
      </c>
      <c r="AC74" s="94"/>
      <c r="AD74" s="94"/>
      <c r="AE74" s="94"/>
      <c r="AF74" s="94"/>
      <c r="AG74" s="94"/>
      <c r="AH74" s="263"/>
    </row>
    <row r="75" spans="1:34" ht="19.5" customHeight="1">
      <c r="A75" s="90" t="s">
        <v>378</v>
      </c>
      <c r="B75" s="88">
        <v>6000029325</v>
      </c>
      <c r="C75" s="2" t="s">
        <v>379</v>
      </c>
      <c r="D75" s="193">
        <v>6000029325</v>
      </c>
      <c r="E75" s="192">
        <v>10</v>
      </c>
      <c r="F75" s="74">
        <v>432</v>
      </c>
      <c r="G75" s="45">
        <f t="shared" si="0"/>
        <v>4320</v>
      </c>
      <c r="H75" s="119" t="s">
        <v>27</v>
      </c>
      <c r="I75" s="128">
        <v>45362</v>
      </c>
      <c r="J75" s="74">
        <v>432</v>
      </c>
      <c r="K75" s="74">
        <f>6+5</f>
        <v>11</v>
      </c>
      <c r="L75" s="156">
        <v>45363</v>
      </c>
      <c r="M75" s="90">
        <v>4320</v>
      </c>
      <c r="N75" s="90">
        <v>43</v>
      </c>
      <c r="O75" s="90" t="s">
        <v>1369</v>
      </c>
      <c r="P75" s="94" t="s">
        <v>160</v>
      </c>
      <c r="Q75" s="94">
        <v>8500068885</v>
      </c>
      <c r="R75" s="94">
        <v>5000294817</v>
      </c>
      <c r="S75" s="74">
        <v>432</v>
      </c>
      <c r="T75" s="90" t="s">
        <v>87</v>
      </c>
      <c r="U75" s="90">
        <v>8500068884</v>
      </c>
      <c r="V75" s="90">
        <v>5000296166</v>
      </c>
      <c r="W75" s="109">
        <v>45367</v>
      </c>
      <c r="X75" s="106">
        <v>432</v>
      </c>
      <c r="Y75" s="106">
        <v>4320</v>
      </c>
      <c r="Z75" s="106" t="s">
        <v>1502</v>
      </c>
      <c r="AA75" s="106">
        <f t="shared" si="1"/>
        <v>0</v>
      </c>
      <c r="AB75" s="106">
        <f t="shared" si="2"/>
        <v>0</v>
      </c>
      <c r="AC75" s="94"/>
      <c r="AD75" s="94"/>
      <c r="AE75" s="94"/>
      <c r="AF75" s="94"/>
      <c r="AG75" s="94"/>
      <c r="AH75" s="263"/>
    </row>
    <row r="76" spans="1:34" ht="22.5" customHeight="1">
      <c r="A76" s="90"/>
      <c r="B76" s="88"/>
      <c r="C76" s="2"/>
      <c r="D76" s="537" t="s">
        <v>3044</v>
      </c>
      <c r="E76" s="192">
        <v>10</v>
      </c>
      <c r="F76" s="74">
        <v>432</v>
      </c>
      <c r="G76" s="45">
        <f t="shared" si="0"/>
        <v>4320</v>
      </c>
      <c r="H76" s="119" t="s">
        <v>46</v>
      </c>
      <c r="I76" s="128">
        <v>45362</v>
      </c>
      <c r="J76" s="74">
        <v>432</v>
      </c>
      <c r="K76" s="74">
        <f>6+2</f>
        <v>8</v>
      </c>
      <c r="L76" s="156">
        <v>45378</v>
      </c>
      <c r="M76" s="90">
        <v>4320</v>
      </c>
      <c r="N76" s="90">
        <v>43</v>
      </c>
      <c r="O76" s="90"/>
      <c r="P76" s="94" t="s">
        <v>160</v>
      </c>
      <c r="Q76" s="94">
        <v>8500068885</v>
      </c>
      <c r="R76" s="94">
        <v>5000294817</v>
      </c>
      <c r="S76" s="74">
        <v>432</v>
      </c>
      <c r="T76" s="90" t="s">
        <v>87</v>
      </c>
      <c r="U76" s="90">
        <v>8500068884</v>
      </c>
      <c r="V76" s="90">
        <v>5000366495</v>
      </c>
      <c r="W76" s="109">
        <v>45402</v>
      </c>
      <c r="X76" s="106">
        <v>432</v>
      </c>
      <c r="Y76" s="106">
        <v>4320</v>
      </c>
      <c r="Z76" s="106" t="s">
        <v>800</v>
      </c>
      <c r="AA76" s="106">
        <f t="shared" si="1"/>
        <v>0</v>
      </c>
      <c r="AB76" s="106">
        <f t="shared" si="2"/>
        <v>0</v>
      </c>
      <c r="AC76" s="94"/>
      <c r="AD76" s="94"/>
      <c r="AE76" s="94"/>
      <c r="AF76" s="94"/>
      <c r="AG76" s="94"/>
      <c r="AH76" s="263"/>
    </row>
    <row r="77" spans="1:34" ht="18.75" customHeight="1">
      <c r="A77" s="90"/>
      <c r="B77" s="88"/>
      <c r="C77" s="2"/>
      <c r="D77" s="538"/>
      <c r="E77" s="192">
        <v>10</v>
      </c>
      <c r="F77" s="74">
        <v>648</v>
      </c>
      <c r="G77" s="45">
        <f>E77*F77</f>
        <v>6480</v>
      </c>
      <c r="H77" s="119" t="s">
        <v>37</v>
      </c>
      <c r="I77" s="128">
        <v>45362</v>
      </c>
      <c r="J77" s="74">
        <v>648</v>
      </c>
      <c r="K77" s="74">
        <f>9+5</f>
        <v>14</v>
      </c>
      <c r="L77" s="156">
        <v>45365</v>
      </c>
      <c r="M77" s="90">
        <v>6480</v>
      </c>
      <c r="N77" s="90">
        <v>65</v>
      </c>
      <c r="O77" s="90"/>
      <c r="P77" s="94" t="s">
        <v>160</v>
      </c>
      <c r="Q77" s="94">
        <v>8500068885</v>
      </c>
      <c r="R77" s="94">
        <v>5000294817</v>
      </c>
      <c r="S77" s="74">
        <v>648</v>
      </c>
      <c r="T77" s="90" t="s">
        <v>87</v>
      </c>
      <c r="U77" s="90">
        <v>8500068884</v>
      </c>
      <c r="V77" s="90">
        <v>5000304231</v>
      </c>
      <c r="W77" s="109">
        <v>45372</v>
      </c>
      <c r="X77" s="106">
        <v>648</v>
      </c>
      <c r="Y77" s="106">
        <v>6480</v>
      </c>
      <c r="Z77" s="106" t="s">
        <v>197</v>
      </c>
      <c r="AA77" s="106">
        <f t="shared" ref="AA77:AA140" si="4">J77-X77</f>
        <v>0</v>
      </c>
      <c r="AB77" s="106">
        <f t="shared" ref="AB77:AB140" si="5">M77-Y77</f>
        <v>0</v>
      </c>
      <c r="AC77" s="94"/>
      <c r="AD77" s="94"/>
      <c r="AE77" s="94"/>
      <c r="AF77" s="94"/>
      <c r="AG77" s="94"/>
      <c r="AH77" s="263"/>
    </row>
    <row r="78" spans="1:34" ht="19.5" customHeight="1">
      <c r="A78" s="90"/>
      <c r="B78" s="88"/>
      <c r="C78" s="2"/>
      <c r="D78" s="538"/>
      <c r="E78" s="192">
        <v>10</v>
      </c>
      <c r="F78" s="74">
        <v>144</v>
      </c>
      <c r="G78" s="45">
        <f>E78*F78</f>
        <v>1440</v>
      </c>
      <c r="H78" s="119" t="s">
        <v>146</v>
      </c>
      <c r="I78" s="128">
        <v>45362</v>
      </c>
      <c r="J78" s="74">
        <v>144</v>
      </c>
      <c r="K78" s="74">
        <f>4+3</f>
        <v>7</v>
      </c>
      <c r="L78" s="156">
        <v>45378</v>
      </c>
      <c r="M78" s="90">
        <v>1440</v>
      </c>
      <c r="N78" s="90">
        <v>14</v>
      </c>
      <c r="O78" s="90"/>
      <c r="P78" s="94" t="s">
        <v>160</v>
      </c>
      <c r="Q78" s="94">
        <v>8500068885</v>
      </c>
      <c r="R78" s="94">
        <v>5000294817</v>
      </c>
      <c r="S78" s="74">
        <v>144</v>
      </c>
      <c r="T78" s="90" t="s">
        <v>87</v>
      </c>
      <c r="U78" s="90">
        <v>8500068884</v>
      </c>
      <c r="V78" s="90">
        <v>5000366495</v>
      </c>
      <c r="W78" s="109">
        <v>45399</v>
      </c>
      <c r="X78" s="106">
        <v>144</v>
      </c>
      <c r="Y78" s="106">
        <v>1440</v>
      </c>
      <c r="Z78" s="106" t="s">
        <v>759</v>
      </c>
      <c r="AA78" s="106">
        <f t="shared" si="4"/>
        <v>0</v>
      </c>
      <c r="AB78" s="106">
        <f t="shared" si="5"/>
        <v>0</v>
      </c>
      <c r="AC78" s="94"/>
      <c r="AD78" s="94"/>
      <c r="AE78" s="94"/>
      <c r="AF78" s="94"/>
      <c r="AG78" s="94"/>
      <c r="AH78" s="263"/>
    </row>
    <row r="79" spans="1:34" ht="19.5" customHeight="1">
      <c r="A79" s="90"/>
      <c r="B79" s="88"/>
      <c r="C79" s="2"/>
      <c r="D79" s="538"/>
      <c r="E79" s="192"/>
      <c r="F79" s="74" t="s">
        <v>3045</v>
      </c>
      <c r="G79" s="45">
        <v>1728</v>
      </c>
      <c r="H79" s="119" t="s">
        <v>27</v>
      </c>
      <c r="I79" s="128">
        <v>45362</v>
      </c>
      <c r="J79" s="45">
        <v>1728</v>
      </c>
      <c r="K79" s="74">
        <v>52</v>
      </c>
      <c r="L79" s="156"/>
      <c r="M79" s="90"/>
      <c r="N79" s="90"/>
      <c r="O79" s="90"/>
      <c r="P79" s="94" t="s">
        <v>2808</v>
      </c>
      <c r="Q79" s="94">
        <v>8500068886</v>
      </c>
      <c r="R79" s="94">
        <v>5000291367</v>
      </c>
      <c r="S79" s="45">
        <v>1728</v>
      </c>
      <c r="T79" s="90"/>
      <c r="U79" s="90"/>
      <c r="V79" s="90"/>
      <c r="W79" s="109"/>
      <c r="X79" s="106">
        <v>1728</v>
      </c>
      <c r="Y79" s="106"/>
      <c r="Z79" s="106"/>
      <c r="AA79" s="106">
        <f t="shared" si="4"/>
        <v>0</v>
      </c>
      <c r="AB79" s="106">
        <f t="shared" si="5"/>
        <v>0</v>
      </c>
      <c r="AC79" s="94"/>
      <c r="AD79" s="94"/>
      <c r="AE79" s="94"/>
      <c r="AF79" s="94"/>
      <c r="AG79" s="94"/>
      <c r="AH79" s="263"/>
    </row>
    <row r="80" spans="1:34" ht="19.5" customHeight="1">
      <c r="A80" s="90"/>
      <c r="B80" s="88"/>
      <c r="C80" s="2"/>
      <c r="D80" s="538"/>
      <c r="E80" s="192"/>
      <c r="F80" s="74" t="s">
        <v>3045</v>
      </c>
      <c r="G80" s="45">
        <v>1728</v>
      </c>
      <c r="H80" s="119" t="s">
        <v>46</v>
      </c>
      <c r="I80" s="128">
        <v>45362</v>
      </c>
      <c r="J80" s="45">
        <v>1728</v>
      </c>
      <c r="K80" s="74">
        <v>18</v>
      </c>
      <c r="L80" s="156"/>
      <c r="M80" s="90"/>
      <c r="N80" s="90"/>
      <c r="O80" s="90"/>
      <c r="P80" s="94" t="s">
        <v>2808</v>
      </c>
      <c r="Q80" s="94">
        <v>8500068886</v>
      </c>
      <c r="R80" s="94">
        <v>5000291367</v>
      </c>
      <c r="S80" s="45">
        <v>1728</v>
      </c>
      <c r="T80" s="90"/>
      <c r="U80" s="90"/>
      <c r="V80" s="90"/>
      <c r="W80" s="109"/>
      <c r="X80" s="106">
        <v>1728</v>
      </c>
      <c r="Y80" s="106"/>
      <c r="Z80" s="106"/>
      <c r="AA80" s="106">
        <f t="shared" si="4"/>
        <v>0</v>
      </c>
      <c r="AB80" s="106">
        <f t="shared" si="5"/>
        <v>0</v>
      </c>
      <c r="AC80" s="94"/>
      <c r="AD80" s="94"/>
      <c r="AE80" s="94"/>
      <c r="AF80" s="94"/>
      <c r="AG80" s="94"/>
      <c r="AH80" s="263"/>
    </row>
    <row r="81" spans="1:34" ht="19.5" customHeight="1">
      <c r="A81" s="90"/>
      <c r="B81" s="88"/>
      <c r="C81" s="2"/>
      <c r="D81" s="538"/>
      <c r="E81" s="192"/>
      <c r="F81" s="74" t="s">
        <v>3045</v>
      </c>
      <c r="G81" s="45">
        <v>2592</v>
      </c>
      <c r="H81" s="119" t="s">
        <v>37</v>
      </c>
      <c r="I81" s="128">
        <v>45362</v>
      </c>
      <c r="J81" s="45">
        <v>2592</v>
      </c>
      <c r="K81" s="74">
        <v>30</v>
      </c>
      <c r="L81" s="156"/>
      <c r="M81" s="90"/>
      <c r="N81" s="90"/>
      <c r="O81" s="90"/>
      <c r="P81" s="94" t="s">
        <v>2808</v>
      </c>
      <c r="Q81" s="94">
        <v>8500068886</v>
      </c>
      <c r="R81" s="94">
        <v>5000291367</v>
      </c>
      <c r="S81" s="45">
        <v>2592</v>
      </c>
      <c r="T81" s="90"/>
      <c r="U81" s="90"/>
      <c r="V81" s="90"/>
      <c r="W81" s="109"/>
      <c r="X81" s="106">
        <v>2592</v>
      </c>
      <c r="Y81" s="106"/>
      <c r="Z81" s="106"/>
      <c r="AA81" s="106">
        <f t="shared" si="4"/>
        <v>0</v>
      </c>
      <c r="AB81" s="106">
        <f t="shared" si="5"/>
        <v>0</v>
      </c>
      <c r="AC81" s="94"/>
      <c r="AD81" s="94"/>
      <c r="AE81" s="94"/>
      <c r="AF81" s="94"/>
      <c r="AG81" s="94"/>
      <c r="AH81" s="263"/>
    </row>
    <row r="82" spans="1:34" ht="19.5" customHeight="1">
      <c r="A82" s="90"/>
      <c r="B82" s="88"/>
      <c r="C82" s="2"/>
      <c r="D82" s="538"/>
      <c r="E82" s="192"/>
      <c r="F82" s="74" t="s">
        <v>3045</v>
      </c>
      <c r="G82" s="45">
        <v>576</v>
      </c>
      <c r="H82" s="119" t="s">
        <v>146</v>
      </c>
      <c r="I82" s="128">
        <v>45362</v>
      </c>
      <c r="J82" s="45">
        <v>576</v>
      </c>
      <c r="K82" s="74">
        <v>24</v>
      </c>
      <c r="L82" s="156"/>
      <c r="M82" s="90"/>
      <c r="N82" s="90"/>
      <c r="O82" s="90"/>
      <c r="P82" s="94" t="s">
        <v>2808</v>
      </c>
      <c r="Q82" s="94">
        <v>8500068886</v>
      </c>
      <c r="R82" s="94">
        <v>5000291367</v>
      </c>
      <c r="S82" s="45">
        <v>576</v>
      </c>
      <c r="T82" s="90"/>
      <c r="U82" s="90"/>
      <c r="V82" s="90"/>
      <c r="W82" s="109"/>
      <c r="X82" s="106">
        <v>576</v>
      </c>
      <c r="Y82" s="106"/>
      <c r="Z82" s="106"/>
      <c r="AA82" s="106">
        <f t="shared" si="4"/>
        <v>0</v>
      </c>
      <c r="AB82" s="106">
        <f t="shared" si="5"/>
        <v>0</v>
      </c>
      <c r="AC82" s="94"/>
      <c r="AD82" s="94"/>
      <c r="AE82" s="94"/>
      <c r="AF82" s="94"/>
      <c r="AG82" s="94"/>
      <c r="AH82" s="263"/>
    </row>
    <row r="83" spans="1:34" ht="19.5" customHeight="1">
      <c r="A83" s="90" t="s">
        <v>378</v>
      </c>
      <c r="B83" s="88">
        <v>6000029325</v>
      </c>
      <c r="C83" s="2" t="s">
        <v>381</v>
      </c>
      <c r="D83" s="538"/>
      <c r="E83" s="192">
        <v>10</v>
      </c>
      <c r="F83" s="74">
        <v>180</v>
      </c>
      <c r="G83" s="45">
        <f>E83*F83</f>
        <v>1800</v>
      </c>
      <c r="H83" s="119" t="s">
        <v>27</v>
      </c>
      <c r="I83" s="128">
        <v>45362</v>
      </c>
      <c r="J83" s="74">
        <v>180</v>
      </c>
      <c r="K83" s="74">
        <f>3+5</f>
        <v>8</v>
      </c>
      <c r="L83" s="156">
        <v>45376</v>
      </c>
      <c r="M83" s="90">
        <v>1800</v>
      </c>
      <c r="N83" s="90">
        <v>18</v>
      </c>
      <c r="O83" s="90" t="s">
        <v>1362</v>
      </c>
      <c r="P83" s="94" t="s">
        <v>160</v>
      </c>
      <c r="Q83" s="94">
        <v>8500068888</v>
      </c>
      <c r="R83" s="94">
        <v>5000294878</v>
      </c>
      <c r="S83" s="74">
        <v>180</v>
      </c>
      <c r="T83" s="90" t="s">
        <v>87</v>
      </c>
      <c r="U83" s="90">
        <v>8500068887</v>
      </c>
      <c r="V83" s="90">
        <v>5000356139</v>
      </c>
      <c r="W83" s="109">
        <v>45402</v>
      </c>
      <c r="X83" s="106">
        <v>180</v>
      </c>
      <c r="Y83" s="106">
        <v>1800</v>
      </c>
      <c r="Z83" s="106" t="s">
        <v>800</v>
      </c>
      <c r="AA83" s="106">
        <f t="shared" si="4"/>
        <v>0</v>
      </c>
      <c r="AB83" s="106">
        <f t="shared" si="5"/>
        <v>0</v>
      </c>
      <c r="AC83" s="94" t="s">
        <v>3444</v>
      </c>
      <c r="AD83" s="94"/>
      <c r="AE83" s="94"/>
      <c r="AF83" s="94"/>
      <c r="AG83" s="94"/>
      <c r="AH83" s="263"/>
    </row>
    <row r="84" spans="1:34" ht="19.5" customHeight="1">
      <c r="A84" s="90"/>
      <c r="B84" s="88"/>
      <c r="C84" s="2"/>
      <c r="D84" s="538"/>
      <c r="E84" s="192">
        <v>10</v>
      </c>
      <c r="F84" s="74">
        <v>100</v>
      </c>
      <c r="G84" s="45">
        <f>E84*F84</f>
        <v>1000</v>
      </c>
      <c r="H84" s="119" t="s">
        <v>27</v>
      </c>
      <c r="I84" s="128">
        <v>45365</v>
      </c>
      <c r="J84" s="74">
        <v>100</v>
      </c>
      <c r="K84" s="74">
        <v>5</v>
      </c>
      <c r="L84" s="156">
        <v>45376</v>
      </c>
      <c r="M84" s="90">
        <v>1000</v>
      </c>
      <c r="N84" s="90">
        <v>10</v>
      </c>
      <c r="O84" s="90" t="s">
        <v>1567</v>
      </c>
      <c r="P84" s="94" t="s">
        <v>160</v>
      </c>
      <c r="Q84" s="94">
        <v>8500069054</v>
      </c>
      <c r="R84" s="94">
        <v>5000308512</v>
      </c>
      <c r="S84" s="74">
        <v>100</v>
      </c>
      <c r="T84" s="90" t="s">
        <v>87</v>
      </c>
      <c r="U84" s="90">
        <v>8500069052</v>
      </c>
      <c r="V84" s="90">
        <v>5000356152</v>
      </c>
      <c r="W84" s="109">
        <v>45402</v>
      </c>
      <c r="X84" s="106">
        <v>100</v>
      </c>
      <c r="Y84" s="106">
        <v>1000</v>
      </c>
      <c r="Z84" s="106" t="s">
        <v>800</v>
      </c>
      <c r="AA84" s="106">
        <f t="shared" si="4"/>
        <v>0</v>
      </c>
      <c r="AB84" s="106">
        <f t="shared" si="5"/>
        <v>0</v>
      </c>
      <c r="AC84" s="94"/>
      <c r="AD84" s="94"/>
      <c r="AE84" s="94"/>
      <c r="AF84" s="94"/>
      <c r="AG84" s="94"/>
      <c r="AH84" s="263"/>
    </row>
    <row r="85" spans="1:34" ht="19.5" customHeight="1">
      <c r="A85" s="90"/>
      <c r="B85" s="88"/>
      <c r="C85" s="2"/>
      <c r="D85" s="538"/>
      <c r="E85" s="192">
        <v>10</v>
      </c>
      <c r="F85" s="74">
        <v>432</v>
      </c>
      <c r="G85" s="45">
        <f>E85*F85</f>
        <v>4320</v>
      </c>
      <c r="H85" s="119" t="s">
        <v>46</v>
      </c>
      <c r="I85" s="128">
        <v>45362</v>
      </c>
      <c r="J85" s="74">
        <v>432</v>
      </c>
      <c r="K85" s="74">
        <f>6+2</f>
        <v>8</v>
      </c>
      <c r="L85" s="156">
        <v>45376</v>
      </c>
      <c r="M85" s="90">
        <v>4320</v>
      </c>
      <c r="N85" s="90">
        <v>43</v>
      </c>
      <c r="O85" s="90" t="s">
        <v>1613</v>
      </c>
      <c r="P85" s="94" t="s">
        <v>160</v>
      </c>
      <c r="Q85" s="94">
        <v>8500068888</v>
      </c>
      <c r="R85" s="94">
        <v>5000294878</v>
      </c>
      <c r="S85" s="74">
        <v>432</v>
      </c>
      <c r="T85" s="90" t="s">
        <v>87</v>
      </c>
      <c r="U85" s="90">
        <v>8500068887</v>
      </c>
      <c r="V85" s="90">
        <v>5000356139</v>
      </c>
      <c r="W85" s="109">
        <v>45402</v>
      </c>
      <c r="X85" s="106">
        <v>432</v>
      </c>
      <c r="Y85" s="106">
        <v>4320</v>
      </c>
      <c r="Z85" s="106" t="s">
        <v>800</v>
      </c>
      <c r="AA85" s="106">
        <f t="shared" si="4"/>
        <v>0</v>
      </c>
      <c r="AB85" s="106">
        <f t="shared" si="5"/>
        <v>0</v>
      </c>
      <c r="AC85" s="94"/>
      <c r="AD85" s="94"/>
      <c r="AE85" s="94"/>
      <c r="AF85" s="94"/>
      <c r="AG85" s="94"/>
      <c r="AH85" s="263"/>
    </row>
    <row r="86" spans="1:34" ht="19.5" customHeight="1">
      <c r="A86" s="90"/>
      <c r="B86" s="88"/>
      <c r="C86" s="2"/>
      <c r="D86" s="538"/>
      <c r="E86" s="192">
        <v>10</v>
      </c>
      <c r="F86" s="74">
        <v>432</v>
      </c>
      <c r="G86" s="45">
        <f>E86*F86</f>
        <v>4320</v>
      </c>
      <c r="H86" s="119" t="s">
        <v>37</v>
      </c>
      <c r="I86" s="128" t="s">
        <v>3124</v>
      </c>
      <c r="J86" s="74">
        <f>354+78</f>
        <v>432</v>
      </c>
      <c r="K86" s="74">
        <f>8+8</f>
        <v>16</v>
      </c>
      <c r="L86" s="156">
        <v>45376</v>
      </c>
      <c r="M86" s="90">
        <v>4320</v>
      </c>
      <c r="N86" s="90">
        <v>43</v>
      </c>
      <c r="O86" s="100" t="s">
        <v>1412</v>
      </c>
      <c r="P86" s="94" t="s">
        <v>160</v>
      </c>
      <c r="Q86" s="94">
        <v>8500068888</v>
      </c>
      <c r="R86" s="94">
        <v>5000294878</v>
      </c>
      <c r="S86" s="74">
        <f>354+78</f>
        <v>432</v>
      </c>
      <c r="T86" s="90" t="s">
        <v>87</v>
      </c>
      <c r="U86" s="90">
        <v>8500068887</v>
      </c>
      <c r="V86" s="90">
        <v>5000356139</v>
      </c>
      <c r="W86" s="109">
        <v>45402</v>
      </c>
      <c r="X86" s="106">
        <v>432</v>
      </c>
      <c r="Y86" s="106">
        <v>4320</v>
      </c>
      <c r="Z86" s="106" t="s">
        <v>800</v>
      </c>
      <c r="AA86" s="106">
        <f t="shared" si="4"/>
        <v>0</v>
      </c>
      <c r="AB86" s="106">
        <f t="shared" si="5"/>
        <v>0</v>
      </c>
      <c r="AC86" s="94"/>
      <c r="AD86" s="94"/>
      <c r="AE86" s="94"/>
      <c r="AF86" s="94"/>
      <c r="AG86" s="94"/>
      <c r="AH86" s="263"/>
    </row>
    <row r="87" spans="1:34" ht="28.5" customHeight="1">
      <c r="A87" s="90"/>
      <c r="B87" s="88"/>
      <c r="C87" s="2"/>
      <c r="D87" s="539"/>
      <c r="E87" s="192">
        <v>10</v>
      </c>
      <c r="F87" s="74">
        <v>576</v>
      </c>
      <c r="G87" s="45">
        <f>E87*F87</f>
        <v>5760</v>
      </c>
      <c r="H87" s="119" t="s">
        <v>146</v>
      </c>
      <c r="I87" s="128">
        <v>45362</v>
      </c>
      <c r="J87" s="74">
        <v>576</v>
      </c>
      <c r="K87" s="74">
        <v>6</v>
      </c>
      <c r="L87" s="156">
        <v>45376</v>
      </c>
      <c r="M87" s="90">
        <v>5760</v>
      </c>
      <c r="N87" s="90">
        <v>58</v>
      </c>
      <c r="O87" s="90" t="s">
        <v>858</v>
      </c>
      <c r="P87" s="94" t="s">
        <v>160</v>
      </c>
      <c r="Q87" s="94">
        <v>8500068888</v>
      </c>
      <c r="R87" s="94">
        <v>5000294878</v>
      </c>
      <c r="S87" s="74">
        <v>576</v>
      </c>
      <c r="T87" s="90" t="s">
        <v>87</v>
      </c>
      <c r="U87" s="90">
        <v>8500068887</v>
      </c>
      <c r="V87" s="90">
        <v>5000356139</v>
      </c>
      <c r="W87" s="109">
        <v>45402</v>
      </c>
      <c r="X87" s="106">
        <v>576</v>
      </c>
      <c r="Y87" s="106">
        <v>5760</v>
      </c>
      <c r="Z87" s="106" t="s">
        <v>800</v>
      </c>
      <c r="AA87" s="106">
        <f t="shared" si="4"/>
        <v>0</v>
      </c>
      <c r="AB87" s="106">
        <f t="shared" si="5"/>
        <v>0</v>
      </c>
      <c r="AC87" s="94"/>
      <c r="AD87" s="94"/>
      <c r="AE87" s="94"/>
      <c r="AF87" s="94"/>
      <c r="AG87" s="94"/>
      <c r="AH87" s="263"/>
    </row>
    <row r="88" spans="1:34" ht="19.5" customHeight="1">
      <c r="A88" s="90"/>
      <c r="B88" s="88"/>
      <c r="C88" s="2"/>
      <c r="D88" s="192"/>
      <c r="E88" s="192"/>
      <c r="F88" s="74" t="s">
        <v>3045</v>
      </c>
      <c r="G88" s="45">
        <f>720+400</f>
        <v>1120</v>
      </c>
      <c r="H88" s="119" t="s">
        <v>27</v>
      </c>
      <c r="I88" s="128" t="s">
        <v>3180</v>
      </c>
      <c r="J88" s="45">
        <f>696+24+400</f>
        <v>1120</v>
      </c>
      <c r="K88" s="45">
        <v>44</v>
      </c>
      <c r="L88" s="156"/>
      <c r="M88" s="90"/>
      <c r="N88" s="90"/>
      <c r="O88" s="90"/>
      <c r="P88" s="94" t="s">
        <v>2808</v>
      </c>
      <c r="Q88" s="53" t="s">
        <v>3181</v>
      </c>
      <c r="R88" s="111" t="s">
        <v>3182</v>
      </c>
      <c r="S88" s="45">
        <f>696+24+400</f>
        <v>1120</v>
      </c>
      <c r="T88" s="90"/>
      <c r="U88" s="90"/>
      <c r="V88" s="90"/>
      <c r="W88" s="127"/>
      <c r="X88" s="106">
        <v>1120</v>
      </c>
      <c r="Y88" s="106"/>
      <c r="Z88" s="106"/>
      <c r="AA88" s="106">
        <f t="shared" si="4"/>
        <v>0</v>
      </c>
      <c r="AB88" s="106">
        <f t="shared" si="5"/>
        <v>0</v>
      </c>
      <c r="AC88" s="94"/>
      <c r="AD88" s="94"/>
      <c r="AE88" s="94"/>
      <c r="AF88" s="94"/>
      <c r="AG88" s="94"/>
      <c r="AH88" s="263"/>
    </row>
    <row r="89" spans="1:34" ht="19.5" customHeight="1">
      <c r="A89" s="90"/>
      <c r="B89" s="88"/>
      <c r="C89" s="2"/>
      <c r="D89" s="192"/>
      <c r="E89" s="192"/>
      <c r="F89" s="74" t="s">
        <v>3045</v>
      </c>
      <c r="G89" s="45">
        <v>1728</v>
      </c>
      <c r="H89" s="119" t="s">
        <v>46</v>
      </c>
      <c r="I89" s="128">
        <v>45362</v>
      </c>
      <c r="J89" s="45">
        <v>1728</v>
      </c>
      <c r="K89" s="45">
        <v>16</v>
      </c>
      <c r="L89" s="156"/>
      <c r="M89" s="90"/>
      <c r="N89" s="90"/>
      <c r="O89" s="90"/>
      <c r="P89" s="94" t="s">
        <v>2808</v>
      </c>
      <c r="Q89" s="94">
        <v>8500068889</v>
      </c>
      <c r="R89" s="94">
        <v>5000291365</v>
      </c>
      <c r="S89" s="45">
        <v>1728</v>
      </c>
      <c r="T89" s="90"/>
      <c r="U89" s="90"/>
      <c r="V89" s="90"/>
      <c r="W89" s="109"/>
      <c r="X89" s="106">
        <v>1728</v>
      </c>
      <c r="Y89" s="106"/>
      <c r="Z89" s="106"/>
      <c r="AA89" s="106">
        <f t="shared" si="4"/>
        <v>0</v>
      </c>
      <c r="AB89" s="106">
        <f t="shared" si="5"/>
        <v>0</v>
      </c>
      <c r="AC89" s="94"/>
      <c r="AD89" s="94"/>
      <c r="AE89" s="94"/>
      <c r="AF89" s="94"/>
      <c r="AG89" s="94"/>
      <c r="AH89" s="263"/>
    </row>
    <row r="90" spans="1:34" ht="25.5" customHeight="1">
      <c r="A90" s="90"/>
      <c r="B90" s="88"/>
      <c r="C90" s="2"/>
      <c r="D90" s="192"/>
      <c r="E90" s="192"/>
      <c r="F90" s="74" t="s">
        <v>3045</v>
      </c>
      <c r="G90" s="45">
        <v>1728</v>
      </c>
      <c r="H90" s="119" t="s">
        <v>37</v>
      </c>
      <c r="I90" s="128">
        <v>45362</v>
      </c>
      <c r="J90" s="45">
        <v>1728</v>
      </c>
      <c r="K90" s="45">
        <v>12</v>
      </c>
      <c r="L90" s="156"/>
      <c r="M90" s="90"/>
      <c r="N90" s="90"/>
      <c r="O90" s="90"/>
      <c r="P90" s="94" t="s">
        <v>2808</v>
      </c>
      <c r="Q90" s="94">
        <v>8500068889</v>
      </c>
      <c r="R90" s="94">
        <v>5000291365</v>
      </c>
      <c r="S90" s="45">
        <v>1728</v>
      </c>
      <c r="T90" s="90"/>
      <c r="U90" s="90"/>
      <c r="V90" s="90"/>
      <c r="W90" s="109"/>
      <c r="X90" s="106">
        <v>1728</v>
      </c>
      <c r="Y90" s="106"/>
      <c r="Z90" s="106"/>
      <c r="AA90" s="106">
        <f t="shared" si="4"/>
        <v>0</v>
      </c>
      <c r="AB90" s="106">
        <f t="shared" si="5"/>
        <v>0</v>
      </c>
      <c r="AC90" s="94"/>
      <c r="AD90" s="94"/>
      <c r="AE90" s="94"/>
      <c r="AF90" s="94"/>
      <c r="AG90" s="94"/>
      <c r="AH90" s="263"/>
    </row>
    <row r="91" spans="1:34" ht="26.25" customHeight="1">
      <c r="A91" s="90"/>
      <c r="B91" s="88"/>
      <c r="C91" s="2"/>
      <c r="D91" s="192"/>
      <c r="E91" s="192"/>
      <c r="F91" s="74" t="s">
        <v>3045</v>
      </c>
      <c r="G91" s="45">
        <v>2304</v>
      </c>
      <c r="H91" s="119" t="s">
        <v>146</v>
      </c>
      <c r="I91" s="128">
        <v>45362</v>
      </c>
      <c r="J91" s="45">
        <v>2304</v>
      </c>
      <c r="K91" s="45">
        <v>12</v>
      </c>
      <c r="L91" s="156"/>
      <c r="M91" s="90"/>
      <c r="N91" s="90"/>
      <c r="O91" s="90"/>
      <c r="P91" s="94" t="s">
        <v>2808</v>
      </c>
      <c r="Q91" s="94">
        <v>8500068889</v>
      </c>
      <c r="R91" s="94">
        <v>5000291365</v>
      </c>
      <c r="S91" s="45">
        <v>2304</v>
      </c>
      <c r="T91" s="90"/>
      <c r="U91" s="90"/>
      <c r="V91" s="90"/>
      <c r="W91" s="109"/>
      <c r="X91" s="106">
        <v>2304</v>
      </c>
      <c r="Y91" s="106"/>
      <c r="Z91" s="106"/>
      <c r="AA91" s="106">
        <f t="shared" si="4"/>
        <v>0</v>
      </c>
      <c r="AB91" s="106">
        <f t="shared" si="5"/>
        <v>0</v>
      </c>
      <c r="AC91" s="94"/>
      <c r="AD91" s="94"/>
      <c r="AE91" s="94"/>
      <c r="AF91" s="94"/>
      <c r="AG91" s="94"/>
      <c r="AH91" s="263"/>
    </row>
    <row r="92" spans="1:34" ht="26.25" customHeight="1">
      <c r="A92" s="90" t="s">
        <v>279</v>
      </c>
      <c r="B92" s="88">
        <v>6000029603</v>
      </c>
      <c r="C92" s="2" t="s">
        <v>414</v>
      </c>
      <c r="D92" s="192" t="s">
        <v>3046</v>
      </c>
      <c r="E92" s="192">
        <v>10</v>
      </c>
      <c r="F92" s="74">
        <v>100</v>
      </c>
      <c r="G92" s="45">
        <f t="shared" ref="G92:G123" si="6">E92*F92</f>
        <v>1000</v>
      </c>
      <c r="H92" s="119" t="s">
        <v>243</v>
      </c>
      <c r="I92" s="128">
        <v>45364</v>
      </c>
      <c r="J92" s="74">
        <v>100</v>
      </c>
      <c r="K92" s="74">
        <f>10+1</f>
        <v>11</v>
      </c>
      <c r="L92" s="156">
        <v>45367</v>
      </c>
      <c r="M92" s="90">
        <v>1000</v>
      </c>
      <c r="N92" s="90">
        <v>25</v>
      </c>
      <c r="O92" s="90" t="s">
        <v>791</v>
      </c>
      <c r="P92" s="94" t="s">
        <v>28</v>
      </c>
      <c r="Q92" s="94">
        <v>8500069490</v>
      </c>
      <c r="R92" s="94">
        <v>5000301032</v>
      </c>
      <c r="S92" s="74">
        <v>100</v>
      </c>
      <c r="T92" s="90" t="s">
        <v>87</v>
      </c>
      <c r="U92" s="90">
        <v>8500069485</v>
      </c>
      <c r="V92" s="90">
        <v>5000314808</v>
      </c>
      <c r="W92" s="109">
        <v>45378</v>
      </c>
      <c r="X92" s="106">
        <v>100</v>
      </c>
      <c r="Y92" s="106">
        <v>1000</v>
      </c>
      <c r="Z92" s="106" t="s">
        <v>800</v>
      </c>
      <c r="AA92" s="106">
        <f t="shared" si="4"/>
        <v>0</v>
      </c>
      <c r="AB92" s="106">
        <f t="shared" si="5"/>
        <v>0</v>
      </c>
      <c r="AC92" s="94"/>
      <c r="AD92" s="94"/>
      <c r="AE92" s="94"/>
      <c r="AF92" s="94"/>
      <c r="AG92" s="94"/>
      <c r="AH92" s="263"/>
    </row>
    <row r="93" spans="1:34" ht="26.25" customHeight="1">
      <c r="A93" s="90"/>
      <c r="B93" s="88"/>
      <c r="C93" s="2"/>
      <c r="D93" s="192"/>
      <c r="E93" s="192">
        <v>10</v>
      </c>
      <c r="F93" s="74">
        <v>820</v>
      </c>
      <c r="G93" s="45">
        <f t="shared" si="6"/>
        <v>8200</v>
      </c>
      <c r="H93" s="119" t="s">
        <v>27</v>
      </c>
      <c r="I93" s="128">
        <v>45364</v>
      </c>
      <c r="J93" s="74">
        <v>820</v>
      </c>
      <c r="K93" s="74">
        <f>10+9</f>
        <v>19</v>
      </c>
      <c r="L93" s="156">
        <v>45369</v>
      </c>
      <c r="M93" s="90">
        <v>8200</v>
      </c>
      <c r="N93" s="90">
        <v>97</v>
      </c>
      <c r="O93" s="90"/>
      <c r="P93" s="94" t="s">
        <v>28</v>
      </c>
      <c r="Q93" s="94">
        <v>8500069490</v>
      </c>
      <c r="R93" s="94">
        <v>5000301032</v>
      </c>
      <c r="S93" s="74">
        <v>820</v>
      </c>
      <c r="T93" s="90" t="s">
        <v>87</v>
      </c>
      <c r="U93" s="90">
        <v>8500069484</v>
      </c>
      <c r="V93" s="90">
        <v>5000327331</v>
      </c>
      <c r="W93" s="109">
        <v>45369</v>
      </c>
      <c r="X93" s="106">
        <v>820</v>
      </c>
      <c r="Y93" s="106">
        <v>8200</v>
      </c>
      <c r="Z93" s="106" t="s">
        <v>727</v>
      </c>
      <c r="AA93" s="106">
        <f t="shared" si="4"/>
        <v>0</v>
      </c>
      <c r="AB93" s="106">
        <f t="shared" si="5"/>
        <v>0</v>
      </c>
      <c r="AC93" s="94"/>
      <c r="AD93" s="94"/>
      <c r="AE93" s="94"/>
      <c r="AF93" s="94"/>
      <c r="AG93" s="94"/>
      <c r="AH93" s="263"/>
    </row>
    <row r="94" spans="1:34" ht="26.25" customHeight="1">
      <c r="A94" s="90"/>
      <c r="B94" s="88"/>
      <c r="C94" s="2"/>
      <c r="D94" s="192"/>
      <c r="E94" s="192">
        <v>10</v>
      </c>
      <c r="F94" s="74">
        <v>1000</v>
      </c>
      <c r="G94" s="45">
        <f t="shared" si="6"/>
        <v>10000</v>
      </c>
      <c r="H94" s="119" t="s">
        <v>46</v>
      </c>
      <c r="I94" s="128">
        <v>45364</v>
      </c>
      <c r="J94" s="74">
        <v>1000</v>
      </c>
      <c r="K94" s="74">
        <f>10+12</f>
        <v>22</v>
      </c>
      <c r="L94" s="156">
        <v>45371</v>
      </c>
      <c r="M94" s="90">
        <v>10000</v>
      </c>
      <c r="N94" s="90">
        <v>115</v>
      </c>
      <c r="O94" s="90"/>
      <c r="P94" s="94" t="s">
        <v>28</v>
      </c>
      <c r="Q94" s="94">
        <v>8500069490</v>
      </c>
      <c r="R94" s="94">
        <v>5000301032</v>
      </c>
      <c r="S94" s="74">
        <v>1000</v>
      </c>
      <c r="T94" s="90" t="s">
        <v>87</v>
      </c>
      <c r="U94" s="90">
        <v>8500069484</v>
      </c>
      <c r="V94" s="90">
        <v>5000336698</v>
      </c>
      <c r="W94" s="109">
        <v>45397</v>
      </c>
      <c r="X94" s="106">
        <v>1000</v>
      </c>
      <c r="Y94" s="106">
        <v>10000</v>
      </c>
      <c r="Z94" s="106" t="s">
        <v>267</v>
      </c>
      <c r="AA94" s="106">
        <f t="shared" si="4"/>
        <v>0</v>
      </c>
      <c r="AB94" s="106">
        <f t="shared" si="5"/>
        <v>0</v>
      </c>
      <c r="AC94" s="94"/>
      <c r="AD94" s="94"/>
      <c r="AE94" s="94"/>
      <c r="AF94" s="94"/>
      <c r="AG94" s="94"/>
      <c r="AH94" s="263"/>
    </row>
    <row r="95" spans="1:34" ht="26.25" customHeight="1">
      <c r="A95" s="90"/>
      <c r="B95" s="88"/>
      <c r="C95" s="2"/>
      <c r="D95" s="192"/>
      <c r="E95" s="192">
        <v>10</v>
      </c>
      <c r="F95" s="74">
        <v>500</v>
      </c>
      <c r="G95" s="45">
        <f t="shared" si="6"/>
        <v>5000</v>
      </c>
      <c r="H95" s="119" t="s">
        <v>37</v>
      </c>
      <c r="I95" s="128">
        <v>45364</v>
      </c>
      <c r="J95" s="74">
        <v>500</v>
      </c>
      <c r="K95" s="74">
        <f>10+7</f>
        <v>17</v>
      </c>
      <c r="L95" s="156">
        <v>45371</v>
      </c>
      <c r="M95" s="90">
        <v>5000</v>
      </c>
      <c r="N95" s="90">
        <v>65</v>
      </c>
      <c r="O95" s="90" t="s">
        <v>2037</v>
      </c>
      <c r="P95" s="94" t="s">
        <v>28</v>
      </c>
      <c r="Q95" s="94">
        <v>8500069490</v>
      </c>
      <c r="R95" s="94">
        <v>5000301032</v>
      </c>
      <c r="S95" s="74">
        <v>500</v>
      </c>
      <c r="T95" s="90" t="s">
        <v>87</v>
      </c>
      <c r="U95" s="90">
        <v>8500069484</v>
      </c>
      <c r="V95" s="90">
        <v>5000332997</v>
      </c>
      <c r="W95" s="109">
        <v>45377</v>
      </c>
      <c r="X95" s="106">
        <v>500</v>
      </c>
      <c r="Y95" s="106">
        <v>5000</v>
      </c>
      <c r="Z95" s="106" t="s">
        <v>35</v>
      </c>
      <c r="AA95" s="106">
        <f t="shared" si="4"/>
        <v>0</v>
      </c>
      <c r="AB95" s="106">
        <f t="shared" si="5"/>
        <v>0</v>
      </c>
      <c r="AC95" s="94" t="s">
        <v>3237</v>
      </c>
      <c r="AD95" s="94"/>
      <c r="AE95" s="94"/>
      <c r="AF95" s="94"/>
      <c r="AG95" s="94"/>
      <c r="AH95" s="263"/>
    </row>
    <row r="96" spans="1:34" ht="26.25" customHeight="1">
      <c r="A96" s="90"/>
      <c r="B96" s="88"/>
      <c r="C96" s="2"/>
      <c r="D96" s="192"/>
      <c r="E96" s="192">
        <v>10</v>
      </c>
      <c r="F96" s="74">
        <v>100</v>
      </c>
      <c r="G96" s="45">
        <f t="shared" si="6"/>
        <v>1000</v>
      </c>
      <c r="H96" s="119" t="s">
        <v>146</v>
      </c>
      <c r="I96" s="128">
        <v>45364</v>
      </c>
      <c r="J96" s="74">
        <v>100</v>
      </c>
      <c r="K96" s="74">
        <f>10+2</f>
        <v>12</v>
      </c>
      <c r="L96" s="156">
        <v>45367</v>
      </c>
      <c r="M96" s="90">
        <v>1000</v>
      </c>
      <c r="N96" s="90">
        <v>25</v>
      </c>
      <c r="O96" s="90" t="s">
        <v>1657</v>
      </c>
      <c r="P96" s="94" t="s">
        <v>28</v>
      </c>
      <c r="Q96" s="94">
        <v>8500069495</v>
      </c>
      <c r="R96" s="94">
        <v>5000301036</v>
      </c>
      <c r="S96" s="74">
        <v>100</v>
      </c>
      <c r="T96" s="90" t="s">
        <v>87</v>
      </c>
      <c r="U96" s="90">
        <v>8500069494</v>
      </c>
      <c r="V96" s="90">
        <v>5000322530</v>
      </c>
      <c r="W96" s="109">
        <v>45369</v>
      </c>
      <c r="X96" s="106">
        <v>100</v>
      </c>
      <c r="Y96" s="106">
        <v>1000</v>
      </c>
      <c r="Z96" s="106" t="s">
        <v>798</v>
      </c>
      <c r="AA96" s="106">
        <f t="shared" si="4"/>
        <v>0</v>
      </c>
      <c r="AB96" s="106">
        <f t="shared" si="5"/>
        <v>0</v>
      </c>
      <c r="AC96" s="94"/>
      <c r="AD96" s="94"/>
      <c r="AE96" s="94"/>
      <c r="AF96" s="94"/>
      <c r="AG96" s="94"/>
      <c r="AH96" s="263"/>
    </row>
    <row r="97" spans="1:34" ht="26.25" customHeight="1">
      <c r="A97" s="90" t="s">
        <v>279</v>
      </c>
      <c r="B97" s="88">
        <v>6000029604</v>
      </c>
      <c r="C97" s="2" t="s">
        <v>414</v>
      </c>
      <c r="D97" s="192" t="s">
        <v>3047</v>
      </c>
      <c r="E97" s="192">
        <v>10</v>
      </c>
      <c r="F97" s="74">
        <v>100</v>
      </c>
      <c r="G97" s="45">
        <f t="shared" si="6"/>
        <v>1000</v>
      </c>
      <c r="H97" s="119" t="s">
        <v>243</v>
      </c>
      <c r="I97" s="128">
        <v>45364</v>
      </c>
      <c r="J97" s="74">
        <v>100</v>
      </c>
      <c r="K97" s="74">
        <f>10+2</f>
        <v>12</v>
      </c>
      <c r="L97" s="156">
        <v>45367</v>
      </c>
      <c r="M97" s="90">
        <v>1000</v>
      </c>
      <c r="N97" s="90">
        <v>25</v>
      </c>
      <c r="O97" s="90" t="s">
        <v>1657</v>
      </c>
      <c r="P97" s="94" t="s">
        <v>28</v>
      </c>
      <c r="Q97" s="94">
        <v>8500069497</v>
      </c>
      <c r="R97" s="94">
        <v>5000301044</v>
      </c>
      <c r="S97" s="74">
        <v>100</v>
      </c>
      <c r="T97" s="90" t="s">
        <v>87</v>
      </c>
      <c r="U97" s="90">
        <v>8500069496</v>
      </c>
      <c r="V97" s="90">
        <v>5000322532</v>
      </c>
      <c r="W97" s="109">
        <v>45378</v>
      </c>
      <c r="X97" s="106">
        <v>100</v>
      </c>
      <c r="Y97" s="106">
        <v>1000</v>
      </c>
      <c r="Z97" s="106" t="s">
        <v>800</v>
      </c>
      <c r="AA97" s="106">
        <f t="shared" si="4"/>
        <v>0</v>
      </c>
      <c r="AB97" s="106">
        <f t="shared" si="5"/>
        <v>0</v>
      </c>
      <c r="AC97" s="94"/>
      <c r="AD97" s="94"/>
      <c r="AE97" s="94"/>
      <c r="AF97" s="94"/>
      <c r="AG97" s="94"/>
      <c r="AH97" s="263"/>
    </row>
    <row r="98" spans="1:34" ht="26.25" customHeight="1">
      <c r="A98" s="90"/>
      <c r="B98" s="88"/>
      <c r="C98" s="2"/>
      <c r="D98" s="192"/>
      <c r="E98" s="192">
        <v>10</v>
      </c>
      <c r="F98" s="74">
        <v>820</v>
      </c>
      <c r="G98" s="45">
        <f t="shared" si="6"/>
        <v>8200</v>
      </c>
      <c r="H98" s="119" t="s">
        <v>27</v>
      </c>
      <c r="I98" s="128">
        <v>45364</v>
      </c>
      <c r="J98" s="74">
        <v>820</v>
      </c>
      <c r="K98" s="74">
        <f>10+9</f>
        <v>19</v>
      </c>
      <c r="L98" s="156">
        <v>45370</v>
      </c>
      <c r="M98" s="90">
        <v>8200</v>
      </c>
      <c r="N98" s="90">
        <v>97</v>
      </c>
      <c r="O98" s="90"/>
      <c r="P98" s="94" t="s">
        <v>28</v>
      </c>
      <c r="Q98" s="94">
        <v>8500069497</v>
      </c>
      <c r="R98" s="94">
        <v>5000301044</v>
      </c>
      <c r="S98" s="74">
        <v>820</v>
      </c>
      <c r="T98" s="90" t="s">
        <v>87</v>
      </c>
      <c r="U98" s="90">
        <v>8500069496</v>
      </c>
      <c r="V98" s="90">
        <v>5000328662</v>
      </c>
      <c r="W98" s="109">
        <v>45370</v>
      </c>
      <c r="X98" s="106">
        <v>820</v>
      </c>
      <c r="Y98" s="106">
        <v>8200</v>
      </c>
      <c r="Z98" s="106" t="s">
        <v>727</v>
      </c>
      <c r="AA98" s="106">
        <f t="shared" si="4"/>
        <v>0</v>
      </c>
      <c r="AB98" s="106">
        <f t="shared" si="5"/>
        <v>0</v>
      </c>
      <c r="AC98" s="94"/>
      <c r="AD98" s="94"/>
      <c r="AE98" s="94"/>
      <c r="AF98" s="94"/>
      <c r="AG98" s="94"/>
      <c r="AH98" s="263"/>
    </row>
    <row r="99" spans="1:34" ht="26.25" customHeight="1">
      <c r="A99" s="90"/>
      <c r="B99" s="88"/>
      <c r="C99" s="2"/>
      <c r="D99" s="192"/>
      <c r="E99" s="192">
        <v>10</v>
      </c>
      <c r="F99" s="74">
        <v>1000</v>
      </c>
      <c r="G99" s="45">
        <f t="shared" si="6"/>
        <v>10000</v>
      </c>
      <c r="H99" s="119" t="s">
        <v>46</v>
      </c>
      <c r="I99" s="128">
        <v>45364</v>
      </c>
      <c r="J99" s="74">
        <v>1000</v>
      </c>
      <c r="K99" s="74">
        <f>10+12</f>
        <v>22</v>
      </c>
      <c r="L99" s="156">
        <v>45371</v>
      </c>
      <c r="M99" s="90">
        <v>10000</v>
      </c>
      <c r="N99" s="90">
        <v>115</v>
      </c>
      <c r="O99" s="90" t="s">
        <v>1784</v>
      </c>
      <c r="P99" s="94" t="s">
        <v>28</v>
      </c>
      <c r="Q99" s="94">
        <v>8500069497</v>
      </c>
      <c r="R99" s="94">
        <v>5000301044</v>
      </c>
      <c r="S99" s="74">
        <v>1000</v>
      </c>
      <c r="T99" s="90" t="s">
        <v>87</v>
      </c>
      <c r="U99" s="90">
        <v>8500069496</v>
      </c>
      <c r="V99" s="90">
        <v>5000333075</v>
      </c>
      <c r="W99" s="109">
        <v>45399</v>
      </c>
      <c r="X99" s="106">
        <v>1000</v>
      </c>
      <c r="Y99" s="106">
        <v>10000</v>
      </c>
      <c r="Z99" s="106" t="s">
        <v>267</v>
      </c>
      <c r="AA99" s="106">
        <f t="shared" si="4"/>
        <v>0</v>
      </c>
      <c r="AB99" s="106">
        <f t="shared" si="5"/>
        <v>0</v>
      </c>
      <c r="AC99" s="94"/>
      <c r="AD99" s="94"/>
      <c r="AE99" s="94"/>
      <c r="AF99" s="94"/>
      <c r="AG99" s="94"/>
      <c r="AH99" s="263"/>
    </row>
    <row r="100" spans="1:34" ht="26.25" customHeight="1">
      <c r="A100" s="90"/>
      <c r="B100" s="88"/>
      <c r="C100" s="2"/>
      <c r="D100" s="192"/>
      <c r="E100" s="192">
        <v>10</v>
      </c>
      <c r="F100" s="74">
        <v>500</v>
      </c>
      <c r="G100" s="45">
        <f t="shared" si="6"/>
        <v>5000</v>
      </c>
      <c r="H100" s="119" t="s">
        <v>37</v>
      </c>
      <c r="I100" s="128">
        <v>45364</v>
      </c>
      <c r="J100" s="74">
        <v>500</v>
      </c>
      <c r="K100" s="74">
        <f>10+6</f>
        <v>16</v>
      </c>
      <c r="L100" s="156">
        <v>45371</v>
      </c>
      <c r="M100" s="90">
        <v>5000</v>
      </c>
      <c r="N100" s="90">
        <v>65</v>
      </c>
      <c r="O100" s="90" t="s">
        <v>1580</v>
      </c>
      <c r="P100" s="94" t="s">
        <v>28</v>
      </c>
      <c r="Q100" s="94">
        <v>8500069497</v>
      </c>
      <c r="R100" s="94">
        <v>5000301044</v>
      </c>
      <c r="S100" s="74">
        <v>500</v>
      </c>
      <c r="T100" s="90" t="s">
        <v>87</v>
      </c>
      <c r="U100" s="90">
        <v>8500069496</v>
      </c>
      <c r="V100" s="90">
        <v>5000333075</v>
      </c>
      <c r="W100" s="109">
        <v>45377</v>
      </c>
      <c r="X100" s="106">
        <v>500</v>
      </c>
      <c r="Y100" s="106">
        <v>5000</v>
      </c>
      <c r="Z100" s="106" t="s">
        <v>35</v>
      </c>
      <c r="AA100" s="106">
        <f t="shared" si="4"/>
        <v>0</v>
      </c>
      <c r="AB100" s="106">
        <f t="shared" si="5"/>
        <v>0</v>
      </c>
      <c r="AC100" s="94" t="s">
        <v>3238</v>
      </c>
      <c r="AD100" s="94"/>
      <c r="AE100" s="94"/>
      <c r="AF100" s="94"/>
      <c r="AG100" s="94"/>
      <c r="AH100" s="263"/>
    </row>
    <row r="101" spans="1:34" ht="26.25" customHeight="1">
      <c r="A101" s="90"/>
      <c r="B101" s="88"/>
      <c r="C101" s="2"/>
      <c r="D101" s="192"/>
      <c r="E101" s="192">
        <v>10</v>
      </c>
      <c r="F101" s="74">
        <v>100</v>
      </c>
      <c r="G101" s="45">
        <f t="shared" si="6"/>
        <v>1000</v>
      </c>
      <c r="H101" s="119" t="s">
        <v>146</v>
      </c>
      <c r="I101" s="128">
        <v>45364</v>
      </c>
      <c r="J101" s="74">
        <v>100</v>
      </c>
      <c r="K101" s="74">
        <f>10+3</f>
        <v>13</v>
      </c>
      <c r="L101" s="156">
        <v>45367</v>
      </c>
      <c r="M101" s="90">
        <v>1000</v>
      </c>
      <c r="N101" s="90">
        <v>25</v>
      </c>
      <c r="O101" s="90" t="s">
        <v>1657</v>
      </c>
      <c r="P101" s="94" t="s">
        <v>28</v>
      </c>
      <c r="Q101" s="94">
        <v>8500069499</v>
      </c>
      <c r="R101" s="94">
        <v>5000301045</v>
      </c>
      <c r="S101" s="74">
        <v>100</v>
      </c>
      <c r="T101" s="90" t="s">
        <v>87</v>
      </c>
      <c r="U101" s="90">
        <v>8500069498</v>
      </c>
      <c r="V101" s="90">
        <v>5000322531</v>
      </c>
      <c r="W101" s="109">
        <v>45369</v>
      </c>
      <c r="X101" s="106">
        <v>100</v>
      </c>
      <c r="Y101" s="106">
        <v>1000</v>
      </c>
      <c r="Z101" s="106" t="s">
        <v>798</v>
      </c>
      <c r="AA101" s="106">
        <f t="shared" si="4"/>
        <v>0</v>
      </c>
      <c r="AB101" s="106">
        <f t="shared" si="5"/>
        <v>0</v>
      </c>
      <c r="AC101" s="94"/>
      <c r="AD101" s="94"/>
      <c r="AE101" s="94"/>
      <c r="AF101" s="94"/>
      <c r="AG101" s="94"/>
      <c r="AH101" s="263"/>
    </row>
    <row r="102" spans="1:34" ht="26.25" customHeight="1">
      <c r="A102" s="90" t="s">
        <v>279</v>
      </c>
      <c r="B102" s="88">
        <v>6000029605</v>
      </c>
      <c r="C102" s="2" t="s">
        <v>414</v>
      </c>
      <c r="D102" s="192" t="s">
        <v>3048</v>
      </c>
      <c r="E102" s="192">
        <v>10</v>
      </c>
      <c r="F102" s="74">
        <v>100</v>
      </c>
      <c r="G102" s="45">
        <f t="shared" si="6"/>
        <v>1000</v>
      </c>
      <c r="H102" s="119" t="s">
        <v>243</v>
      </c>
      <c r="I102" s="128">
        <v>45364</v>
      </c>
      <c r="J102" s="74">
        <v>100</v>
      </c>
      <c r="K102" s="74">
        <f>10+3</f>
        <v>13</v>
      </c>
      <c r="L102" s="156">
        <v>45367</v>
      </c>
      <c r="M102" s="90">
        <v>1000</v>
      </c>
      <c r="N102" s="90">
        <v>25</v>
      </c>
      <c r="O102" s="90" t="s">
        <v>1344</v>
      </c>
      <c r="P102" s="94" t="s">
        <v>28</v>
      </c>
      <c r="Q102" s="94">
        <v>8500069467</v>
      </c>
      <c r="R102" s="94">
        <v>5000301046</v>
      </c>
      <c r="S102" s="74">
        <v>100</v>
      </c>
      <c r="T102" s="90" t="s">
        <v>87</v>
      </c>
      <c r="U102" s="90">
        <v>8500069466</v>
      </c>
      <c r="V102" s="90">
        <v>5000322533</v>
      </c>
      <c r="W102" s="109">
        <v>45378</v>
      </c>
      <c r="X102" s="106">
        <v>100</v>
      </c>
      <c r="Y102" s="106">
        <v>1000</v>
      </c>
      <c r="Z102" s="106" t="s">
        <v>800</v>
      </c>
      <c r="AA102" s="106">
        <f t="shared" si="4"/>
        <v>0</v>
      </c>
      <c r="AB102" s="106">
        <f t="shared" si="5"/>
        <v>0</v>
      </c>
      <c r="AC102" s="94"/>
      <c r="AD102" s="94"/>
      <c r="AE102" s="94"/>
      <c r="AF102" s="94"/>
      <c r="AG102" s="94"/>
      <c r="AH102" s="263"/>
    </row>
    <row r="103" spans="1:34" ht="27" customHeight="1">
      <c r="A103" s="90"/>
      <c r="B103" s="88"/>
      <c r="C103" s="2"/>
      <c r="D103" s="192"/>
      <c r="E103" s="192">
        <v>10</v>
      </c>
      <c r="F103" s="74">
        <v>820</v>
      </c>
      <c r="G103" s="45">
        <f t="shared" si="6"/>
        <v>8200</v>
      </c>
      <c r="H103" s="119" t="s">
        <v>27</v>
      </c>
      <c r="I103" s="128">
        <v>45364</v>
      </c>
      <c r="J103" s="74">
        <v>820</v>
      </c>
      <c r="K103" s="74">
        <f>10+8</f>
        <v>18</v>
      </c>
      <c r="L103" s="156">
        <v>45370</v>
      </c>
      <c r="M103" s="90">
        <v>8200</v>
      </c>
      <c r="N103" s="90">
        <v>97</v>
      </c>
      <c r="O103" s="90"/>
      <c r="P103" s="94" t="s">
        <v>28</v>
      </c>
      <c r="Q103" s="94">
        <v>8500069467</v>
      </c>
      <c r="R103" s="94">
        <v>5000301046</v>
      </c>
      <c r="S103" s="74">
        <v>820</v>
      </c>
      <c r="T103" s="90" t="s">
        <v>87</v>
      </c>
      <c r="U103" s="90">
        <v>8500069466</v>
      </c>
      <c r="V103" s="90">
        <v>5000331783</v>
      </c>
      <c r="W103" s="109">
        <v>45372</v>
      </c>
      <c r="X103" s="106">
        <v>820</v>
      </c>
      <c r="Y103" s="106">
        <v>8200</v>
      </c>
      <c r="Z103" s="106" t="s">
        <v>727</v>
      </c>
      <c r="AA103" s="106">
        <f t="shared" si="4"/>
        <v>0</v>
      </c>
      <c r="AB103" s="106">
        <f t="shared" si="5"/>
        <v>0</v>
      </c>
      <c r="AC103" s="94"/>
      <c r="AD103" s="94"/>
      <c r="AE103" s="94"/>
      <c r="AF103" s="94"/>
      <c r="AG103" s="94"/>
      <c r="AH103" s="263"/>
    </row>
    <row r="104" spans="1:34" ht="26.25" customHeight="1">
      <c r="A104" s="90"/>
      <c r="B104" s="88"/>
      <c r="C104" s="2"/>
      <c r="D104" s="192"/>
      <c r="E104" s="192">
        <v>10</v>
      </c>
      <c r="F104" s="74">
        <v>1000</v>
      </c>
      <c r="G104" s="45">
        <f t="shared" si="6"/>
        <v>10000</v>
      </c>
      <c r="H104" s="119" t="s">
        <v>46</v>
      </c>
      <c r="I104" s="128">
        <v>45364</v>
      </c>
      <c r="J104" s="74">
        <v>1000</v>
      </c>
      <c r="K104" s="74">
        <f>10+10</f>
        <v>20</v>
      </c>
      <c r="L104" s="156">
        <v>45371</v>
      </c>
      <c r="M104" s="90">
        <v>10000</v>
      </c>
      <c r="N104" s="90">
        <v>115</v>
      </c>
      <c r="O104" s="90" t="s">
        <v>1743</v>
      </c>
      <c r="P104" s="94" t="s">
        <v>28</v>
      </c>
      <c r="Q104" s="94">
        <v>8500069467</v>
      </c>
      <c r="R104" s="94">
        <v>5000301046</v>
      </c>
      <c r="S104" s="74">
        <v>1000</v>
      </c>
      <c r="T104" s="90" t="s">
        <v>87</v>
      </c>
      <c r="U104" s="90">
        <v>8500069466</v>
      </c>
      <c r="V104" s="90">
        <v>5000333074</v>
      </c>
      <c r="W104" s="109">
        <v>45401</v>
      </c>
      <c r="X104" s="106">
        <v>1000</v>
      </c>
      <c r="Y104" s="106">
        <v>10000</v>
      </c>
      <c r="Z104" s="106" t="s">
        <v>267</v>
      </c>
      <c r="AA104" s="106">
        <f t="shared" si="4"/>
        <v>0</v>
      </c>
      <c r="AB104" s="106">
        <f t="shared" si="5"/>
        <v>0</v>
      </c>
      <c r="AC104" s="94" t="s">
        <v>3413</v>
      </c>
      <c r="AD104" s="94"/>
      <c r="AE104" s="94"/>
      <c r="AF104" s="94"/>
      <c r="AG104" s="94"/>
      <c r="AH104" s="263"/>
    </row>
    <row r="105" spans="1:34" ht="26.25" customHeight="1">
      <c r="A105" s="90"/>
      <c r="B105" s="88" t="s">
        <v>343</v>
      </c>
      <c r="C105" s="2"/>
      <c r="D105" s="192"/>
      <c r="E105" s="192">
        <v>10</v>
      </c>
      <c r="F105" s="74">
        <v>500</v>
      </c>
      <c r="G105" s="45">
        <f t="shared" si="6"/>
        <v>5000</v>
      </c>
      <c r="H105" s="119" t="s">
        <v>37</v>
      </c>
      <c r="I105" s="128">
        <v>45364</v>
      </c>
      <c r="J105" s="74">
        <v>500</v>
      </c>
      <c r="K105" s="74">
        <f>10+5</f>
        <v>15</v>
      </c>
      <c r="L105" s="156">
        <v>45371</v>
      </c>
      <c r="M105" s="90">
        <v>5000</v>
      </c>
      <c r="N105" s="90">
        <v>65</v>
      </c>
      <c r="O105" s="90" t="s">
        <v>1567</v>
      </c>
      <c r="P105" s="94" t="s">
        <v>28</v>
      </c>
      <c r="Q105" s="94">
        <v>8500069467</v>
      </c>
      <c r="R105" s="94">
        <v>5000301046</v>
      </c>
      <c r="S105" s="74">
        <v>500</v>
      </c>
      <c r="T105" s="90" t="s">
        <v>87</v>
      </c>
      <c r="U105" s="90">
        <v>8500069466</v>
      </c>
      <c r="V105" s="90">
        <v>5000333074</v>
      </c>
      <c r="W105" s="109">
        <v>45379</v>
      </c>
      <c r="X105" s="106">
        <v>500</v>
      </c>
      <c r="Y105" s="106">
        <v>5000</v>
      </c>
      <c r="Z105" s="106" t="s">
        <v>35</v>
      </c>
      <c r="AA105" s="106">
        <f t="shared" si="4"/>
        <v>0</v>
      </c>
      <c r="AB105" s="106">
        <f t="shared" si="5"/>
        <v>0</v>
      </c>
      <c r="AC105" s="94"/>
      <c r="AD105" s="94"/>
      <c r="AE105" s="94"/>
      <c r="AF105" s="94"/>
      <c r="AG105" s="94"/>
      <c r="AH105" s="263"/>
    </row>
    <row r="106" spans="1:34" ht="25.5" customHeight="1">
      <c r="A106" s="90"/>
      <c r="B106" s="88"/>
      <c r="C106" s="2"/>
      <c r="D106" s="192"/>
      <c r="E106" s="192">
        <v>10</v>
      </c>
      <c r="F106" s="74">
        <v>100</v>
      </c>
      <c r="G106" s="45">
        <f t="shared" si="6"/>
        <v>1000</v>
      </c>
      <c r="H106" s="119" t="s">
        <v>146</v>
      </c>
      <c r="I106" s="128">
        <v>45364</v>
      </c>
      <c r="J106" s="74">
        <v>100</v>
      </c>
      <c r="K106" s="74">
        <f>10+2</f>
        <v>12</v>
      </c>
      <c r="L106" s="156">
        <v>45367</v>
      </c>
      <c r="M106" s="90">
        <v>1000</v>
      </c>
      <c r="N106" s="90">
        <v>25</v>
      </c>
      <c r="O106" s="90" t="s">
        <v>1344</v>
      </c>
      <c r="P106" s="94" t="s">
        <v>28</v>
      </c>
      <c r="Q106" s="94">
        <v>8500069469</v>
      </c>
      <c r="R106" s="94">
        <v>5000301047</v>
      </c>
      <c r="S106" s="74">
        <v>100</v>
      </c>
      <c r="T106" s="90" t="s">
        <v>87</v>
      </c>
      <c r="U106" s="90">
        <v>8500069468</v>
      </c>
      <c r="V106" s="90">
        <v>5000322534</v>
      </c>
      <c r="W106" s="109">
        <v>45369</v>
      </c>
      <c r="X106" s="106">
        <v>100</v>
      </c>
      <c r="Y106" s="106">
        <v>1000</v>
      </c>
      <c r="Z106" s="106" t="s">
        <v>798</v>
      </c>
      <c r="AA106" s="106">
        <f t="shared" si="4"/>
        <v>0</v>
      </c>
      <c r="AB106" s="106">
        <f t="shared" si="5"/>
        <v>0</v>
      </c>
      <c r="AC106" s="94"/>
      <c r="AD106" s="94"/>
      <c r="AE106" s="94"/>
      <c r="AF106" s="94"/>
      <c r="AG106" s="94"/>
      <c r="AH106" s="263"/>
    </row>
    <row r="107" spans="1:34" ht="26.25" customHeight="1">
      <c r="A107" s="90" t="s">
        <v>279</v>
      </c>
      <c r="B107" s="88">
        <v>6000029606</v>
      </c>
      <c r="C107" s="2" t="s">
        <v>907</v>
      </c>
      <c r="D107" s="192" t="s">
        <v>3049</v>
      </c>
      <c r="E107" s="192">
        <v>10</v>
      </c>
      <c r="F107" s="74">
        <v>238</v>
      </c>
      <c r="G107" s="45">
        <f t="shared" si="6"/>
        <v>2380</v>
      </c>
      <c r="H107" s="119" t="s">
        <v>27</v>
      </c>
      <c r="I107" s="128">
        <v>45364</v>
      </c>
      <c r="J107" s="74">
        <v>238</v>
      </c>
      <c r="K107" s="74">
        <f>10+5</f>
        <v>15</v>
      </c>
      <c r="L107" s="156">
        <v>45370</v>
      </c>
      <c r="M107" s="90">
        <v>2380</v>
      </c>
      <c r="N107" s="90">
        <v>39</v>
      </c>
      <c r="O107" s="90" t="s">
        <v>1575</v>
      </c>
      <c r="P107" s="94" t="s">
        <v>28</v>
      </c>
      <c r="Q107" s="94">
        <v>8500069473</v>
      </c>
      <c r="R107" s="94">
        <v>5000304096</v>
      </c>
      <c r="S107" s="74">
        <v>238</v>
      </c>
      <c r="T107" s="90" t="s">
        <v>87</v>
      </c>
      <c r="U107" s="90">
        <v>8500069471</v>
      </c>
      <c r="V107" s="90">
        <v>5000331860</v>
      </c>
      <c r="W107" s="109">
        <v>45381</v>
      </c>
      <c r="X107" s="106">
        <v>238</v>
      </c>
      <c r="Y107" s="106">
        <v>2380</v>
      </c>
      <c r="Z107" s="106" t="s">
        <v>1841</v>
      </c>
      <c r="AA107" s="106">
        <f t="shared" si="4"/>
        <v>0</v>
      </c>
      <c r="AB107" s="106">
        <f t="shared" si="5"/>
        <v>0</v>
      </c>
      <c r="AC107" s="94"/>
      <c r="AD107" s="94"/>
      <c r="AE107" s="94"/>
      <c r="AF107" s="94"/>
      <c r="AG107" s="94"/>
      <c r="AH107" s="263"/>
    </row>
    <row r="108" spans="1:34" ht="30" customHeight="1">
      <c r="A108" s="90"/>
      <c r="B108" s="88"/>
      <c r="C108" s="2"/>
      <c r="D108" s="192"/>
      <c r="E108" s="192">
        <v>10</v>
      </c>
      <c r="F108" s="74">
        <v>2304</v>
      </c>
      <c r="G108" s="45">
        <f t="shared" si="6"/>
        <v>23040</v>
      </c>
      <c r="H108" s="119" t="s">
        <v>46</v>
      </c>
      <c r="I108" s="128">
        <v>45364</v>
      </c>
      <c r="J108" s="74">
        <v>2304</v>
      </c>
      <c r="K108" s="74">
        <f>10+22</f>
        <v>32</v>
      </c>
      <c r="L108" s="156">
        <v>45372</v>
      </c>
      <c r="M108" s="90">
        <v>23040</v>
      </c>
      <c r="N108" s="90">
        <v>245</v>
      </c>
      <c r="O108" s="90"/>
      <c r="P108" s="94" t="s">
        <v>28</v>
      </c>
      <c r="Q108" s="94">
        <v>8500069473</v>
      </c>
      <c r="R108" s="94">
        <v>5000304096</v>
      </c>
      <c r="S108" s="74">
        <v>2304</v>
      </c>
      <c r="T108" s="90" t="s">
        <v>87</v>
      </c>
      <c r="U108" s="90">
        <v>8500069471</v>
      </c>
      <c r="V108" s="90">
        <v>5000337706</v>
      </c>
      <c r="W108" s="109" t="s">
        <v>3228</v>
      </c>
      <c r="X108" s="106">
        <f>252+2052</f>
        <v>2304</v>
      </c>
      <c r="Y108" s="106">
        <f>2520+20520</f>
        <v>23040</v>
      </c>
      <c r="Z108" s="106" t="s">
        <v>1908</v>
      </c>
      <c r="AA108" s="106">
        <f t="shared" si="4"/>
        <v>0</v>
      </c>
      <c r="AB108" s="106">
        <f t="shared" si="5"/>
        <v>0</v>
      </c>
      <c r="AC108" s="94" t="s">
        <v>3346</v>
      </c>
      <c r="AD108" s="94"/>
      <c r="AE108" s="94"/>
      <c r="AF108" s="94"/>
      <c r="AG108" s="94"/>
      <c r="AH108" s="263"/>
    </row>
    <row r="109" spans="1:34" ht="26.25" customHeight="1">
      <c r="A109" s="90"/>
      <c r="B109" s="88"/>
      <c r="C109" s="2"/>
      <c r="D109" s="192"/>
      <c r="E109" s="192">
        <v>10</v>
      </c>
      <c r="F109" s="74">
        <v>798</v>
      </c>
      <c r="G109" s="45">
        <f t="shared" si="6"/>
        <v>7980</v>
      </c>
      <c r="H109" s="119" t="s">
        <v>37</v>
      </c>
      <c r="I109" s="128">
        <v>45364</v>
      </c>
      <c r="J109" s="74">
        <v>798</v>
      </c>
      <c r="K109" s="74">
        <f>10+10</f>
        <v>20</v>
      </c>
      <c r="L109" s="156">
        <v>45370</v>
      </c>
      <c r="M109" s="90">
        <v>7980</v>
      </c>
      <c r="N109" s="90">
        <v>95</v>
      </c>
      <c r="O109" s="90"/>
      <c r="P109" s="94" t="s">
        <v>28</v>
      </c>
      <c r="Q109" s="94">
        <v>8500069473</v>
      </c>
      <c r="R109" s="94">
        <v>5000304096</v>
      </c>
      <c r="S109" s="74">
        <v>798</v>
      </c>
      <c r="T109" s="90" t="s">
        <v>87</v>
      </c>
      <c r="U109" s="90">
        <v>8500069471</v>
      </c>
      <c r="V109" s="90">
        <v>5000331860</v>
      </c>
      <c r="W109" s="109">
        <v>45381</v>
      </c>
      <c r="X109" s="106">
        <v>798</v>
      </c>
      <c r="Y109" s="106">
        <v>7980</v>
      </c>
      <c r="Z109" s="106" t="s">
        <v>2991</v>
      </c>
      <c r="AA109" s="106">
        <f t="shared" si="4"/>
        <v>0</v>
      </c>
      <c r="AB109" s="106">
        <f t="shared" si="5"/>
        <v>0</v>
      </c>
      <c r="AC109" s="94"/>
      <c r="AD109" s="94"/>
      <c r="AE109" s="94"/>
      <c r="AF109" s="94"/>
      <c r="AG109" s="94"/>
      <c r="AH109" s="263"/>
    </row>
    <row r="110" spans="1:34" ht="26.25" customHeight="1">
      <c r="A110" s="90" t="s">
        <v>279</v>
      </c>
      <c r="B110" s="88">
        <v>6000029607</v>
      </c>
      <c r="C110" s="2" t="s">
        <v>907</v>
      </c>
      <c r="D110" s="192" t="s">
        <v>3050</v>
      </c>
      <c r="E110" s="192">
        <v>10</v>
      </c>
      <c r="F110" s="74">
        <v>238</v>
      </c>
      <c r="G110" s="45">
        <f t="shared" si="6"/>
        <v>2380</v>
      </c>
      <c r="H110" s="119" t="s">
        <v>27</v>
      </c>
      <c r="I110" s="128">
        <v>45364</v>
      </c>
      <c r="J110" s="74">
        <v>238</v>
      </c>
      <c r="K110" s="74">
        <f>10+2</f>
        <v>12</v>
      </c>
      <c r="L110" s="156">
        <v>45370</v>
      </c>
      <c r="M110" s="90">
        <v>2380</v>
      </c>
      <c r="N110" s="90">
        <v>39</v>
      </c>
      <c r="O110" s="90" t="s">
        <v>857</v>
      </c>
      <c r="P110" s="94" t="s">
        <v>28</v>
      </c>
      <c r="Q110" s="94">
        <v>8500069478</v>
      </c>
      <c r="R110" s="94">
        <v>5000304122</v>
      </c>
      <c r="S110" s="74">
        <v>238</v>
      </c>
      <c r="T110" s="90" t="s">
        <v>87</v>
      </c>
      <c r="U110" s="90">
        <v>8500069475</v>
      </c>
      <c r="V110" s="90">
        <v>5000331865</v>
      </c>
      <c r="W110" s="109">
        <v>45383</v>
      </c>
      <c r="X110" s="106">
        <v>238</v>
      </c>
      <c r="Y110" s="106">
        <v>2380</v>
      </c>
      <c r="Z110" s="106" t="s">
        <v>1840</v>
      </c>
      <c r="AA110" s="106">
        <f t="shared" si="4"/>
        <v>0</v>
      </c>
      <c r="AB110" s="106">
        <f t="shared" si="5"/>
        <v>0</v>
      </c>
      <c r="AC110" s="94"/>
      <c r="AD110" s="94"/>
      <c r="AE110" s="94"/>
      <c r="AF110" s="94"/>
      <c r="AG110" s="94"/>
      <c r="AH110" s="263"/>
    </row>
    <row r="111" spans="1:34" ht="26.25" customHeight="1">
      <c r="A111" s="90"/>
      <c r="B111" s="88"/>
      <c r="C111" s="2"/>
      <c r="D111" s="192"/>
      <c r="E111" s="192">
        <v>10</v>
      </c>
      <c r="F111" s="74">
        <v>2304</v>
      </c>
      <c r="G111" s="45">
        <f t="shared" si="6"/>
        <v>23040</v>
      </c>
      <c r="H111" s="119" t="s">
        <v>46</v>
      </c>
      <c r="I111" s="128">
        <v>45365</v>
      </c>
      <c r="J111" s="74">
        <v>2304</v>
      </c>
      <c r="K111" s="74">
        <f>10+26</f>
        <v>36</v>
      </c>
      <c r="L111" s="156">
        <v>45372</v>
      </c>
      <c r="M111" s="90">
        <v>23040</v>
      </c>
      <c r="N111" s="90">
        <v>245</v>
      </c>
      <c r="O111" s="90"/>
      <c r="P111" s="94" t="s">
        <v>28</v>
      </c>
      <c r="Q111" s="94">
        <v>8500069478</v>
      </c>
      <c r="R111" s="94">
        <v>5000305518</v>
      </c>
      <c r="S111" s="74">
        <v>2304</v>
      </c>
      <c r="T111" s="90" t="s">
        <v>87</v>
      </c>
      <c r="U111" s="90">
        <v>8500069475</v>
      </c>
      <c r="V111" s="90">
        <v>5000337414</v>
      </c>
      <c r="W111" s="109">
        <v>45384</v>
      </c>
      <c r="X111" s="106">
        <v>2304</v>
      </c>
      <c r="Y111" s="106">
        <v>23040</v>
      </c>
      <c r="Z111" s="106" t="s">
        <v>267</v>
      </c>
      <c r="AA111" s="106">
        <f t="shared" si="4"/>
        <v>0</v>
      </c>
      <c r="AB111" s="106">
        <f t="shared" si="5"/>
        <v>0</v>
      </c>
      <c r="AC111" s="94"/>
      <c r="AD111" s="94"/>
      <c r="AE111" s="94"/>
      <c r="AF111" s="94"/>
      <c r="AG111" s="94"/>
      <c r="AH111" s="263"/>
    </row>
    <row r="112" spans="1:34" ht="26.25" customHeight="1">
      <c r="A112" s="90"/>
      <c r="B112" s="88"/>
      <c r="C112" s="2"/>
      <c r="D112" s="192"/>
      <c r="E112" s="192">
        <v>10</v>
      </c>
      <c r="F112" s="74">
        <v>798</v>
      </c>
      <c r="G112" s="45">
        <f t="shared" si="6"/>
        <v>7980</v>
      </c>
      <c r="H112" s="119" t="s">
        <v>37</v>
      </c>
      <c r="I112" s="128">
        <v>45364</v>
      </c>
      <c r="J112" s="74">
        <v>798</v>
      </c>
      <c r="K112" s="74">
        <f>10+1+10</f>
        <v>21</v>
      </c>
      <c r="L112" s="156">
        <v>45370</v>
      </c>
      <c r="M112" s="90">
        <v>7980</v>
      </c>
      <c r="N112" s="90">
        <v>95</v>
      </c>
      <c r="O112" s="90"/>
      <c r="P112" s="94" t="s">
        <v>28</v>
      </c>
      <c r="Q112" s="94">
        <v>8500069478</v>
      </c>
      <c r="R112" s="94">
        <v>5000304122</v>
      </c>
      <c r="S112" s="74">
        <v>798</v>
      </c>
      <c r="T112" s="90" t="s">
        <v>87</v>
      </c>
      <c r="U112" s="90">
        <v>8500069475</v>
      </c>
      <c r="V112" s="90">
        <v>5000331865</v>
      </c>
      <c r="W112" s="109">
        <v>45384</v>
      </c>
      <c r="X112" s="106">
        <v>798</v>
      </c>
      <c r="Y112" s="106">
        <v>7980</v>
      </c>
      <c r="Z112" s="106" t="s">
        <v>1841</v>
      </c>
      <c r="AA112" s="106">
        <f t="shared" si="4"/>
        <v>0</v>
      </c>
      <c r="AB112" s="106">
        <f t="shared" si="5"/>
        <v>0</v>
      </c>
      <c r="AC112" s="94"/>
      <c r="AD112" s="94"/>
      <c r="AE112" s="94"/>
      <c r="AF112" s="94"/>
      <c r="AG112" s="94"/>
      <c r="AH112" s="263"/>
    </row>
    <row r="113" spans="1:34" ht="26.25" customHeight="1">
      <c r="A113" s="90" t="s">
        <v>279</v>
      </c>
      <c r="B113" s="88">
        <v>6000029608</v>
      </c>
      <c r="C113" s="2" t="s">
        <v>907</v>
      </c>
      <c r="D113" s="192" t="s">
        <v>3051</v>
      </c>
      <c r="E113" s="192">
        <v>10</v>
      </c>
      <c r="F113" s="74">
        <v>238</v>
      </c>
      <c r="G113" s="45">
        <f t="shared" si="6"/>
        <v>2380</v>
      </c>
      <c r="H113" s="119" t="s">
        <v>27</v>
      </c>
      <c r="I113" s="128">
        <v>45364</v>
      </c>
      <c r="J113" s="74">
        <v>238</v>
      </c>
      <c r="K113" s="74">
        <f>10+4</f>
        <v>14</v>
      </c>
      <c r="L113" s="156">
        <v>45370</v>
      </c>
      <c r="M113" s="90">
        <v>2380</v>
      </c>
      <c r="N113" s="90">
        <v>39</v>
      </c>
      <c r="O113" s="90" t="s">
        <v>1412</v>
      </c>
      <c r="P113" s="94" t="s">
        <v>28</v>
      </c>
      <c r="Q113" s="94">
        <v>8500069487</v>
      </c>
      <c r="R113" s="94">
        <v>5000304123</v>
      </c>
      <c r="S113" s="74">
        <v>238</v>
      </c>
      <c r="T113" s="90" t="s">
        <v>87</v>
      </c>
      <c r="U113" s="90">
        <v>8500069485</v>
      </c>
      <c r="V113" s="90">
        <v>5000331868</v>
      </c>
      <c r="W113" s="109">
        <v>45384</v>
      </c>
      <c r="X113" s="106">
        <v>238</v>
      </c>
      <c r="Y113" s="106">
        <v>2380</v>
      </c>
      <c r="Z113" s="106" t="s">
        <v>1840</v>
      </c>
      <c r="AA113" s="106">
        <f t="shared" si="4"/>
        <v>0</v>
      </c>
      <c r="AB113" s="106">
        <f t="shared" si="5"/>
        <v>0</v>
      </c>
      <c r="AC113" s="94"/>
      <c r="AD113" s="94"/>
      <c r="AE113" s="94"/>
      <c r="AF113" s="94"/>
      <c r="AG113" s="94"/>
      <c r="AH113" s="263"/>
    </row>
    <row r="114" spans="1:34" ht="26.25" customHeight="1">
      <c r="A114" s="90"/>
      <c r="B114" s="88"/>
      <c r="C114" s="2"/>
      <c r="D114" s="192"/>
      <c r="E114" s="192">
        <v>10</v>
      </c>
      <c r="F114" s="74">
        <v>2304</v>
      </c>
      <c r="G114" s="45">
        <f t="shared" si="6"/>
        <v>23040</v>
      </c>
      <c r="H114" s="119" t="s">
        <v>46</v>
      </c>
      <c r="I114" s="128">
        <v>45364</v>
      </c>
      <c r="J114" s="74">
        <v>2304</v>
      </c>
      <c r="K114" s="74">
        <f>10+9</f>
        <v>19</v>
      </c>
      <c r="L114" s="156">
        <v>45373</v>
      </c>
      <c r="M114" s="90">
        <v>23040</v>
      </c>
      <c r="N114" s="90">
        <v>245</v>
      </c>
      <c r="O114" s="90"/>
      <c r="P114" s="94" t="s">
        <v>28</v>
      </c>
      <c r="Q114" s="94">
        <v>8500069487</v>
      </c>
      <c r="R114" s="94">
        <v>5000304123</v>
      </c>
      <c r="S114" s="74">
        <v>2304</v>
      </c>
      <c r="T114" s="90" t="s">
        <v>87</v>
      </c>
      <c r="U114" s="90">
        <v>8500069485</v>
      </c>
      <c r="V114" s="90">
        <v>5000342990</v>
      </c>
      <c r="W114" s="109">
        <v>45386</v>
      </c>
      <c r="X114" s="106">
        <v>2304</v>
      </c>
      <c r="Y114" s="106">
        <v>23040</v>
      </c>
      <c r="Z114" s="106" t="s">
        <v>267</v>
      </c>
      <c r="AA114" s="106">
        <f t="shared" si="4"/>
        <v>0</v>
      </c>
      <c r="AB114" s="106">
        <f t="shared" si="5"/>
        <v>0</v>
      </c>
      <c r="AC114" s="94"/>
      <c r="AD114" s="94"/>
      <c r="AE114" s="94"/>
      <c r="AF114" s="94"/>
      <c r="AG114" s="94"/>
      <c r="AH114" s="263"/>
    </row>
    <row r="115" spans="1:34" ht="26.25" customHeight="1">
      <c r="A115" s="90"/>
      <c r="B115" s="88"/>
      <c r="C115" s="2"/>
      <c r="D115" s="192"/>
      <c r="E115" s="192">
        <v>10</v>
      </c>
      <c r="F115" s="74">
        <v>798</v>
      </c>
      <c r="G115" s="45">
        <f t="shared" si="6"/>
        <v>7980</v>
      </c>
      <c r="H115" s="119" t="s">
        <v>37</v>
      </c>
      <c r="I115" s="128">
        <v>45364</v>
      </c>
      <c r="J115" s="74">
        <v>798</v>
      </c>
      <c r="K115" s="74">
        <f>10+3+9</f>
        <v>22</v>
      </c>
      <c r="L115" s="156">
        <v>45372</v>
      </c>
      <c r="M115" s="90">
        <v>7980</v>
      </c>
      <c r="N115" s="90">
        <v>95</v>
      </c>
      <c r="O115" s="90"/>
      <c r="P115" s="94" t="s">
        <v>28</v>
      </c>
      <c r="Q115" s="94">
        <v>8500069487</v>
      </c>
      <c r="R115" s="94">
        <v>5000304123</v>
      </c>
      <c r="S115" s="74">
        <v>798</v>
      </c>
      <c r="T115" s="90" t="s">
        <v>87</v>
      </c>
      <c r="U115" s="90">
        <v>8500069485</v>
      </c>
      <c r="V115" s="90">
        <v>5000341313</v>
      </c>
      <c r="W115" s="109">
        <v>45418</v>
      </c>
      <c r="X115" s="112">
        <v>798</v>
      </c>
      <c r="Y115" s="106">
        <v>7980</v>
      </c>
      <c r="Z115" s="106" t="s">
        <v>3277</v>
      </c>
      <c r="AA115" s="106">
        <f t="shared" si="4"/>
        <v>0</v>
      </c>
      <c r="AB115" s="106">
        <f t="shared" si="5"/>
        <v>0</v>
      </c>
      <c r="AC115" s="94"/>
      <c r="AD115" s="94"/>
      <c r="AE115" s="94"/>
      <c r="AF115" s="94"/>
      <c r="AG115" s="94"/>
      <c r="AH115" s="263"/>
    </row>
    <row r="116" spans="1:34" ht="26.25" customHeight="1">
      <c r="A116" s="90" t="s">
        <v>279</v>
      </c>
      <c r="B116" s="88">
        <v>6000029609</v>
      </c>
      <c r="C116" s="2" t="s">
        <v>907</v>
      </c>
      <c r="D116" s="192" t="s">
        <v>3052</v>
      </c>
      <c r="E116" s="192">
        <v>10</v>
      </c>
      <c r="F116" s="74">
        <v>238</v>
      </c>
      <c r="G116" s="45">
        <f t="shared" si="6"/>
        <v>2380</v>
      </c>
      <c r="H116" s="119" t="s">
        <v>27</v>
      </c>
      <c r="I116" s="128">
        <v>45364</v>
      </c>
      <c r="J116" s="74">
        <v>238</v>
      </c>
      <c r="K116" s="74">
        <f>10+4</f>
        <v>14</v>
      </c>
      <c r="L116" s="156">
        <v>45370</v>
      </c>
      <c r="M116" s="90">
        <v>2380</v>
      </c>
      <c r="N116" s="90">
        <v>39</v>
      </c>
      <c r="O116" s="90" t="s">
        <v>1567</v>
      </c>
      <c r="P116" s="94" t="s">
        <v>28</v>
      </c>
      <c r="Q116" s="94">
        <v>8500069491</v>
      </c>
      <c r="R116" s="94">
        <v>5000304091</v>
      </c>
      <c r="S116" s="74">
        <v>238</v>
      </c>
      <c r="T116" s="90" t="s">
        <v>87</v>
      </c>
      <c r="U116" s="90">
        <v>8500069489</v>
      </c>
      <c r="V116" s="90">
        <v>5000331891</v>
      </c>
      <c r="W116" s="109">
        <v>45385</v>
      </c>
      <c r="X116" s="106">
        <v>238</v>
      </c>
      <c r="Y116" s="106">
        <v>2380</v>
      </c>
      <c r="Z116" s="106" t="s">
        <v>1840</v>
      </c>
      <c r="AA116" s="106">
        <f t="shared" si="4"/>
        <v>0</v>
      </c>
      <c r="AB116" s="106">
        <f t="shared" si="5"/>
        <v>0</v>
      </c>
      <c r="AC116" s="94"/>
      <c r="AD116" s="94"/>
      <c r="AE116" s="94"/>
      <c r="AF116" s="94"/>
      <c r="AG116" s="94"/>
      <c r="AH116" s="263"/>
    </row>
    <row r="117" spans="1:34" ht="26.25" customHeight="1">
      <c r="A117" s="90"/>
      <c r="B117" s="88"/>
      <c r="C117" s="2"/>
      <c r="D117" s="192"/>
      <c r="E117" s="192">
        <v>10</v>
      </c>
      <c r="F117" s="74">
        <v>2304</v>
      </c>
      <c r="G117" s="45">
        <f t="shared" si="6"/>
        <v>23040</v>
      </c>
      <c r="H117" s="119" t="s">
        <v>46</v>
      </c>
      <c r="I117" s="128">
        <v>45365</v>
      </c>
      <c r="J117" s="74">
        <v>2304</v>
      </c>
      <c r="K117" s="74">
        <f>10+26</f>
        <v>36</v>
      </c>
      <c r="L117" s="156">
        <v>45371</v>
      </c>
      <c r="M117" s="90">
        <v>23040</v>
      </c>
      <c r="N117" s="90">
        <v>245</v>
      </c>
      <c r="O117" s="90" t="s">
        <v>1784</v>
      </c>
      <c r="P117" s="94" t="s">
        <v>28</v>
      </c>
      <c r="Q117" s="94">
        <v>8500069491</v>
      </c>
      <c r="R117" s="94">
        <v>5000305531</v>
      </c>
      <c r="S117" s="74">
        <v>2304</v>
      </c>
      <c r="T117" s="90" t="s">
        <v>87</v>
      </c>
      <c r="U117" s="90">
        <v>8500069489</v>
      </c>
      <c r="V117" s="90">
        <v>5000333042</v>
      </c>
      <c r="W117" s="109">
        <v>45390</v>
      </c>
      <c r="X117" s="106">
        <v>2304</v>
      </c>
      <c r="Y117" s="106">
        <v>23040</v>
      </c>
      <c r="Z117" s="106" t="s">
        <v>267</v>
      </c>
      <c r="AA117" s="106">
        <f t="shared" si="4"/>
        <v>0</v>
      </c>
      <c r="AB117" s="106">
        <f t="shared" si="5"/>
        <v>0</v>
      </c>
      <c r="AC117" s="94"/>
      <c r="AD117" s="94"/>
      <c r="AE117" s="94"/>
      <c r="AF117" s="94"/>
      <c r="AG117" s="94"/>
      <c r="AH117" s="263"/>
    </row>
    <row r="118" spans="1:34" ht="26.25" customHeight="1">
      <c r="A118" s="90"/>
      <c r="B118" s="88"/>
      <c r="C118" s="2"/>
      <c r="D118" s="192"/>
      <c r="E118" s="192">
        <v>10</v>
      </c>
      <c r="F118" s="74">
        <v>798</v>
      </c>
      <c r="G118" s="45">
        <f t="shared" si="6"/>
        <v>7980</v>
      </c>
      <c r="H118" s="119" t="s">
        <v>37</v>
      </c>
      <c r="I118" s="128">
        <v>45364</v>
      </c>
      <c r="J118" s="74">
        <v>798</v>
      </c>
      <c r="K118" s="74">
        <f>10+2+11</f>
        <v>23</v>
      </c>
      <c r="L118" s="156">
        <v>45372</v>
      </c>
      <c r="M118" s="90">
        <v>7980</v>
      </c>
      <c r="N118" s="90">
        <v>95</v>
      </c>
      <c r="O118" s="90"/>
      <c r="P118" s="94" t="s">
        <v>28</v>
      </c>
      <c r="Q118" s="94">
        <v>8500069491</v>
      </c>
      <c r="R118" s="94">
        <v>5000304091</v>
      </c>
      <c r="S118" s="74">
        <v>798</v>
      </c>
      <c r="T118" s="90" t="s">
        <v>87</v>
      </c>
      <c r="U118" s="90">
        <v>8500069489</v>
      </c>
      <c r="V118" s="90">
        <v>5000337702</v>
      </c>
      <c r="W118" s="109">
        <v>45390</v>
      </c>
      <c r="X118" s="106">
        <v>798</v>
      </c>
      <c r="Y118" s="106">
        <v>7980</v>
      </c>
      <c r="Z118" s="106" t="s">
        <v>3277</v>
      </c>
      <c r="AA118" s="106">
        <f t="shared" si="4"/>
        <v>0</v>
      </c>
      <c r="AB118" s="106">
        <f t="shared" si="5"/>
        <v>0</v>
      </c>
      <c r="AC118" s="94"/>
      <c r="AD118" s="94"/>
      <c r="AE118" s="94"/>
      <c r="AF118" s="94"/>
      <c r="AG118" s="94"/>
      <c r="AH118" s="263"/>
    </row>
    <row r="119" spans="1:34" ht="26.25" customHeight="1">
      <c r="A119" s="90" t="s">
        <v>279</v>
      </c>
      <c r="B119" s="88">
        <v>6000029610</v>
      </c>
      <c r="C119" s="2" t="s">
        <v>907</v>
      </c>
      <c r="D119" s="192" t="s">
        <v>3053</v>
      </c>
      <c r="E119" s="192">
        <v>10</v>
      </c>
      <c r="F119" s="74">
        <v>238</v>
      </c>
      <c r="G119" s="45">
        <f t="shared" si="6"/>
        <v>2380</v>
      </c>
      <c r="H119" s="119" t="s">
        <v>27</v>
      </c>
      <c r="I119" s="128">
        <v>45364</v>
      </c>
      <c r="J119" s="74">
        <v>238</v>
      </c>
      <c r="K119" s="74">
        <f>10+2</f>
        <v>12</v>
      </c>
      <c r="L119" s="156">
        <v>45370</v>
      </c>
      <c r="M119" s="90">
        <v>2380</v>
      </c>
      <c r="N119" s="90">
        <v>39</v>
      </c>
      <c r="O119" s="90" t="s">
        <v>1403</v>
      </c>
      <c r="P119" s="94" t="s">
        <v>28</v>
      </c>
      <c r="Q119" s="94">
        <v>8500069493</v>
      </c>
      <c r="R119" s="94">
        <v>5000304095</v>
      </c>
      <c r="S119" s="74">
        <v>238</v>
      </c>
      <c r="T119" s="90" t="s">
        <v>87</v>
      </c>
      <c r="U119" s="90">
        <v>8500069492</v>
      </c>
      <c r="V119" s="90">
        <v>5000331933</v>
      </c>
      <c r="W119" s="109">
        <v>45387</v>
      </c>
      <c r="X119" s="106">
        <v>238</v>
      </c>
      <c r="Y119" s="106">
        <v>2380</v>
      </c>
      <c r="Z119" s="106" t="s">
        <v>1840</v>
      </c>
      <c r="AA119" s="106">
        <f t="shared" si="4"/>
        <v>0</v>
      </c>
      <c r="AB119" s="106">
        <f t="shared" si="5"/>
        <v>0</v>
      </c>
      <c r="AC119" s="94"/>
      <c r="AD119" s="94"/>
      <c r="AE119" s="94"/>
      <c r="AF119" s="94"/>
      <c r="AG119" s="94"/>
      <c r="AH119" s="263"/>
    </row>
    <row r="120" spans="1:34" ht="26.25" customHeight="1">
      <c r="A120" s="90"/>
      <c r="B120" s="88"/>
      <c r="C120" s="2"/>
      <c r="D120" s="192"/>
      <c r="E120" s="192">
        <v>10</v>
      </c>
      <c r="F120" s="74">
        <v>2304</v>
      </c>
      <c r="G120" s="45">
        <f t="shared" si="6"/>
        <v>23040</v>
      </c>
      <c r="H120" s="119" t="s">
        <v>46</v>
      </c>
      <c r="I120" s="128">
        <v>45365</v>
      </c>
      <c r="J120" s="74">
        <v>2304</v>
      </c>
      <c r="K120" s="74">
        <f>10+26</f>
        <v>36</v>
      </c>
      <c r="L120" s="156">
        <v>45372</v>
      </c>
      <c r="M120" s="90">
        <v>23040</v>
      </c>
      <c r="N120" s="90">
        <v>245</v>
      </c>
      <c r="O120" s="90"/>
      <c r="P120" s="94" t="s">
        <v>28</v>
      </c>
      <c r="Q120" s="94">
        <v>8500069493</v>
      </c>
      <c r="R120" s="94">
        <v>5000305532</v>
      </c>
      <c r="S120" s="74">
        <v>2304</v>
      </c>
      <c r="T120" s="90" t="s">
        <v>87</v>
      </c>
      <c r="U120" s="90">
        <v>8500069492</v>
      </c>
      <c r="V120" s="90">
        <v>5000338023</v>
      </c>
      <c r="W120" s="109">
        <v>45393</v>
      </c>
      <c r="X120" s="106">
        <v>2304</v>
      </c>
      <c r="Y120" s="106">
        <v>23040</v>
      </c>
      <c r="Z120" s="106" t="s">
        <v>267</v>
      </c>
      <c r="AA120" s="106">
        <f t="shared" si="4"/>
        <v>0</v>
      </c>
      <c r="AB120" s="106">
        <f t="shared" si="5"/>
        <v>0</v>
      </c>
      <c r="AC120" s="94"/>
      <c r="AD120" s="94"/>
      <c r="AE120" s="94"/>
      <c r="AF120" s="94"/>
      <c r="AG120" s="94"/>
      <c r="AH120" s="263"/>
    </row>
    <row r="121" spans="1:34" ht="26.25" customHeight="1">
      <c r="A121" s="90"/>
      <c r="B121" s="88"/>
      <c r="C121" s="2"/>
      <c r="D121" s="192"/>
      <c r="E121" s="192">
        <v>10</v>
      </c>
      <c r="F121" s="74">
        <v>798</v>
      </c>
      <c r="G121" s="45">
        <f t="shared" si="6"/>
        <v>7980</v>
      </c>
      <c r="H121" s="119" t="s">
        <v>37</v>
      </c>
      <c r="I121" s="128">
        <v>45365</v>
      </c>
      <c r="J121" s="74">
        <v>798</v>
      </c>
      <c r="K121" s="74">
        <f>10+1+10</f>
        <v>21</v>
      </c>
      <c r="L121" s="156">
        <v>45372</v>
      </c>
      <c r="M121" s="90">
        <v>7980</v>
      </c>
      <c r="N121" s="90">
        <v>95</v>
      </c>
      <c r="O121" s="90"/>
      <c r="P121" s="94" t="s">
        <v>28</v>
      </c>
      <c r="Q121" s="94">
        <v>8500069493</v>
      </c>
      <c r="R121" s="94">
        <v>5000305532</v>
      </c>
      <c r="S121" s="74">
        <v>798</v>
      </c>
      <c r="T121" s="90" t="s">
        <v>87</v>
      </c>
      <c r="U121" s="90">
        <v>8500069492</v>
      </c>
      <c r="V121" s="90">
        <v>5000337415</v>
      </c>
      <c r="W121" s="109">
        <v>45395</v>
      </c>
      <c r="X121" s="106">
        <v>798</v>
      </c>
      <c r="Y121" s="106">
        <v>7980</v>
      </c>
      <c r="Z121" s="106" t="s">
        <v>1841</v>
      </c>
      <c r="AA121" s="106">
        <f t="shared" si="4"/>
        <v>0</v>
      </c>
      <c r="AB121" s="106">
        <f t="shared" si="5"/>
        <v>0</v>
      </c>
      <c r="AC121" s="94"/>
      <c r="AD121" s="94"/>
      <c r="AE121" s="94"/>
      <c r="AF121" s="94"/>
      <c r="AG121" s="94"/>
      <c r="AH121" s="263"/>
    </row>
    <row r="122" spans="1:34" ht="26.25" customHeight="1">
      <c r="A122" s="90" t="s">
        <v>24</v>
      </c>
      <c r="B122" s="88">
        <v>6000029611</v>
      </c>
      <c r="C122" s="2" t="s">
        <v>25</v>
      </c>
      <c r="D122" s="192" t="s">
        <v>3054</v>
      </c>
      <c r="E122" s="192">
        <v>10</v>
      </c>
      <c r="F122" s="74">
        <v>2100</v>
      </c>
      <c r="G122" s="45">
        <f t="shared" si="6"/>
        <v>21000</v>
      </c>
      <c r="H122" s="119" t="s">
        <v>46</v>
      </c>
      <c r="I122" s="128">
        <v>45369</v>
      </c>
      <c r="J122" s="74">
        <v>2100</v>
      </c>
      <c r="K122" s="74">
        <v>28</v>
      </c>
      <c r="L122" s="156">
        <v>45369</v>
      </c>
      <c r="M122" s="45">
        <v>21000</v>
      </c>
      <c r="N122" s="90">
        <f>210+20</f>
        <v>230</v>
      </c>
      <c r="O122" s="90"/>
      <c r="P122" s="94" t="s">
        <v>28</v>
      </c>
      <c r="Q122" s="94">
        <v>8500069427</v>
      </c>
      <c r="R122" s="94">
        <v>5000327534</v>
      </c>
      <c r="S122" s="74">
        <v>2100</v>
      </c>
      <c r="T122" s="90" t="s">
        <v>1558</v>
      </c>
      <c r="U122" s="90">
        <v>85000694262</v>
      </c>
      <c r="V122" s="90">
        <v>5000327339</v>
      </c>
      <c r="W122" s="109">
        <v>45391</v>
      </c>
      <c r="X122" s="106">
        <v>2100</v>
      </c>
      <c r="Y122" s="106">
        <v>21000</v>
      </c>
      <c r="Z122" s="106" t="s">
        <v>3236</v>
      </c>
      <c r="AA122" s="106">
        <f t="shared" si="4"/>
        <v>0</v>
      </c>
      <c r="AB122" s="106">
        <f t="shared" si="5"/>
        <v>0</v>
      </c>
      <c r="AC122" s="94"/>
      <c r="AD122" s="94"/>
      <c r="AE122" s="94"/>
      <c r="AF122" s="94"/>
      <c r="AG122" s="94"/>
      <c r="AH122" s="263"/>
    </row>
    <row r="123" spans="1:34" ht="26.25" customHeight="1">
      <c r="A123" s="90" t="s">
        <v>24</v>
      </c>
      <c r="B123" s="88">
        <v>6000029612</v>
      </c>
      <c r="C123" s="2" t="s">
        <v>25</v>
      </c>
      <c r="D123" s="192" t="s">
        <v>3055</v>
      </c>
      <c r="E123" s="192">
        <v>10</v>
      </c>
      <c r="F123" s="74">
        <v>2100</v>
      </c>
      <c r="G123" s="45">
        <f t="shared" si="6"/>
        <v>21000</v>
      </c>
      <c r="H123" s="119" t="s">
        <v>46</v>
      </c>
      <c r="I123" s="128">
        <v>45373</v>
      </c>
      <c r="J123" s="74">
        <v>2100</v>
      </c>
      <c r="K123" s="74">
        <v>21</v>
      </c>
      <c r="L123" s="156">
        <v>45370</v>
      </c>
      <c r="M123" s="45">
        <v>21000</v>
      </c>
      <c r="N123" s="90">
        <f>210+20</f>
        <v>230</v>
      </c>
      <c r="O123" s="90"/>
      <c r="P123" s="94" t="s">
        <v>28</v>
      </c>
      <c r="Q123" s="94">
        <v>8500069430</v>
      </c>
      <c r="R123" s="94">
        <v>5000364369</v>
      </c>
      <c r="S123" s="74">
        <v>2100</v>
      </c>
      <c r="T123" s="90" t="s">
        <v>1558</v>
      </c>
      <c r="U123" s="90">
        <v>8500069429</v>
      </c>
      <c r="V123" s="90">
        <v>5000327668</v>
      </c>
      <c r="W123" s="109">
        <v>45394</v>
      </c>
      <c r="X123" s="106">
        <v>2100</v>
      </c>
      <c r="Y123" s="106">
        <v>21000</v>
      </c>
      <c r="Z123" s="106" t="s">
        <v>3236</v>
      </c>
      <c r="AA123" s="106">
        <f t="shared" si="4"/>
        <v>0</v>
      </c>
      <c r="AB123" s="106">
        <f t="shared" si="5"/>
        <v>0</v>
      </c>
      <c r="AC123" s="94"/>
      <c r="AD123" s="94"/>
      <c r="AE123" s="94"/>
      <c r="AF123" s="94"/>
      <c r="AG123" s="94"/>
      <c r="AH123" s="263"/>
    </row>
    <row r="124" spans="1:34" ht="26.25" customHeight="1">
      <c r="A124" s="90" t="s">
        <v>24</v>
      </c>
      <c r="B124" s="88">
        <v>6000029613</v>
      </c>
      <c r="C124" s="2" t="s">
        <v>771</v>
      </c>
      <c r="D124" s="192" t="s">
        <v>3056</v>
      </c>
      <c r="E124" s="192">
        <v>10</v>
      </c>
      <c r="F124" s="74">
        <v>3000</v>
      </c>
      <c r="G124" s="45">
        <f t="shared" ref="G124:G150" si="7">E124*F124</f>
        <v>30000</v>
      </c>
      <c r="H124" s="119" t="s">
        <v>37</v>
      </c>
      <c r="I124" s="128">
        <v>45369</v>
      </c>
      <c r="J124" s="74">
        <v>3000</v>
      </c>
      <c r="K124" s="74">
        <f>20+40</f>
        <v>60</v>
      </c>
      <c r="L124" s="156" t="s">
        <v>3154</v>
      </c>
      <c r="M124" s="45">
        <f>24700+4950+350</f>
        <v>30000</v>
      </c>
      <c r="N124" s="90">
        <f>300+20</f>
        <v>320</v>
      </c>
      <c r="O124" s="90" t="s">
        <v>3155</v>
      </c>
      <c r="P124" s="94" t="s">
        <v>924</v>
      </c>
      <c r="Q124" s="94">
        <v>8500069423</v>
      </c>
      <c r="R124" s="53">
        <v>5000327345</v>
      </c>
      <c r="S124" s="74">
        <v>3000</v>
      </c>
      <c r="T124" s="90" t="s">
        <v>1558</v>
      </c>
      <c r="U124" s="90">
        <v>8500069422</v>
      </c>
      <c r="V124" s="90">
        <v>5000313023</v>
      </c>
      <c r="W124" s="109">
        <v>45381</v>
      </c>
      <c r="X124" s="106">
        <v>3000</v>
      </c>
      <c r="Y124" s="106">
        <v>30000</v>
      </c>
      <c r="Z124" s="106" t="s">
        <v>35</v>
      </c>
      <c r="AA124" s="106">
        <f t="shared" si="4"/>
        <v>0</v>
      </c>
      <c r="AB124" s="106">
        <f t="shared" si="5"/>
        <v>0</v>
      </c>
      <c r="AC124" s="94"/>
      <c r="AD124" s="94"/>
      <c r="AE124" s="94"/>
      <c r="AF124" s="94"/>
      <c r="AG124" s="94"/>
      <c r="AH124" s="263"/>
    </row>
    <row r="125" spans="1:34" ht="26.25" customHeight="1">
      <c r="A125" s="90" t="s">
        <v>24</v>
      </c>
      <c r="B125" s="88">
        <v>6000029614</v>
      </c>
      <c r="C125" s="2" t="s">
        <v>25</v>
      </c>
      <c r="D125" s="192" t="s">
        <v>3057</v>
      </c>
      <c r="E125" s="192">
        <v>10</v>
      </c>
      <c r="F125" s="74">
        <v>2100</v>
      </c>
      <c r="G125" s="45">
        <f t="shared" si="7"/>
        <v>21000</v>
      </c>
      <c r="H125" s="119" t="s">
        <v>46</v>
      </c>
      <c r="I125" s="128">
        <v>45364</v>
      </c>
      <c r="J125" s="74">
        <f>1060+1040</f>
        <v>2100</v>
      </c>
      <c r="K125" s="74">
        <v>21</v>
      </c>
      <c r="L125" s="156">
        <v>45367</v>
      </c>
      <c r="M125" s="45">
        <v>21000</v>
      </c>
      <c r="N125" s="90">
        <f>210+20</f>
        <v>230</v>
      </c>
      <c r="O125" s="90"/>
      <c r="P125" s="94" t="s">
        <v>28</v>
      </c>
      <c r="Q125" s="94">
        <v>8500069433</v>
      </c>
      <c r="R125" s="94">
        <v>5000304083</v>
      </c>
      <c r="S125" s="74">
        <f>1060+1040</f>
        <v>2100</v>
      </c>
      <c r="T125" s="90" t="s">
        <v>1558</v>
      </c>
      <c r="U125" s="90">
        <v>8500069432</v>
      </c>
      <c r="V125" s="90">
        <v>5000315007</v>
      </c>
      <c r="W125" s="109">
        <v>44281</v>
      </c>
      <c r="X125" s="106">
        <v>2100</v>
      </c>
      <c r="Y125" s="106">
        <v>21000</v>
      </c>
      <c r="Z125" s="106" t="s">
        <v>3199</v>
      </c>
      <c r="AA125" s="106">
        <f t="shared" si="4"/>
        <v>0</v>
      </c>
      <c r="AB125" s="106">
        <f t="shared" si="5"/>
        <v>0</v>
      </c>
      <c r="AC125" s="94"/>
      <c r="AD125" s="94"/>
      <c r="AE125" s="94"/>
      <c r="AF125" s="94"/>
      <c r="AG125" s="94"/>
      <c r="AH125" s="263"/>
    </row>
    <row r="126" spans="1:34" ht="30" customHeight="1">
      <c r="A126" s="90" t="s">
        <v>24</v>
      </c>
      <c r="B126" s="88">
        <v>6000029615</v>
      </c>
      <c r="C126" s="2" t="s">
        <v>25</v>
      </c>
      <c r="D126" s="192" t="s">
        <v>3058</v>
      </c>
      <c r="E126" s="192">
        <v>10</v>
      </c>
      <c r="F126" s="74">
        <v>2100</v>
      </c>
      <c r="G126" s="45">
        <f t="shared" si="7"/>
        <v>21000</v>
      </c>
      <c r="H126" s="119" t="s">
        <v>46</v>
      </c>
      <c r="I126" s="128">
        <v>45364</v>
      </c>
      <c r="J126" s="74">
        <v>2100</v>
      </c>
      <c r="K126" s="74">
        <v>21</v>
      </c>
      <c r="L126" s="156">
        <v>45369</v>
      </c>
      <c r="M126" s="90">
        <v>21000</v>
      </c>
      <c r="N126" s="90">
        <f>210+20</f>
        <v>230</v>
      </c>
      <c r="O126" s="90"/>
      <c r="P126" s="94" t="s">
        <v>28</v>
      </c>
      <c r="Q126" s="94">
        <v>8500069437</v>
      </c>
      <c r="R126" s="94">
        <v>5000304084</v>
      </c>
      <c r="S126" s="74">
        <v>2100</v>
      </c>
      <c r="T126" s="90" t="s">
        <v>1558</v>
      </c>
      <c r="U126" s="90">
        <v>8500069436</v>
      </c>
      <c r="V126" s="90">
        <v>5000322958</v>
      </c>
      <c r="W126" s="109">
        <v>45381</v>
      </c>
      <c r="X126" s="106">
        <v>2100</v>
      </c>
      <c r="Y126" s="106">
        <v>21000</v>
      </c>
      <c r="Z126" s="106" t="s">
        <v>3199</v>
      </c>
      <c r="AA126" s="106">
        <f t="shared" si="4"/>
        <v>0</v>
      </c>
      <c r="AB126" s="106">
        <f t="shared" si="5"/>
        <v>0</v>
      </c>
      <c r="AC126" s="94"/>
      <c r="AD126" s="94"/>
      <c r="AE126" s="94"/>
      <c r="AF126" s="94"/>
      <c r="AG126" s="94"/>
      <c r="AH126" s="263"/>
    </row>
    <row r="127" spans="1:34" ht="26.25" customHeight="1">
      <c r="A127" s="90" t="s">
        <v>24</v>
      </c>
      <c r="B127" s="88">
        <v>6000029616</v>
      </c>
      <c r="C127" s="2" t="s">
        <v>771</v>
      </c>
      <c r="D127" s="192" t="s">
        <v>3059</v>
      </c>
      <c r="E127" s="192">
        <v>10</v>
      </c>
      <c r="F127" s="74">
        <v>3000</v>
      </c>
      <c r="G127" s="45">
        <f t="shared" si="7"/>
        <v>30000</v>
      </c>
      <c r="H127" s="119" t="s">
        <v>37</v>
      </c>
      <c r="I127" s="128">
        <v>45369</v>
      </c>
      <c r="J127" s="158">
        <v>3000</v>
      </c>
      <c r="K127" s="74">
        <v>20</v>
      </c>
      <c r="L127" s="156" t="s">
        <v>3147</v>
      </c>
      <c r="M127" s="90">
        <f>28200+1800</f>
        <v>30000</v>
      </c>
      <c r="N127" s="90">
        <v>320</v>
      </c>
      <c r="O127" s="90" t="s">
        <v>2486</v>
      </c>
      <c r="P127" s="94" t="s">
        <v>924</v>
      </c>
      <c r="Q127" s="94">
        <v>8500069425</v>
      </c>
      <c r="R127" s="94">
        <v>5000327348</v>
      </c>
      <c r="S127" s="158">
        <v>3000</v>
      </c>
      <c r="T127" s="90" t="s">
        <v>1558</v>
      </c>
      <c r="U127" s="90">
        <v>8500069424</v>
      </c>
      <c r="V127" s="90">
        <v>5000313162</v>
      </c>
      <c r="W127" s="360" t="s">
        <v>3286</v>
      </c>
      <c r="X127" s="106">
        <v>3000</v>
      </c>
      <c r="Y127" s="106">
        <v>30000</v>
      </c>
      <c r="Z127" s="106" t="s">
        <v>3287</v>
      </c>
      <c r="AA127" s="106">
        <f t="shared" si="4"/>
        <v>0</v>
      </c>
      <c r="AB127" s="106">
        <f t="shared" si="5"/>
        <v>0</v>
      </c>
      <c r="AC127" s="94"/>
      <c r="AD127" s="94"/>
      <c r="AE127" s="94"/>
      <c r="AF127" s="94"/>
      <c r="AG127" s="94"/>
      <c r="AH127" s="263"/>
    </row>
    <row r="128" spans="1:34" ht="26.25" customHeight="1">
      <c r="A128" s="90" t="s">
        <v>24</v>
      </c>
      <c r="B128" s="88">
        <v>6000029617</v>
      </c>
      <c r="C128" s="2" t="s">
        <v>25</v>
      </c>
      <c r="D128" s="192" t="s">
        <v>3060</v>
      </c>
      <c r="E128" s="192">
        <v>10</v>
      </c>
      <c r="F128" s="74">
        <v>2100</v>
      </c>
      <c r="G128" s="45">
        <f t="shared" si="7"/>
        <v>21000</v>
      </c>
      <c r="H128" s="119" t="s">
        <v>46</v>
      </c>
      <c r="I128" s="128" t="s">
        <v>3197</v>
      </c>
      <c r="J128" s="158">
        <f>2062+38</f>
        <v>2100</v>
      </c>
      <c r="K128" s="74">
        <v>15</v>
      </c>
      <c r="L128" s="156">
        <v>45369</v>
      </c>
      <c r="M128" s="90">
        <v>21000</v>
      </c>
      <c r="N128" s="90">
        <f>210+20</f>
        <v>230</v>
      </c>
      <c r="O128" s="90"/>
      <c r="P128" s="94" t="s">
        <v>28</v>
      </c>
      <c r="Q128" s="94">
        <v>8500069446</v>
      </c>
      <c r="R128" s="94">
        <v>5000304087</v>
      </c>
      <c r="S128" s="158">
        <f>2062+38</f>
        <v>2100</v>
      </c>
      <c r="T128" s="90" t="s">
        <v>1558</v>
      </c>
      <c r="U128" s="90">
        <v>8500064939</v>
      </c>
      <c r="V128" s="90">
        <v>5000322959</v>
      </c>
      <c r="W128" s="109">
        <v>45379</v>
      </c>
      <c r="X128" s="106">
        <v>2100</v>
      </c>
      <c r="Y128" s="106">
        <v>21000</v>
      </c>
      <c r="Z128" s="106" t="s">
        <v>3199</v>
      </c>
      <c r="AA128" s="106">
        <f t="shared" si="4"/>
        <v>0</v>
      </c>
      <c r="AB128" s="106">
        <f t="shared" si="5"/>
        <v>0</v>
      </c>
      <c r="AC128" s="94"/>
      <c r="AD128" s="94"/>
      <c r="AE128" s="94"/>
      <c r="AF128" s="94"/>
      <c r="AG128" s="94"/>
      <c r="AH128" s="263"/>
    </row>
    <row r="129" spans="1:34" ht="26.25" customHeight="1">
      <c r="A129" s="90" t="s">
        <v>24</v>
      </c>
      <c r="B129" s="88">
        <v>6000029618</v>
      </c>
      <c r="C129" s="2" t="s">
        <v>25</v>
      </c>
      <c r="D129" s="192" t="s">
        <v>3061</v>
      </c>
      <c r="E129" s="192">
        <v>10</v>
      </c>
      <c r="F129" s="74">
        <v>2100</v>
      </c>
      <c r="G129" s="45">
        <f t="shared" si="7"/>
        <v>21000</v>
      </c>
      <c r="H129" s="119" t="s">
        <v>46</v>
      </c>
      <c r="I129" s="128">
        <v>45378</v>
      </c>
      <c r="J129" s="74">
        <v>2100</v>
      </c>
      <c r="K129" s="74">
        <v>20</v>
      </c>
      <c r="L129" s="156">
        <v>45370</v>
      </c>
      <c r="M129" s="90">
        <v>21000</v>
      </c>
      <c r="N129" s="90">
        <v>230</v>
      </c>
      <c r="O129" s="90"/>
      <c r="P129" s="94" t="s">
        <v>28</v>
      </c>
      <c r="Q129" s="94">
        <v>8500069449</v>
      </c>
      <c r="R129" s="94">
        <v>5000369029</v>
      </c>
      <c r="S129" s="74">
        <v>2100</v>
      </c>
      <c r="T129" s="90" t="s">
        <v>1558</v>
      </c>
      <c r="U129" s="90">
        <v>8500069448</v>
      </c>
      <c r="V129" s="90">
        <v>5000327669</v>
      </c>
      <c r="W129" s="109">
        <v>45395</v>
      </c>
      <c r="X129" s="106">
        <v>2100</v>
      </c>
      <c r="Y129" s="106">
        <v>21000</v>
      </c>
      <c r="Z129" s="106" t="s">
        <v>3343</v>
      </c>
      <c r="AA129" s="106">
        <f t="shared" si="4"/>
        <v>0</v>
      </c>
      <c r="AB129" s="106">
        <f t="shared" si="5"/>
        <v>0</v>
      </c>
      <c r="AC129" s="94"/>
      <c r="AD129" s="94"/>
      <c r="AE129" s="94"/>
      <c r="AF129" s="94"/>
      <c r="AG129" s="94"/>
      <c r="AH129" s="263"/>
    </row>
    <row r="130" spans="1:34" ht="33.75" customHeight="1">
      <c r="A130" s="90" t="s">
        <v>24</v>
      </c>
      <c r="B130" s="88">
        <v>6000029619</v>
      </c>
      <c r="C130" s="2" t="s">
        <v>25</v>
      </c>
      <c r="D130" s="192" t="s">
        <v>3062</v>
      </c>
      <c r="E130" s="192">
        <v>10</v>
      </c>
      <c r="F130" s="74">
        <v>2100</v>
      </c>
      <c r="G130" s="45">
        <f t="shared" si="7"/>
        <v>21000</v>
      </c>
      <c r="H130" s="119" t="s">
        <v>46</v>
      </c>
      <c r="I130" s="128" t="s">
        <v>3110</v>
      </c>
      <c r="J130" s="74">
        <f>1061+1039</f>
        <v>2100</v>
      </c>
      <c r="K130" s="74">
        <v>21</v>
      </c>
      <c r="L130" s="156">
        <v>45367</v>
      </c>
      <c r="M130" s="90">
        <v>21000</v>
      </c>
      <c r="N130" s="90">
        <f>210+20</f>
        <v>230</v>
      </c>
      <c r="O130" s="90"/>
      <c r="P130" s="94" t="s">
        <v>28</v>
      </c>
      <c r="Q130" s="94">
        <v>8500069344</v>
      </c>
      <c r="R130" s="94">
        <v>5000296116</v>
      </c>
      <c r="S130" s="74">
        <f>1061+1039</f>
        <v>2100</v>
      </c>
      <c r="T130" s="90" t="s">
        <v>1558</v>
      </c>
      <c r="U130" s="90">
        <v>8500069343</v>
      </c>
      <c r="V130" s="90">
        <v>5000315003</v>
      </c>
      <c r="W130" s="109">
        <v>45383</v>
      </c>
      <c r="X130" s="106">
        <v>2100</v>
      </c>
      <c r="Y130" s="106">
        <v>21000</v>
      </c>
      <c r="Z130" s="106" t="s">
        <v>3236</v>
      </c>
      <c r="AA130" s="106">
        <f t="shared" si="4"/>
        <v>0</v>
      </c>
      <c r="AB130" s="106">
        <f t="shared" si="5"/>
        <v>0</v>
      </c>
      <c r="AC130" s="94"/>
      <c r="AD130" s="94"/>
      <c r="AE130" s="94"/>
      <c r="AF130" s="94"/>
      <c r="AG130" s="94"/>
      <c r="AH130" s="263"/>
    </row>
    <row r="131" spans="1:34" ht="28.5" customHeight="1">
      <c r="A131" s="90" t="s">
        <v>24</v>
      </c>
      <c r="B131" s="88">
        <v>6000029620</v>
      </c>
      <c r="C131" s="2" t="s">
        <v>25</v>
      </c>
      <c r="D131" s="192" t="s">
        <v>3063</v>
      </c>
      <c r="E131" s="192">
        <v>10</v>
      </c>
      <c r="F131" s="74">
        <v>2100</v>
      </c>
      <c r="G131" s="45">
        <f t="shared" si="7"/>
        <v>21000</v>
      </c>
      <c r="H131" s="119" t="s">
        <v>46</v>
      </c>
      <c r="I131" s="128">
        <v>45378</v>
      </c>
      <c r="J131" s="74">
        <v>2100</v>
      </c>
      <c r="K131" s="74">
        <v>21</v>
      </c>
      <c r="L131" s="156">
        <v>45378</v>
      </c>
      <c r="M131" s="90">
        <v>21000</v>
      </c>
      <c r="N131" s="90">
        <f>210+20</f>
        <v>230</v>
      </c>
      <c r="O131" s="90"/>
      <c r="P131" s="94" t="s">
        <v>28</v>
      </c>
      <c r="Q131" s="94">
        <v>8500069346</v>
      </c>
      <c r="R131" s="94">
        <v>5000365857</v>
      </c>
      <c r="S131" s="74">
        <v>2100</v>
      </c>
      <c r="T131" s="90" t="s">
        <v>1558</v>
      </c>
      <c r="U131" s="90">
        <v>8500069345</v>
      </c>
      <c r="V131" s="90">
        <v>5000365917</v>
      </c>
      <c r="W131" s="109" t="s">
        <v>3379</v>
      </c>
      <c r="X131" s="106">
        <f>500+1600</f>
        <v>2100</v>
      </c>
      <c r="Y131" s="106">
        <f>5000+16000</f>
        <v>21000</v>
      </c>
      <c r="Z131" s="106" t="s">
        <v>3343</v>
      </c>
      <c r="AA131" s="106">
        <f t="shared" si="4"/>
        <v>0</v>
      </c>
      <c r="AB131" s="106">
        <f t="shared" si="5"/>
        <v>0</v>
      </c>
      <c r="AC131" s="94"/>
      <c r="AD131" s="94"/>
      <c r="AE131" s="94"/>
      <c r="AF131" s="94"/>
      <c r="AG131" s="94"/>
      <c r="AH131" s="263"/>
    </row>
    <row r="132" spans="1:34" ht="26.25" customHeight="1">
      <c r="A132" s="90" t="s">
        <v>24</v>
      </c>
      <c r="B132" s="88">
        <v>6000029621</v>
      </c>
      <c r="C132" s="2" t="s">
        <v>25</v>
      </c>
      <c r="D132" s="192" t="s">
        <v>3064</v>
      </c>
      <c r="E132" s="192">
        <v>10</v>
      </c>
      <c r="F132" s="74">
        <v>1500</v>
      </c>
      <c r="G132" s="45">
        <f t="shared" si="7"/>
        <v>15000</v>
      </c>
      <c r="H132" s="119" t="s">
        <v>46</v>
      </c>
      <c r="I132" s="128">
        <v>45378</v>
      </c>
      <c r="J132" s="74">
        <v>1500</v>
      </c>
      <c r="K132" s="74">
        <v>22</v>
      </c>
      <c r="L132" s="156">
        <v>45370</v>
      </c>
      <c r="M132" s="90">
        <v>15000</v>
      </c>
      <c r="N132" s="90">
        <v>170</v>
      </c>
      <c r="O132" s="90"/>
      <c r="P132" s="94" t="s">
        <v>28</v>
      </c>
      <c r="Q132" s="94">
        <v>8500069349</v>
      </c>
      <c r="R132" s="94">
        <v>5000365858</v>
      </c>
      <c r="S132" s="74">
        <v>1500</v>
      </c>
      <c r="T132" s="90" t="s">
        <v>1558</v>
      </c>
      <c r="U132" s="90">
        <v>8500069347</v>
      </c>
      <c r="V132" s="90">
        <v>5000327720</v>
      </c>
      <c r="W132" s="109">
        <v>45402</v>
      </c>
      <c r="X132" s="106">
        <v>1500</v>
      </c>
      <c r="Y132" s="106">
        <v>15000</v>
      </c>
      <c r="Z132" s="106" t="s">
        <v>3388</v>
      </c>
      <c r="AA132" s="106">
        <f t="shared" si="4"/>
        <v>0</v>
      </c>
      <c r="AB132" s="106">
        <f t="shared" si="5"/>
        <v>0</v>
      </c>
      <c r="AC132" s="94" t="s">
        <v>3489</v>
      </c>
      <c r="AD132" s="94"/>
      <c r="AE132" s="94"/>
      <c r="AF132" s="94"/>
      <c r="AG132" s="94"/>
      <c r="AH132" s="263"/>
    </row>
    <row r="133" spans="1:34" ht="26.25" customHeight="1">
      <c r="A133" s="90"/>
      <c r="B133" s="88"/>
      <c r="C133" s="2"/>
      <c r="D133" s="192"/>
      <c r="E133" s="192">
        <v>10</v>
      </c>
      <c r="F133" s="74">
        <v>600</v>
      </c>
      <c r="G133" s="45">
        <f t="shared" si="7"/>
        <v>6000</v>
      </c>
      <c r="H133" s="119" t="s">
        <v>37</v>
      </c>
      <c r="I133" s="128">
        <v>45378</v>
      </c>
      <c r="J133" s="74">
        <v>600</v>
      </c>
      <c r="K133" s="74">
        <v>10</v>
      </c>
      <c r="L133" s="156">
        <v>45370</v>
      </c>
      <c r="M133" s="90">
        <v>6000</v>
      </c>
      <c r="N133" s="90">
        <v>80</v>
      </c>
      <c r="O133" s="90" t="s">
        <v>1574</v>
      </c>
      <c r="P133" s="94" t="s">
        <v>28</v>
      </c>
      <c r="Q133" s="94">
        <v>8500069349</v>
      </c>
      <c r="R133" s="94">
        <v>5000369497</v>
      </c>
      <c r="S133" s="74">
        <v>600</v>
      </c>
      <c r="T133" s="90" t="s">
        <v>1558</v>
      </c>
      <c r="U133" s="90">
        <v>8500069347</v>
      </c>
      <c r="V133" s="90">
        <v>5000327720</v>
      </c>
      <c r="W133" s="109">
        <v>45399</v>
      </c>
      <c r="X133" s="106">
        <v>600</v>
      </c>
      <c r="Y133" s="106">
        <v>6000</v>
      </c>
      <c r="Z133" s="106" t="s">
        <v>3374</v>
      </c>
      <c r="AA133" s="106">
        <f t="shared" si="4"/>
        <v>0</v>
      </c>
      <c r="AB133" s="106">
        <f t="shared" si="5"/>
        <v>0</v>
      </c>
      <c r="AC133" s="94" t="s">
        <v>3432</v>
      </c>
      <c r="AD133" s="94"/>
      <c r="AE133" s="94"/>
      <c r="AF133" s="94"/>
      <c r="AG133" s="94"/>
      <c r="AH133" s="263"/>
    </row>
    <row r="134" spans="1:34" s="97" customFormat="1" ht="24" customHeight="1">
      <c r="A134" s="90" t="s">
        <v>24</v>
      </c>
      <c r="B134" s="88">
        <v>6000029622</v>
      </c>
      <c r="C134" s="2" t="s">
        <v>25</v>
      </c>
      <c r="D134" s="192" t="s">
        <v>3065</v>
      </c>
      <c r="E134" s="192">
        <v>10</v>
      </c>
      <c r="F134" s="74">
        <v>2100</v>
      </c>
      <c r="G134" s="45">
        <f t="shared" si="7"/>
        <v>21000</v>
      </c>
      <c r="H134" s="119" t="s">
        <v>37</v>
      </c>
      <c r="I134" s="128">
        <v>45369</v>
      </c>
      <c r="J134" s="74">
        <v>2100</v>
      </c>
      <c r="K134" s="74">
        <v>39</v>
      </c>
      <c r="L134" s="156">
        <v>45370</v>
      </c>
      <c r="M134" s="90">
        <v>21000</v>
      </c>
      <c r="N134" s="90">
        <v>230</v>
      </c>
      <c r="O134" s="90"/>
      <c r="P134" s="94" t="s">
        <v>28</v>
      </c>
      <c r="Q134" s="94">
        <v>8500069351</v>
      </c>
      <c r="R134" s="94">
        <v>5000327537</v>
      </c>
      <c r="S134" s="74">
        <v>2100</v>
      </c>
      <c r="T134" s="90" t="s">
        <v>1558</v>
      </c>
      <c r="U134" s="90">
        <v>8500069350</v>
      </c>
      <c r="V134" s="90">
        <v>5000327721</v>
      </c>
      <c r="W134" s="109">
        <v>45395</v>
      </c>
      <c r="X134" s="106">
        <v>2100</v>
      </c>
      <c r="Y134" s="106">
        <v>21000</v>
      </c>
      <c r="Z134" s="106" t="s">
        <v>35</v>
      </c>
      <c r="AA134" s="106">
        <f t="shared" si="4"/>
        <v>0</v>
      </c>
      <c r="AB134" s="106">
        <f t="shared" si="5"/>
        <v>0</v>
      </c>
      <c r="AC134" s="94" t="s">
        <v>3233</v>
      </c>
      <c r="AD134" s="94"/>
      <c r="AE134" s="110"/>
      <c r="AF134" s="110"/>
      <c r="AG134" s="110"/>
      <c r="AH134" s="99"/>
    </row>
    <row r="135" spans="1:34" s="97" customFormat="1" ht="19.5" customHeight="1">
      <c r="A135" s="90" t="s">
        <v>24</v>
      </c>
      <c r="B135" s="88">
        <v>6000029623</v>
      </c>
      <c r="C135" s="2" t="s">
        <v>25</v>
      </c>
      <c r="D135" s="192" t="s">
        <v>3066</v>
      </c>
      <c r="E135" s="192">
        <v>10</v>
      </c>
      <c r="F135" s="74">
        <v>2100</v>
      </c>
      <c r="G135" s="45">
        <f t="shared" si="7"/>
        <v>21000</v>
      </c>
      <c r="H135" s="119" t="s">
        <v>46</v>
      </c>
      <c r="I135" s="128" t="s">
        <v>3210</v>
      </c>
      <c r="J135" s="74">
        <f>1060+1040</f>
        <v>2100</v>
      </c>
      <c r="K135" s="74">
        <v>19</v>
      </c>
      <c r="L135" s="156">
        <v>45378</v>
      </c>
      <c r="M135" s="90">
        <v>21000</v>
      </c>
      <c r="N135" s="90">
        <f>210+20</f>
        <v>230</v>
      </c>
      <c r="O135" s="90"/>
      <c r="P135" s="94" t="s">
        <v>28</v>
      </c>
      <c r="Q135" s="94">
        <v>8500069356</v>
      </c>
      <c r="R135" s="94">
        <v>5000369510</v>
      </c>
      <c r="S135" s="74">
        <f>1060+1040</f>
        <v>2100</v>
      </c>
      <c r="T135" s="90" t="s">
        <v>1558</v>
      </c>
      <c r="U135" s="90">
        <v>8500069355</v>
      </c>
      <c r="V135" s="90">
        <v>5000365956</v>
      </c>
      <c r="W135" s="109">
        <v>45397</v>
      </c>
      <c r="X135" s="106">
        <v>2100</v>
      </c>
      <c r="Y135" s="106">
        <v>21000</v>
      </c>
      <c r="Z135" s="106" t="s">
        <v>3343</v>
      </c>
      <c r="AA135" s="106">
        <f t="shared" si="4"/>
        <v>0</v>
      </c>
      <c r="AB135" s="106">
        <f t="shared" si="5"/>
        <v>0</v>
      </c>
      <c r="AC135" s="94"/>
      <c r="AD135" s="94"/>
      <c r="AE135" s="110"/>
      <c r="AF135" s="110"/>
      <c r="AG135" s="110"/>
      <c r="AH135" s="99"/>
    </row>
    <row r="136" spans="1:34" s="97" customFormat="1" ht="19.5" customHeight="1">
      <c r="A136" s="90" t="s">
        <v>24</v>
      </c>
      <c r="B136" s="88">
        <v>6000029624</v>
      </c>
      <c r="C136" s="2" t="s">
        <v>25</v>
      </c>
      <c r="D136" s="192" t="s">
        <v>3067</v>
      </c>
      <c r="E136" s="192">
        <v>10</v>
      </c>
      <c r="F136" s="74">
        <v>1500</v>
      </c>
      <c r="G136" s="45">
        <f t="shared" si="7"/>
        <v>15000</v>
      </c>
      <c r="H136" s="119" t="s">
        <v>46</v>
      </c>
      <c r="I136" s="128">
        <v>45379</v>
      </c>
      <c r="J136" s="74">
        <v>1500</v>
      </c>
      <c r="K136" s="74">
        <v>17</v>
      </c>
      <c r="L136" s="156">
        <v>45378</v>
      </c>
      <c r="M136" s="90">
        <v>15000</v>
      </c>
      <c r="N136" s="90">
        <f>150+20</f>
        <v>170</v>
      </c>
      <c r="O136" s="90"/>
      <c r="P136" s="94" t="s">
        <v>28</v>
      </c>
      <c r="Q136" s="94">
        <v>8500069362</v>
      </c>
      <c r="R136" s="94">
        <v>5000370907</v>
      </c>
      <c r="S136" s="74"/>
      <c r="T136" s="90" t="s">
        <v>1558</v>
      </c>
      <c r="U136" s="90">
        <v>8500069361</v>
      </c>
      <c r="V136" s="90">
        <v>5000365954</v>
      </c>
      <c r="W136" s="109">
        <v>45408</v>
      </c>
      <c r="X136" s="106">
        <v>1500</v>
      </c>
      <c r="Y136" s="106">
        <v>15000</v>
      </c>
      <c r="Z136" s="106" t="s">
        <v>3415</v>
      </c>
      <c r="AA136" s="106">
        <f t="shared" si="4"/>
        <v>0</v>
      </c>
      <c r="AB136" s="106">
        <f t="shared" si="5"/>
        <v>0</v>
      </c>
      <c r="AC136" s="94" t="s">
        <v>3479</v>
      </c>
      <c r="AD136" s="94"/>
      <c r="AE136" s="110"/>
      <c r="AF136" s="110"/>
      <c r="AG136" s="110"/>
      <c r="AH136" s="99"/>
    </row>
    <row r="137" spans="1:34" s="97" customFormat="1" ht="19.5" customHeight="1">
      <c r="A137" s="90"/>
      <c r="B137" s="88"/>
      <c r="C137" s="2"/>
      <c r="D137" s="192"/>
      <c r="E137" s="192">
        <v>10</v>
      </c>
      <c r="F137" s="74">
        <v>600</v>
      </c>
      <c r="G137" s="45">
        <f t="shared" si="7"/>
        <v>6000</v>
      </c>
      <c r="H137" s="119" t="s">
        <v>37</v>
      </c>
      <c r="I137" s="128">
        <v>45378</v>
      </c>
      <c r="J137" s="74">
        <v>600</v>
      </c>
      <c r="K137" s="74">
        <v>9</v>
      </c>
      <c r="L137" s="156">
        <v>45378</v>
      </c>
      <c r="M137" s="90">
        <v>6000</v>
      </c>
      <c r="N137" s="90">
        <f>60+20</f>
        <v>80</v>
      </c>
      <c r="O137" s="90"/>
      <c r="P137" s="94" t="s">
        <v>28</v>
      </c>
      <c r="Q137" s="94">
        <v>8500069362</v>
      </c>
      <c r="R137" s="94">
        <v>5000369512</v>
      </c>
      <c r="S137" s="74">
        <v>600</v>
      </c>
      <c r="T137" s="90" t="s">
        <v>1558</v>
      </c>
      <c r="U137" s="90">
        <v>8500069361</v>
      </c>
      <c r="V137" s="90">
        <v>5000365954</v>
      </c>
      <c r="W137" s="109">
        <v>45402</v>
      </c>
      <c r="X137" s="106">
        <v>600</v>
      </c>
      <c r="Y137" s="106">
        <v>6000</v>
      </c>
      <c r="Z137" s="106" t="s">
        <v>3374</v>
      </c>
      <c r="AA137" s="106">
        <f t="shared" si="4"/>
        <v>0</v>
      </c>
      <c r="AB137" s="106">
        <f t="shared" si="5"/>
        <v>0</v>
      </c>
      <c r="AC137" s="94" t="s">
        <v>3440</v>
      </c>
      <c r="AD137" s="94"/>
      <c r="AE137" s="110"/>
      <c r="AF137" s="110"/>
      <c r="AG137" s="110"/>
      <c r="AH137" s="99"/>
    </row>
    <row r="138" spans="1:34" s="97" customFormat="1" ht="19.5" customHeight="1">
      <c r="A138" s="90" t="s">
        <v>24</v>
      </c>
      <c r="B138" s="88">
        <v>6000029626</v>
      </c>
      <c r="C138" s="2" t="s">
        <v>25</v>
      </c>
      <c r="D138" s="192" t="s">
        <v>3069</v>
      </c>
      <c r="E138" s="192">
        <v>10</v>
      </c>
      <c r="F138" s="74">
        <v>2100</v>
      </c>
      <c r="G138" s="45">
        <f t="shared" si="7"/>
        <v>21000</v>
      </c>
      <c r="H138" s="119" t="s">
        <v>46</v>
      </c>
      <c r="I138" s="128" t="s">
        <v>3219</v>
      </c>
      <c r="J138" s="74">
        <f>1001+1099</f>
        <v>2100</v>
      </c>
      <c r="K138" s="74">
        <v>21</v>
      </c>
      <c r="L138" s="156">
        <v>45379</v>
      </c>
      <c r="M138" s="90">
        <v>21000</v>
      </c>
      <c r="N138" s="90">
        <v>200</v>
      </c>
      <c r="O138" s="90" t="s">
        <v>741</v>
      </c>
      <c r="P138" s="94" t="s">
        <v>28</v>
      </c>
      <c r="Q138" s="94">
        <v>8500069369</v>
      </c>
      <c r="R138" s="94">
        <v>5000370950</v>
      </c>
      <c r="S138" s="74">
        <f>1001+1099</f>
        <v>2100</v>
      </c>
      <c r="T138" s="90" t="s">
        <v>1558</v>
      </c>
      <c r="U138" s="90">
        <v>8500069367</v>
      </c>
      <c r="V138" s="90">
        <v>5000373713</v>
      </c>
      <c r="W138" s="109">
        <v>45405</v>
      </c>
      <c r="X138" s="106">
        <v>2100</v>
      </c>
      <c r="Y138" s="106">
        <v>21000</v>
      </c>
      <c r="Z138" s="106" t="s">
        <v>3415</v>
      </c>
      <c r="AA138" s="106">
        <f t="shared" si="4"/>
        <v>0</v>
      </c>
      <c r="AB138" s="106">
        <f t="shared" si="5"/>
        <v>0</v>
      </c>
      <c r="AC138" s="111"/>
      <c r="AD138" s="94"/>
      <c r="AE138" s="110"/>
      <c r="AF138" s="110"/>
      <c r="AG138" s="110"/>
      <c r="AH138" s="99"/>
    </row>
    <row r="139" spans="1:34" ht="27.75" customHeight="1">
      <c r="A139" s="90" t="s">
        <v>24</v>
      </c>
      <c r="B139" s="88">
        <v>6000029627</v>
      </c>
      <c r="C139" s="2" t="s">
        <v>25</v>
      </c>
      <c r="D139" s="192" t="s">
        <v>3068</v>
      </c>
      <c r="E139" s="192">
        <v>10</v>
      </c>
      <c r="F139" s="74">
        <v>2100</v>
      </c>
      <c r="G139" s="45">
        <f t="shared" si="7"/>
        <v>21000</v>
      </c>
      <c r="H139" s="119" t="s">
        <v>46</v>
      </c>
      <c r="I139" s="128">
        <v>45363</v>
      </c>
      <c r="J139" s="74">
        <v>2100</v>
      </c>
      <c r="K139" s="74">
        <v>21</v>
      </c>
      <c r="L139" s="156" t="s">
        <v>3147</v>
      </c>
      <c r="M139" s="90">
        <f>10200+10800</f>
        <v>21000</v>
      </c>
      <c r="N139" s="90">
        <f>210+20</f>
        <v>230</v>
      </c>
      <c r="O139" s="90" t="s">
        <v>1743</v>
      </c>
      <c r="P139" s="94" t="s">
        <v>28</v>
      </c>
      <c r="Q139" s="94">
        <v>8500069371</v>
      </c>
      <c r="R139" s="94">
        <v>5000296085</v>
      </c>
      <c r="S139" s="74">
        <v>2100</v>
      </c>
      <c r="T139" s="90" t="s">
        <v>1558</v>
      </c>
      <c r="U139" s="90">
        <v>8500069370</v>
      </c>
      <c r="V139" s="90">
        <v>5000313165</v>
      </c>
      <c r="W139" s="109">
        <v>45376</v>
      </c>
      <c r="X139" s="106">
        <v>2100</v>
      </c>
      <c r="Y139" s="106">
        <v>21000</v>
      </c>
      <c r="Z139" s="106" t="s">
        <v>3188</v>
      </c>
      <c r="AA139" s="106">
        <f t="shared" si="4"/>
        <v>0</v>
      </c>
      <c r="AB139" s="106">
        <f t="shared" si="5"/>
        <v>0</v>
      </c>
      <c r="AC139" s="94" t="s">
        <v>3233</v>
      </c>
      <c r="AD139" s="94"/>
      <c r="AE139" s="94"/>
      <c r="AF139" s="94"/>
      <c r="AG139" s="94"/>
      <c r="AH139" s="263"/>
    </row>
    <row r="140" spans="1:34" ht="26.25" customHeight="1">
      <c r="A140" s="90" t="s">
        <v>24</v>
      </c>
      <c r="B140" s="88">
        <v>6000029629</v>
      </c>
      <c r="C140" s="2" t="s">
        <v>25</v>
      </c>
      <c r="D140" s="192" t="s">
        <v>3070</v>
      </c>
      <c r="E140" s="192">
        <v>10</v>
      </c>
      <c r="F140" s="74">
        <v>2100</v>
      </c>
      <c r="G140" s="45">
        <f t="shared" si="7"/>
        <v>21000</v>
      </c>
      <c r="H140" s="119" t="s">
        <v>46</v>
      </c>
      <c r="I140" s="128">
        <v>45378</v>
      </c>
      <c r="J140" s="74">
        <v>2100</v>
      </c>
      <c r="K140" s="74">
        <v>14</v>
      </c>
      <c r="L140" s="156" t="s">
        <v>3219</v>
      </c>
      <c r="M140" s="90">
        <f>10200+10800</f>
        <v>21000</v>
      </c>
      <c r="N140" s="90">
        <v>230</v>
      </c>
      <c r="O140" s="90" t="s">
        <v>1743</v>
      </c>
      <c r="P140" s="94" t="s">
        <v>28</v>
      </c>
      <c r="Q140" s="94">
        <v>8500069373</v>
      </c>
      <c r="R140" s="94">
        <v>5000369513</v>
      </c>
      <c r="S140" s="74">
        <v>2100</v>
      </c>
      <c r="T140" s="90" t="s">
        <v>1558</v>
      </c>
      <c r="U140" s="90">
        <v>8500069372</v>
      </c>
      <c r="V140" s="90">
        <v>5000373716</v>
      </c>
      <c r="W140" s="109">
        <v>45405</v>
      </c>
      <c r="X140" s="106">
        <v>2100</v>
      </c>
      <c r="Y140" s="106">
        <v>21000</v>
      </c>
      <c r="Z140" s="106" t="s">
        <v>1981</v>
      </c>
      <c r="AA140" s="106">
        <f t="shared" si="4"/>
        <v>0</v>
      </c>
      <c r="AB140" s="106">
        <f t="shared" si="5"/>
        <v>0</v>
      </c>
      <c r="AC140" s="94" t="s">
        <v>3461</v>
      </c>
      <c r="AD140" s="94" t="s">
        <v>3472</v>
      </c>
      <c r="AE140" s="94"/>
      <c r="AF140" s="94"/>
      <c r="AG140" s="94"/>
      <c r="AH140" s="263"/>
    </row>
    <row r="141" spans="1:34" ht="26.25" customHeight="1">
      <c r="A141" s="90" t="s">
        <v>24</v>
      </c>
      <c r="B141" s="88">
        <v>6000029630</v>
      </c>
      <c r="C141" s="2" t="s">
        <v>25</v>
      </c>
      <c r="D141" s="192" t="s">
        <v>3071</v>
      </c>
      <c r="E141" s="192">
        <v>10</v>
      </c>
      <c r="F141" s="74">
        <v>2100</v>
      </c>
      <c r="G141" s="45">
        <f t="shared" si="7"/>
        <v>21000</v>
      </c>
      <c r="H141" s="119" t="s">
        <v>46</v>
      </c>
      <c r="I141" s="128">
        <v>45363</v>
      </c>
      <c r="J141" s="74">
        <v>2100</v>
      </c>
      <c r="K141" s="74">
        <v>21</v>
      </c>
      <c r="L141" s="156">
        <v>45367</v>
      </c>
      <c r="M141" s="90">
        <f>16200+4800</f>
        <v>21000</v>
      </c>
      <c r="N141" s="90">
        <f>210+20</f>
        <v>230</v>
      </c>
      <c r="O141" s="90" t="s">
        <v>3149</v>
      </c>
      <c r="P141" s="94" t="s">
        <v>28</v>
      </c>
      <c r="Q141" s="94">
        <v>8500069375</v>
      </c>
      <c r="R141" s="94">
        <v>5000296097</v>
      </c>
      <c r="S141" s="74">
        <v>2100</v>
      </c>
      <c r="T141" s="90" t="s">
        <v>1558</v>
      </c>
      <c r="U141" s="90">
        <v>8500069372</v>
      </c>
      <c r="V141" s="90">
        <v>5000314804</v>
      </c>
      <c r="W141" s="109">
        <v>45387</v>
      </c>
      <c r="X141" s="106">
        <v>2100</v>
      </c>
      <c r="Y141" s="106">
        <v>21000</v>
      </c>
      <c r="Z141" s="106" t="s">
        <v>3236</v>
      </c>
      <c r="AA141" s="106">
        <f t="shared" ref="AA141:AA197" si="8">J141-X141</f>
        <v>0</v>
      </c>
      <c r="AB141" s="106">
        <f t="shared" ref="AB141:AB197" si="9">M141-Y141</f>
        <v>0</v>
      </c>
      <c r="AC141" s="94"/>
      <c r="AD141" s="94"/>
      <c r="AE141" s="94"/>
      <c r="AF141" s="94"/>
      <c r="AG141" s="94"/>
      <c r="AH141" s="263"/>
    </row>
    <row r="142" spans="1:34" ht="26.25" customHeight="1">
      <c r="A142" s="90" t="s">
        <v>24</v>
      </c>
      <c r="B142" s="88">
        <v>6000029631</v>
      </c>
      <c r="C142" s="2" t="s">
        <v>25</v>
      </c>
      <c r="D142" s="192" t="s">
        <v>3072</v>
      </c>
      <c r="E142" s="192">
        <v>10</v>
      </c>
      <c r="F142" s="74">
        <v>2100</v>
      </c>
      <c r="G142" s="45">
        <f t="shared" si="7"/>
        <v>21000</v>
      </c>
      <c r="H142" s="119" t="s">
        <v>46</v>
      </c>
      <c r="I142" s="128">
        <v>45371</v>
      </c>
      <c r="J142" s="74">
        <v>2100</v>
      </c>
      <c r="K142" s="74">
        <v>20</v>
      </c>
      <c r="L142" s="156">
        <v>45372</v>
      </c>
      <c r="M142" s="90">
        <v>21000</v>
      </c>
      <c r="N142" s="90">
        <v>230</v>
      </c>
      <c r="O142" s="90"/>
      <c r="P142" s="94" t="s">
        <v>28</v>
      </c>
      <c r="Q142" s="94">
        <v>8500069377</v>
      </c>
      <c r="R142" s="94">
        <v>5000332605</v>
      </c>
      <c r="S142" s="74">
        <v>2100</v>
      </c>
      <c r="T142" s="90" t="s">
        <v>1558</v>
      </c>
      <c r="U142" s="90">
        <v>8500069376</v>
      </c>
      <c r="V142" s="90">
        <v>5000338025</v>
      </c>
      <c r="W142" s="109">
        <v>45399</v>
      </c>
      <c r="X142" s="106">
        <v>2100</v>
      </c>
      <c r="Y142" s="106">
        <v>21000</v>
      </c>
      <c r="Z142" s="106" t="s">
        <v>3343</v>
      </c>
      <c r="AA142" s="106">
        <f t="shared" si="8"/>
        <v>0</v>
      </c>
      <c r="AB142" s="106">
        <f t="shared" si="9"/>
        <v>0</v>
      </c>
      <c r="AC142" s="94"/>
      <c r="AD142" s="94"/>
      <c r="AE142" s="94"/>
      <c r="AF142" s="94"/>
      <c r="AG142" s="94"/>
      <c r="AH142" s="263"/>
    </row>
    <row r="143" spans="1:34" ht="26.25" customHeight="1">
      <c r="A143" s="90" t="s">
        <v>24</v>
      </c>
      <c r="B143" s="88">
        <v>6000029632</v>
      </c>
      <c r="C143" s="2" t="s">
        <v>25</v>
      </c>
      <c r="D143" s="192" t="s">
        <v>3073</v>
      </c>
      <c r="E143" s="192">
        <v>10</v>
      </c>
      <c r="F143" s="74">
        <v>1500</v>
      </c>
      <c r="G143" s="45">
        <f t="shared" si="7"/>
        <v>15000</v>
      </c>
      <c r="H143" s="119" t="s">
        <v>46</v>
      </c>
      <c r="I143" s="128">
        <v>45378</v>
      </c>
      <c r="J143" s="74">
        <v>1500</v>
      </c>
      <c r="K143" s="74">
        <v>10</v>
      </c>
      <c r="L143" s="156">
        <v>45378</v>
      </c>
      <c r="M143" s="90">
        <v>15000</v>
      </c>
      <c r="N143" s="90">
        <f>150+20</f>
        <v>170</v>
      </c>
      <c r="O143" s="90"/>
      <c r="P143" s="94" t="s">
        <v>28</v>
      </c>
      <c r="Q143" s="94">
        <v>8500069379</v>
      </c>
      <c r="R143" s="94">
        <v>5000369515</v>
      </c>
      <c r="S143" s="74">
        <v>1500</v>
      </c>
      <c r="T143" s="90" t="s">
        <v>1558</v>
      </c>
      <c r="U143" s="90">
        <v>8500069378</v>
      </c>
      <c r="V143" s="90">
        <v>5000365955</v>
      </c>
      <c r="W143" s="109">
        <v>45405</v>
      </c>
      <c r="X143" s="106">
        <v>1500</v>
      </c>
      <c r="Y143" s="106">
        <v>15000</v>
      </c>
      <c r="Z143" s="106" t="s">
        <v>3412</v>
      </c>
      <c r="AA143" s="106">
        <f t="shared" si="8"/>
        <v>0</v>
      </c>
      <c r="AB143" s="106">
        <f t="shared" si="9"/>
        <v>0</v>
      </c>
      <c r="AC143" s="94"/>
      <c r="AD143" s="94"/>
      <c r="AE143" s="94"/>
      <c r="AF143" s="94"/>
      <c r="AG143" s="94"/>
      <c r="AH143" s="263"/>
    </row>
    <row r="144" spans="1:34" ht="26.25" customHeight="1">
      <c r="A144" s="90"/>
      <c r="B144" s="88"/>
      <c r="C144" s="2"/>
      <c r="D144" s="192"/>
      <c r="E144" s="192">
        <v>10</v>
      </c>
      <c r="F144" s="74">
        <v>600</v>
      </c>
      <c r="G144" s="45">
        <f t="shared" si="7"/>
        <v>6000</v>
      </c>
      <c r="H144" s="119" t="s">
        <v>37</v>
      </c>
      <c r="I144" s="128">
        <v>45378</v>
      </c>
      <c r="J144" s="74">
        <v>600</v>
      </c>
      <c r="K144" s="74">
        <v>10</v>
      </c>
      <c r="L144" s="156">
        <v>45378</v>
      </c>
      <c r="M144" s="90">
        <v>6000</v>
      </c>
      <c r="N144" s="90">
        <f>60+20</f>
        <v>80</v>
      </c>
      <c r="O144" s="90"/>
      <c r="P144" s="94" t="s">
        <v>28</v>
      </c>
      <c r="Q144" s="94">
        <v>8500069379</v>
      </c>
      <c r="R144" s="94">
        <v>5000369515</v>
      </c>
      <c r="S144" s="74">
        <v>600</v>
      </c>
      <c r="T144" s="90" t="s">
        <v>1558</v>
      </c>
      <c r="U144" s="90">
        <v>8500069378</v>
      </c>
      <c r="V144" s="90">
        <v>5000365955</v>
      </c>
      <c r="W144" s="109">
        <v>45402</v>
      </c>
      <c r="X144" s="106">
        <v>600</v>
      </c>
      <c r="Y144" s="106">
        <v>6000</v>
      </c>
      <c r="Z144" s="106" t="s">
        <v>3374</v>
      </c>
      <c r="AA144" s="106">
        <f t="shared" si="8"/>
        <v>0</v>
      </c>
      <c r="AB144" s="106">
        <f t="shared" si="9"/>
        <v>0</v>
      </c>
      <c r="AC144" s="94" t="s">
        <v>3441</v>
      </c>
      <c r="AD144" s="94"/>
      <c r="AE144" s="94"/>
      <c r="AF144" s="94"/>
      <c r="AG144" s="94"/>
      <c r="AH144" s="263"/>
    </row>
    <row r="145" spans="1:34" ht="26.25" customHeight="1">
      <c r="A145" s="90" t="s">
        <v>24</v>
      </c>
      <c r="B145" s="88">
        <v>6000029633</v>
      </c>
      <c r="C145" s="2" t="s">
        <v>25</v>
      </c>
      <c r="D145" s="192" t="s">
        <v>3074</v>
      </c>
      <c r="E145" s="192">
        <v>10</v>
      </c>
      <c r="F145" s="74">
        <v>2100</v>
      </c>
      <c r="G145" s="45">
        <f t="shared" si="7"/>
        <v>21000</v>
      </c>
      <c r="H145" s="119" t="s">
        <v>46</v>
      </c>
      <c r="I145" s="128">
        <v>45371</v>
      </c>
      <c r="J145" s="74">
        <v>2100</v>
      </c>
      <c r="K145" s="74">
        <v>25</v>
      </c>
      <c r="L145" s="156" t="s">
        <v>3185</v>
      </c>
      <c r="M145" s="90">
        <f>10200+10800</f>
        <v>21000</v>
      </c>
      <c r="N145" s="90">
        <f>210+20</f>
        <v>230</v>
      </c>
      <c r="O145" s="90"/>
      <c r="P145" s="94" t="s">
        <v>28</v>
      </c>
      <c r="Q145" s="94">
        <v>8500069381</v>
      </c>
      <c r="R145" s="94">
        <v>5000332608</v>
      </c>
      <c r="S145" s="74">
        <v>2100</v>
      </c>
      <c r="T145" s="90" t="s">
        <v>1558</v>
      </c>
      <c r="U145" s="90">
        <v>8500069380</v>
      </c>
      <c r="V145" s="90">
        <v>5000341793</v>
      </c>
      <c r="W145" s="109">
        <v>45388</v>
      </c>
      <c r="X145" s="106">
        <v>2100</v>
      </c>
      <c r="Y145" s="106">
        <v>21000</v>
      </c>
      <c r="Z145" s="106" t="s">
        <v>3275</v>
      </c>
      <c r="AA145" s="106">
        <f t="shared" si="8"/>
        <v>0</v>
      </c>
      <c r="AB145" s="106">
        <f t="shared" si="9"/>
        <v>0</v>
      </c>
      <c r="AC145" s="94"/>
      <c r="AD145" s="94"/>
      <c r="AE145" s="94"/>
      <c r="AF145" s="94"/>
      <c r="AG145" s="94"/>
      <c r="AH145" s="263"/>
    </row>
    <row r="146" spans="1:34" ht="26.25" customHeight="1">
      <c r="A146" s="90" t="s">
        <v>24</v>
      </c>
      <c r="B146" s="88">
        <v>6000029634</v>
      </c>
      <c r="C146" s="2" t="s">
        <v>25</v>
      </c>
      <c r="D146" s="192" t="s">
        <v>3075</v>
      </c>
      <c r="E146" s="192">
        <v>10</v>
      </c>
      <c r="F146" s="74">
        <v>600</v>
      </c>
      <c r="G146" s="45">
        <f t="shared" si="7"/>
        <v>6000</v>
      </c>
      <c r="H146" s="119" t="s">
        <v>46</v>
      </c>
      <c r="I146" s="128">
        <v>45378</v>
      </c>
      <c r="J146" s="74">
        <v>600</v>
      </c>
      <c r="K146" s="74">
        <v>10</v>
      </c>
      <c r="L146" s="156">
        <v>45380</v>
      </c>
      <c r="M146" s="90">
        <v>6000</v>
      </c>
      <c r="N146" s="90">
        <v>80</v>
      </c>
      <c r="O146" s="90" t="s">
        <v>1403</v>
      </c>
      <c r="P146" s="94" t="s">
        <v>28</v>
      </c>
      <c r="Q146" s="94">
        <v>8500069384</v>
      </c>
      <c r="R146" s="94">
        <v>5000369516</v>
      </c>
      <c r="S146" s="74">
        <v>600</v>
      </c>
      <c r="T146" s="90" t="s">
        <v>1558</v>
      </c>
      <c r="U146" s="90">
        <v>8500069383</v>
      </c>
      <c r="V146" s="90">
        <v>5000375652</v>
      </c>
      <c r="W146" s="109">
        <v>45402</v>
      </c>
      <c r="X146" s="106">
        <v>600</v>
      </c>
      <c r="Y146" s="106">
        <v>6000</v>
      </c>
      <c r="Z146" s="106" t="s">
        <v>3390</v>
      </c>
      <c r="AA146" s="106">
        <f t="shared" si="8"/>
        <v>0</v>
      </c>
      <c r="AB146" s="106">
        <f t="shared" si="9"/>
        <v>0</v>
      </c>
      <c r="AC146" s="94"/>
      <c r="AD146" s="94"/>
      <c r="AE146" s="94"/>
      <c r="AF146" s="94"/>
      <c r="AG146" s="94"/>
      <c r="AH146" s="263"/>
    </row>
    <row r="147" spans="1:34" ht="26.25" customHeight="1">
      <c r="A147" s="90"/>
      <c r="B147" s="88"/>
      <c r="C147" s="2"/>
      <c r="D147" s="192"/>
      <c r="E147" s="192">
        <v>10</v>
      </c>
      <c r="F147" s="74">
        <v>1500</v>
      </c>
      <c r="G147" s="45">
        <f t="shared" si="7"/>
        <v>15000</v>
      </c>
      <c r="H147" s="119" t="s">
        <v>37</v>
      </c>
      <c r="I147" s="128">
        <v>45379</v>
      </c>
      <c r="J147" s="74">
        <v>1500</v>
      </c>
      <c r="K147" s="74">
        <v>18</v>
      </c>
      <c r="L147" s="156">
        <v>45380</v>
      </c>
      <c r="M147" s="90">
        <v>15000</v>
      </c>
      <c r="N147" s="90">
        <v>170</v>
      </c>
      <c r="O147" s="90"/>
      <c r="P147" s="94" t="s">
        <v>28</v>
      </c>
      <c r="Q147" s="94">
        <v>8500069384</v>
      </c>
      <c r="R147" s="94">
        <v>5000370953</v>
      </c>
      <c r="S147" s="74">
        <v>1500</v>
      </c>
      <c r="T147" s="90" t="s">
        <v>1558</v>
      </c>
      <c r="U147" s="90">
        <v>8500069383</v>
      </c>
      <c r="V147" s="90">
        <v>5000375652</v>
      </c>
      <c r="W147" s="109">
        <v>45399</v>
      </c>
      <c r="X147" s="106">
        <v>1500</v>
      </c>
      <c r="Y147" s="106">
        <v>15000</v>
      </c>
      <c r="Z147" s="106" t="s">
        <v>3374</v>
      </c>
      <c r="AA147" s="106">
        <f t="shared" si="8"/>
        <v>0</v>
      </c>
      <c r="AB147" s="106">
        <f t="shared" si="9"/>
        <v>0</v>
      </c>
      <c r="AC147" s="94" t="s">
        <v>3432</v>
      </c>
      <c r="AD147" s="94"/>
      <c r="AE147" s="94"/>
      <c r="AF147" s="94"/>
      <c r="AG147" s="94"/>
      <c r="AH147" s="263"/>
    </row>
    <row r="148" spans="1:34" ht="26.25" customHeight="1">
      <c r="A148" s="90" t="s">
        <v>715</v>
      </c>
      <c r="B148" s="88">
        <v>6000029482</v>
      </c>
      <c r="C148" s="2" t="s">
        <v>716</v>
      </c>
      <c r="D148" s="192">
        <v>6000029482</v>
      </c>
      <c r="E148" s="192">
        <v>10</v>
      </c>
      <c r="F148" s="74">
        <v>950</v>
      </c>
      <c r="G148" s="45">
        <f t="shared" si="7"/>
        <v>9500</v>
      </c>
      <c r="H148" s="119" t="s">
        <v>146</v>
      </c>
      <c r="I148" s="128">
        <v>45380</v>
      </c>
      <c r="J148" s="74">
        <v>950</v>
      </c>
      <c r="K148" s="74">
        <v>10</v>
      </c>
      <c r="L148" s="156">
        <v>45378</v>
      </c>
      <c r="M148" s="90">
        <v>9500</v>
      </c>
      <c r="N148" s="90">
        <v>95</v>
      </c>
      <c r="O148" s="90"/>
      <c r="P148" s="94" t="s">
        <v>924</v>
      </c>
      <c r="Q148" s="94">
        <v>8500069394</v>
      </c>
      <c r="R148" s="94"/>
      <c r="S148" s="74">
        <v>950</v>
      </c>
      <c r="T148" s="90" t="s">
        <v>87</v>
      </c>
      <c r="U148" s="90">
        <v>8500069857</v>
      </c>
      <c r="V148" s="90"/>
      <c r="W148" s="109">
        <v>45407</v>
      </c>
      <c r="X148" s="106">
        <v>950</v>
      </c>
      <c r="Y148" s="106">
        <v>9500</v>
      </c>
      <c r="Z148" s="106" t="s">
        <v>759</v>
      </c>
      <c r="AA148" s="106">
        <f t="shared" si="8"/>
        <v>0</v>
      </c>
      <c r="AB148" s="106">
        <f t="shared" si="9"/>
        <v>0</v>
      </c>
      <c r="AC148" s="94"/>
      <c r="AD148" s="94"/>
      <c r="AE148" s="94"/>
      <c r="AF148" s="94"/>
      <c r="AG148" s="94"/>
      <c r="AH148" s="263"/>
    </row>
    <row r="149" spans="1:34" ht="26.25" customHeight="1">
      <c r="A149" s="90"/>
      <c r="B149" s="88"/>
      <c r="C149" s="2"/>
      <c r="D149" s="192"/>
      <c r="E149" s="192">
        <v>10</v>
      </c>
      <c r="F149" s="74"/>
      <c r="G149" s="45">
        <f t="shared" si="7"/>
        <v>0</v>
      </c>
      <c r="H149" s="119" t="s">
        <v>3216</v>
      </c>
      <c r="I149" s="128">
        <v>45380</v>
      </c>
      <c r="J149" s="74">
        <v>950</v>
      </c>
      <c r="K149" s="74">
        <v>20</v>
      </c>
      <c r="L149" s="156"/>
      <c r="M149" s="90"/>
      <c r="N149" s="90"/>
      <c r="O149" s="90"/>
      <c r="P149" s="94" t="s">
        <v>924</v>
      </c>
      <c r="Q149" s="94"/>
      <c r="R149" s="94"/>
      <c r="S149" s="74">
        <v>950</v>
      </c>
      <c r="T149" s="90"/>
      <c r="U149" s="90"/>
      <c r="V149" s="90"/>
      <c r="W149" s="109"/>
      <c r="X149" s="106">
        <v>950</v>
      </c>
      <c r="Y149" s="106"/>
      <c r="Z149" s="106"/>
      <c r="AA149" s="106">
        <f t="shared" si="8"/>
        <v>0</v>
      </c>
      <c r="AB149" s="106">
        <f t="shared" si="9"/>
        <v>0</v>
      </c>
      <c r="AC149" s="94"/>
      <c r="AD149" s="94"/>
      <c r="AE149" s="94"/>
      <c r="AF149" s="94"/>
      <c r="AG149" s="94"/>
      <c r="AH149" s="263"/>
    </row>
    <row r="150" spans="1:34" ht="26.25" customHeight="1">
      <c r="A150" s="90" t="s">
        <v>1610</v>
      </c>
      <c r="B150" s="88">
        <v>6000029536</v>
      </c>
      <c r="C150" s="2" t="s">
        <v>1752</v>
      </c>
      <c r="D150" s="2" t="s">
        <v>3184</v>
      </c>
      <c r="E150" s="192">
        <v>4</v>
      </c>
      <c r="F150" s="74">
        <v>4850</v>
      </c>
      <c r="G150" s="45">
        <f t="shared" si="7"/>
        <v>19400</v>
      </c>
      <c r="H150" s="119" t="s">
        <v>146</v>
      </c>
      <c r="I150" s="128" t="s">
        <v>3288</v>
      </c>
      <c r="J150" s="74">
        <f>3370+1420+60</f>
        <v>4850</v>
      </c>
      <c r="K150" s="74">
        <v>50</v>
      </c>
      <c r="L150" s="156">
        <v>45374</v>
      </c>
      <c r="M150" s="90">
        <v>19400</v>
      </c>
      <c r="N150" s="90">
        <v>97</v>
      </c>
      <c r="O150" s="90"/>
      <c r="P150" s="94" t="s">
        <v>160</v>
      </c>
      <c r="Q150" s="94">
        <v>8500069732</v>
      </c>
      <c r="R150" s="111" t="s">
        <v>3289</v>
      </c>
      <c r="S150" s="74">
        <f>3370+1420+60</f>
        <v>4850</v>
      </c>
      <c r="T150" s="90" t="s">
        <v>152</v>
      </c>
      <c r="U150" s="90">
        <v>8500069731</v>
      </c>
      <c r="V150" s="90">
        <v>5000374012</v>
      </c>
      <c r="W150" s="109" t="s">
        <v>3342</v>
      </c>
      <c r="X150" s="106">
        <f>4830+20</f>
        <v>4850</v>
      </c>
      <c r="Y150" s="106">
        <f>19320+80</f>
        <v>19400</v>
      </c>
      <c r="Z150" s="106" t="s">
        <v>1793</v>
      </c>
      <c r="AA150" s="106">
        <f>J150-X150</f>
        <v>0</v>
      </c>
      <c r="AB150" s="106">
        <f>M150-Y150</f>
        <v>0</v>
      </c>
      <c r="AC150" s="94"/>
      <c r="AD150" s="94"/>
      <c r="AE150" s="94"/>
      <c r="AF150" s="94"/>
      <c r="AG150" s="94"/>
      <c r="AH150" s="263"/>
    </row>
    <row r="151" spans="1:34" ht="26.25" customHeight="1">
      <c r="A151" s="90" t="s">
        <v>1610</v>
      </c>
      <c r="B151" s="88">
        <v>6000029340</v>
      </c>
      <c r="C151" s="2" t="s">
        <v>1752</v>
      </c>
      <c r="D151" s="2" t="s">
        <v>3163</v>
      </c>
      <c r="E151" s="192">
        <v>4</v>
      </c>
      <c r="F151" s="74">
        <v>4900</v>
      </c>
      <c r="G151" s="45">
        <f t="shared" ref="G151:G205" si="10">E151*F151</f>
        <v>19600</v>
      </c>
      <c r="H151" s="119" t="s">
        <v>146</v>
      </c>
      <c r="I151" s="128">
        <v>45371</v>
      </c>
      <c r="J151" s="74">
        <f>4809 +91</f>
        <v>4900</v>
      </c>
      <c r="K151" s="74">
        <v>51</v>
      </c>
      <c r="L151" s="156">
        <v>45373</v>
      </c>
      <c r="M151" s="90">
        <v>19600</v>
      </c>
      <c r="N151" s="90">
        <v>98</v>
      </c>
      <c r="O151" s="90"/>
      <c r="P151" s="94" t="s">
        <v>160</v>
      </c>
      <c r="Q151" s="94">
        <v>8500070041</v>
      </c>
      <c r="R151" s="94">
        <v>5000374987</v>
      </c>
      <c r="S151" s="94">
        <v>4900</v>
      </c>
      <c r="T151" s="90" t="s">
        <v>152</v>
      </c>
      <c r="U151" s="90">
        <v>8500070040</v>
      </c>
      <c r="V151" s="90">
        <v>5000374986</v>
      </c>
      <c r="W151" s="109" t="s">
        <v>3259</v>
      </c>
      <c r="X151" s="106">
        <f>4859+41</f>
        <v>4900</v>
      </c>
      <c r="Y151" s="106">
        <f>19436+164</f>
        <v>19600</v>
      </c>
      <c r="Z151" s="106" t="s">
        <v>3260</v>
      </c>
      <c r="AA151" s="106">
        <f>J151-X151</f>
        <v>0</v>
      </c>
      <c r="AB151" s="106">
        <f>M151-Y151</f>
        <v>0</v>
      </c>
      <c r="AC151" s="94" t="s">
        <v>3217</v>
      </c>
      <c r="AD151" s="94"/>
      <c r="AE151" s="94"/>
      <c r="AF151" s="94"/>
      <c r="AG151" s="94"/>
      <c r="AH151" s="263"/>
    </row>
    <row r="152" spans="1:34" ht="26.25" customHeight="1">
      <c r="A152" s="268" t="s">
        <v>1610</v>
      </c>
      <c r="B152" s="266">
        <v>6000029342</v>
      </c>
      <c r="C152" s="267" t="s">
        <v>1611</v>
      </c>
      <c r="D152" s="267" t="s">
        <v>3076</v>
      </c>
      <c r="E152" s="271"/>
      <c r="F152" s="271"/>
      <c r="G152" s="329"/>
      <c r="H152" s="119"/>
      <c r="I152" s="128" t="s">
        <v>895</v>
      </c>
      <c r="J152" s="74"/>
      <c r="K152" s="74"/>
      <c r="L152" s="156"/>
      <c r="M152" s="90"/>
      <c r="N152" s="90"/>
      <c r="O152" s="90"/>
      <c r="P152" s="94" t="s">
        <v>895</v>
      </c>
      <c r="Q152" s="94">
        <v>8500069299</v>
      </c>
      <c r="R152" s="94">
        <v>5000355640</v>
      </c>
      <c r="S152" s="94"/>
      <c r="T152" s="90" t="s">
        <v>2073</v>
      </c>
      <c r="U152" s="90">
        <v>8500069297</v>
      </c>
      <c r="V152" s="90">
        <v>5000360520</v>
      </c>
      <c r="W152" s="109"/>
      <c r="X152" s="106"/>
      <c r="Y152" s="106"/>
      <c r="Z152" s="106"/>
      <c r="AA152" s="106">
        <f t="shared" si="8"/>
        <v>0</v>
      </c>
      <c r="AB152" s="106">
        <f t="shared" si="9"/>
        <v>0</v>
      </c>
      <c r="AC152" s="94" t="s">
        <v>3268</v>
      </c>
      <c r="AD152" s="94"/>
      <c r="AE152" s="94"/>
      <c r="AF152" s="94"/>
      <c r="AG152" s="94"/>
      <c r="AH152" s="263"/>
    </row>
    <row r="153" spans="1:34" ht="26.25" customHeight="1">
      <c r="A153" s="268" t="s">
        <v>1610</v>
      </c>
      <c r="B153" s="266">
        <v>6000029343</v>
      </c>
      <c r="C153" s="267" t="s">
        <v>1611</v>
      </c>
      <c r="D153" s="267" t="s">
        <v>3077</v>
      </c>
      <c r="E153" s="269"/>
      <c r="F153" s="74"/>
      <c r="G153" s="45"/>
      <c r="H153" s="119"/>
      <c r="I153" s="128" t="s">
        <v>895</v>
      </c>
      <c r="J153" s="74"/>
      <c r="K153" s="74"/>
      <c r="L153" s="156"/>
      <c r="M153" s="90"/>
      <c r="N153" s="90"/>
      <c r="O153" s="90"/>
      <c r="P153" s="94" t="s">
        <v>895</v>
      </c>
      <c r="Q153" s="94">
        <v>8500069174</v>
      </c>
      <c r="R153" s="94">
        <v>5000393561</v>
      </c>
      <c r="S153" s="94"/>
      <c r="T153" s="90" t="s">
        <v>2073</v>
      </c>
      <c r="U153" s="90"/>
      <c r="V153" s="90"/>
      <c r="W153" s="109"/>
      <c r="X153" s="106"/>
      <c r="Y153" s="106"/>
      <c r="Z153" s="106"/>
      <c r="AA153" s="106">
        <f t="shared" si="8"/>
        <v>0</v>
      </c>
      <c r="AB153" s="106">
        <f t="shared" si="9"/>
        <v>0</v>
      </c>
      <c r="AC153" s="94" t="s">
        <v>3269</v>
      </c>
      <c r="AD153" s="94"/>
      <c r="AE153" s="94"/>
      <c r="AF153" s="94"/>
      <c r="AG153" s="94"/>
      <c r="AH153" s="263"/>
    </row>
    <row r="154" spans="1:34" ht="26.25" customHeight="1">
      <c r="A154" s="268" t="s">
        <v>1610</v>
      </c>
      <c r="B154" s="266">
        <v>6000029344</v>
      </c>
      <c r="C154" s="267" t="s">
        <v>1611</v>
      </c>
      <c r="D154" s="267" t="s">
        <v>3078</v>
      </c>
      <c r="E154" s="269"/>
      <c r="F154" s="271"/>
      <c r="G154" s="329"/>
      <c r="H154" s="119"/>
      <c r="I154" s="128" t="s">
        <v>895</v>
      </c>
      <c r="J154" s="74"/>
      <c r="K154" s="74"/>
      <c r="L154" s="156"/>
      <c r="M154" s="90"/>
      <c r="N154" s="90"/>
      <c r="O154" s="90"/>
      <c r="P154" s="95"/>
      <c r="Q154" s="94"/>
      <c r="R154" s="94"/>
      <c r="S154" s="94"/>
      <c r="T154" s="90" t="s">
        <v>2073</v>
      </c>
      <c r="U154" s="90">
        <v>8500069176</v>
      </c>
      <c r="V154" s="90">
        <v>5000369704</v>
      </c>
      <c r="W154" s="109"/>
      <c r="X154" s="106"/>
      <c r="Y154" s="106"/>
      <c r="Z154" s="106"/>
      <c r="AA154" s="106">
        <f t="shared" si="8"/>
        <v>0</v>
      </c>
      <c r="AB154" s="106">
        <f t="shared" si="9"/>
        <v>0</v>
      </c>
      <c r="AC154" s="94" t="s">
        <v>3270</v>
      </c>
      <c r="AD154" s="94"/>
      <c r="AE154" s="94"/>
      <c r="AF154" s="94"/>
      <c r="AG154" s="94"/>
      <c r="AH154" s="263"/>
    </row>
    <row r="155" spans="1:34" ht="26.25" customHeight="1">
      <c r="A155" s="268" t="s">
        <v>1610</v>
      </c>
      <c r="B155" s="266">
        <v>6000029345</v>
      </c>
      <c r="C155" s="267" t="s">
        <v>1611</v>
      </c>
      <c r="D155" s="267" t="s">
        <v>3079</v>
      </c>
      <c r="E155" s="269"/>
      <c r="F155" s="74"/>
      <c r="G155" s="45"/>
      <c r="H155" s="119"/>
      <c r="I155" s="128" t="s">
        <v>895</v>
      </c>
      <c r="J155" s="74"/>
      <c r="K155" s="74"/>
      <c r="L155" s="156"/>
      <c r="M155" s="90"/>
      <c r="N155" s="90"/>
      <c r="O155" s="90"/>
      <c r="P155" s="94" t="s">
        <v>895</v>
      </c>
      <c r="Q155" s="94">
        <v>8500069182</v>
      </c>
      <c r="R155" s="94">
        <v>5000398800</v>
      </c>
      <c r="S155" s="94"/>
      <c r="T155" s="90" t="s">
        <v>2073</v>
      </c>
      <c r="U155" s="90"/>
      <c r="V155" s="90"/>
      <c r="W155" s="109"/>
      <c r="X155" s="106"/>
      <c r="Y155" s="106"/>
      <c r="Z155" s="106"/>
      <c r="AA155" s="106">
        <f t="shared" si="8"/>
        <v>0</v>
      </c>
      <c r="AB155" s="106">
        <f t="shared" si="9"/>
        <v>0</v>
      </c>
      <c r="AC155" s="94" t="s">
        <v>3272</v>
      </c>
      <c r="AD155" s="94"/>
      <c r="AE155" s="94"/>
      <c r="AF155" s="94"/>
      <c r="AG155" s="94"/>
      <c r="AH155" s="263"/>
    </row>
    <row r="156" spans="1:34" ht="26.25" customHeight="1">
      <c r="A156" s="268" t="s">
        <v>1610</v>
      </c>
      <c r="B156" s="266">
        <v>6000029347</v>
      </c>
      <c r="C156" s="267" t="s">
        <v>1611</v>
      </c>
      <c r="D156" s="267" t="s">
        <v>3080</v>
      </c>
      <c r="E156" s="269"/>
      <c r="F156" s="74"/>
      <c r="G156" s="45"/>
      <c r="H156" s="119"/>
      <c r="I156" s="128" t="s">
        <v>895</v>
      </c>
      <c r="J156" s="74"/>
      <c r="K156" s="74"/>
      <c r="L156" s="156"/>
      <c r="M156" s="90"/>
      <c r="N156" s="90"/>
      <c r="O156" s="90"/>
      <c r="P156" s="94"/>
      <c r="Q156" s="94"/>
      <c r="R156" s="94"/>
      <c r="S156" s="94"/>
      <c r="T156" s="90"/>
      <c r="U156" s="90"/>
      <c r="V156" s="90"/>
      <c r="W156" s="109"/>
      <c r="X156" s="106"/>
      <c r="Y156" s="106"/>
      <c r="Z156" s="106"/>
      <c r="AA156" s="106">
        <f t="shared" si="8"/>
        <v>0</v>
      </c>
      <c r="AB156" s="106">
        <f t="shared" si="9"/>
        <v>0</v>
      </c>
      <c r="AC156" s="94"/>
      <c r="AD156" s="94"/>
      <c r="AE156" s="94"/>
      <c r="AF156" s="94"/>
      <c r="AG156" s="94"/>
      <c r="AH156" s="263"/>
    </row>
    <row r="157" spans="1:34" ht="26.25" customHeight="1">
      <c r="A157" s="268" t="s">
        <v>1610</v>
      </c>
      <c r="B157" s="266">
        <v>6000029353</v>
      </c>
      <c r="C157" s="267" t="s">
        <v>1611</v>
      </c>
      <c r="D157" s="267" t="s">
        <v>3085</v>
      </c>
      <c r="E157" s="94"/>
      <c r="F157" s="74"/>
      <c r="G157" s="45"/>
      <c r="H157" s="119"/>
      <c r="I157" s="128" t="s">
        <v>895</v>
      </c>
      <c r="J157" s="74"/>
      <c r="K157" s="74"/>
      <c r="L157" s="156"/>
      <c r="M157" s="90"/>
      <c r="N157" s="90"/>
      <c r="O157" s="90"/>
      <c r="P157" s="94" t="s">
        <v>895</v>
      </c>
      <c r="Q157" s="94">
        <v>8500069127</v>
      </c>
      <c r="R157" s="94">
        <v>5000369705</v>
      </c>
      <c r="S157" s="94"/>
      <c r="T157" s="90" t="s">
        <v>2073</v>
      </c>
      <c r="U157" s="90">
        <v>8500069125</v>
      </c>
      <c r="V157" s="90">
        <v>5000360495</v>
      </c>
      <c r="W157" s="105"/>
      <c r="X157" s="106"/>
      <c r="Y157" s="106"/>
      <c r="Z157" s="106"/>
      <c r="AA157" s="106">
        <f>J157-X157</f>
        <v>0</v>
      </c>
      <c r="AB157" s="106">
        <f>M157-Y157</f>
        <v>0</v>
      </c>
      <c r="AC157" s="94" t="s">
        <v>3271</v>
      </c>
      <c r="AD157" s="94"/>
      <c r="AE157" s="94"/>
      <c r="AF157" s="94"/>
      <c r="AG157" s="94"/>
      <c r="AH157" s="263"/>
    </row>
    <row r="158" spans="1:34" ht="26.25" customHeight="1">
      <c r="A158" s="268" t="s">
        <v>1610</v>
      </c>
      <c r="B158" s="266">
        <v>6000029357</v>
      </c>
      <c r="C158" s="267" t="s">
        <v>1611</v>
      </c>
      <c r="D158" s="267" t="s">
        <v>3087</v>
      </c>
      <c r="E158" s="94"/>
      <c r="F158" s="74"/>
      <c r="G158" s="45"/>
      <c r="H158" s="119"/>
      <c r="I158" s="128" t="s">
        <v>895</v>
      </c>
      <c r="J158" s="74"/>
      <c r="K158" s="74"/>
      <c r="L158" s="156"/>
      <c r="M158" s="90"/>
      <c r="N158" s="90"/>
      <c r="O158" s="90"/>
      <c r="P158" s="94"/>
      <c r="Q158" s="94"/>
      <c r="R158" s="94"/>
      <c r="S158" s="94"/>
      <c r="T158" s="90"/>
      <c r="U158" s="90"/>
      <c r="V158" s="90"/>
      <c r="W158" s="109"/>
      <c r="X158" s="106"/>
      <c r="Y158" s="106"/>
      <c r="Z158" s="106"/>
      <c r="AA158" s="106">
        <f>J158-X158</f>
        <v>0</v>
      </c>
      <c r="AB158" s="106">
        <f>M158-Y158</f>
        <v>0</v>
      </c>
      <c r="AC158" s="94"/>
      <c r="AD158" s="94"/>
      <c r="AE158" s="94"/>
      <c r="AF158" s="94"/>
      <c r="AG158" s="94"/>
      <c r="AH158" s="263"/>
    </row>
    <row r="159" spans="1:34" ht="26.25" customHeight="1">
      <c r="A159" s="268" t="s">
        <v>1610</v>
      </c>
      <c r="B159" s="266">
        <v>6000029360</v>
      </c>
      <c r="C159" s="267" t="s">
        <v>1611</v>
      </c>
      <c r="D159" s="267" t="s">
        <v>3090</v>
      </c>
      <c r="E159" s="94"/>
      <c r="F159" s="74"/>
      <c r="G159" s="45"/>
      <c r="H159" s="119"/>
      <c r="I159" s="128" t="s">
        <v>895</v>
      </c>
      <c r="J159" s="74"/>
      <c r="K159" s="74"/>
      <c r="L159" s="156"/>
      <c r="M159" s="90"/>
      <c r="N159" s="90"/>
      <c r="O159" s="90"/>
      <c r="P159" s="94"/>
      <c r="Q159" s="94"/>
      <c r="R159" s="94"/>
      <c r="S159" s="94"/>
      <c r="T159" s="90"/>
      <c r="U159" s="90"/>
      <c r="V159" s="90"/>
      <c r="W159" s="105"/>
      <c r="X159" s="106"/>
      <c r="Y159" s="106"/>
      <c r="Z159" s="106"/>
      <c r="AA159" s="106">
        <f>J159-X159</f>
        <v>0</v>
      </c>
      <c r="AB159" s="106">
        <f>M159-Y159</f>
        <v>0</v>
      </c>
      <c r="AC159" s="94"/>
      <c r="AD159" s="94"/>
      <c r="AE159" s="94"/>
      <c r="AF159" s="94"/>
      <c r="AG159" s="94"/>
      <c r="AH159" s="263"/>
    </row>
    <row r="160" spans="1:34" ht="26.25" customHeight="1">
      <c r="A160" s="268" t="s">
        <v>715</v>
      </c>
      <c r="B160" s="266">
        <v>6000029392</v>
      </c>
      <c r="C160" s="267" t="s">
        <v>717</v>
      </c>
      <c r="D160" s="267">
        <v>6000029392</v>
      </c>
      <c r="E160" s="245">
        <v>10</v>
      </c>
      <c r="F160" s="74">
        <v>1400</v>
      </c>
      <c r="G160" s="45">
        <f>E160*F160</f>
        <v>14000</v>
      </c>
      <c r="H160" s="119" t="s">
        <v>46</v>
      </c>
      <c r="I160" s="128">
        <v>45385</v>
      </c>
      <c r="J160" s="74">
        <v>400</v>
      </c>
      <c r="K160" s="74" t="s">
        <v>3261</v>
      </c>
      <c r="L160" s="156">
        <v>45385</v>
      </c>
      <c r="M160" s="90">
        <v>4000</v>
      </c>
      <c r="N160" s="90"/>
      <c r="O160" s="90"/>
      <c r="P160" s="94" t="s">
        <v>1666</v>
      </c>
      <c r="Q160" s="94">
        <v>8500069501</v>
      </c>
      <c r="R160" s="94">
        <v>5000393383</v>
      </c>
      <c r="S160" s="94"/>
      <c r="T160" s="90" t="s">
        <v>1666</v>
      </c>
      <c r="U160" s="90">
        <v>8500069088</v>
      </c>
      <c r="V160" s="90">
        <v>5000355610</v>
      </c>
      <c r="W160" s="109">
        <v>45410</v>
      </c>
      <c r="X160" s="106">
        <v>400</v>
      </c>
      <c r="Y160" s="106">
        <v>4000</v>
      </c>
      <c r="Z160" s="106" t="s">
        <v>1981</v>
      </c>
      <c r="AA160" s="106">
        <f>J160-X160</f>
        <v>0</v>
      </c>
      <c r="AB160" s="106">
        <f>M160-Y160</f>
        <v>0</v>
      </c>
      <c r="AC160" s="94" t="s">
        <v>3520</v>
      </c>
      <c r="AD160" s="94"/>
      <c r="AE160" s="94"/>
      <c r="AF160" s="94"/>
      <c r="AG160" s="94"/>
      <c r="AH160" s="263"/>
    </row>
    <row r="161" spans="1:34" ht="26.25" customHeight="1">
      <c r="A161" s="268" t="s">
        <v>3096</v>
      </c>
      <c r="B161" s="266">
        <v>6000027427</v>
      </c>
      <c r="C161" s="267" t="s">
        <v>3095</v>
      </c>
      <c r="D161" s="267">
        <v>6000027427</v>
      </c>
      <c r="E161" s="94">
        <v>10</v>
      </c>
      <c r="F161" s="74">
        <v>100</v>
      </c>
      <c r="G161" s="45">
        <f>E161*F161</f>
        <v>1000</v>
      </c>
      <c r="H161" s="119" t="s">
        <v>37</v>
      </c>
      <c r="I161" s="128" t="s">
        <v>895</v>
      </c>
      <c r="J161" s="74"/>
      <c r="K161" s="74"/>
      <c r="L161" s="156"/>
      <c r="M161" s="90"/>
      <c r="N161" s="90"/>
      <c r="O161" s="90"/>
      <c r="P161" s="94" t="s">
        <v>895</v>
      </c>
      <c r="Q161" s="94">
        <v>8500068401</v>
      </c>
      <c r="R161" s="94">
        <v>5000360142</v>
      </c>
      <c r="S161" s="94"/>
      <c r="T161" s="90" t="s">
        <v>2073</v>
      </c>
      <c r="U161" s="90">
        <v>8500068400</v>
      </c>
      <c r="V161" s="90">
        <v>5000355497</v>
      </c>
      <c r="W161" s="105"/>
      <c r="X161" s="106"/>
      <c r="Y161" s="106"/>
      <c r="Z161" s="106"/>
      <c r="AA161" s="106">
        <f>J161-X161</f>
        <v>0</v>
      </c>
      <c r="AB161" s="106">
        <f>M161-Y161</f>
        <v>0</v>
      </c>
      <c r="AC161" s="94" t="s">
        <v>3220</v>
      </c>
      <c r="AD161" s="94"/>
      <c r="AE161" s="94"/>
      <c r="AF161" s="94"/>
      <c r="AG161" s="94"/>
      <c r="AH161" s="263"/>
    </row>
    <row r="162" spans="1:34" ht="26.25" customHeight="1">
      <c r="A162" s="90" t="s">
        <v>1610</v>
      </c>
      <c r="B162" s="88">
        <v>6000029349</v>
      </c>
      <c r="C162" s="2" t="s">
        <v>1611</v>
      </c>
      <c r="D162" s="192" t="s">
        <v>3081</v>
      </c>
      <c r="E162" s="94">
        <v>4</v>
      </c>
      <c r="F162" s="74">
        <v>5100</v>
      </c>
      <c r="G162" s="45">
        <f t="shared" si="10"/>
        <v>20400</v>
      </c>
      <c r="H162" s="119" t="s">
        <v>37</v>
      </c>
      <c r="I162" s="128">
        <v>45378</v>
      </c>
      <c r="J162" s="74">
        <v>5100</v>
      </c>
      <c r="K162" s="74">
        <v>53</v>
      </c>
      <c r="L162" s="156">
        <v>45378</v>
      </c>
      <c r="M162" s="90">
        <v>20400</v>
      </c>
      <c r="N162" s="90">
        <v>102</v>
      </c>
      <c r="O162" s="90"/>
      <c r="P162" s="94" t="s">
        <v>160</v>
      </c>
      <c r="Q162" s="94">
        <v>8500069189</v>
      </c>
      <c r="R162" s="94">
        <v>5000364878</v>
      </c>
      <c r="S162" s="74">
        <v>5100</v>
      </c>
      <c r="T162" s="90" t="s">
        <v>152</v>
      </c>
      <c r="U162" s="90">
        <v>8500069188</v>
      </c>
      <c r="V162" s="90">
        <v>5000369458</v>
      </c>
      <c r="W162" s="109">
        <v>45378</v>
      </c>
      <c r="X162" s="106">
        <v>5100</v>
      </c>
      <c r="Y162" s="106">
        <v>20400</v>
      </c>
      <c r="Z162" s="106" t="s">
        <v>927</v>
      </c>
      <c r="AA162" s="106">
        <f t="shared" si="8"/>
        <v>0</v>
      </c>
      <c r="AB162" s="106">
        <f t="shared" si="9"/>
        <v>0</v>
      </c>
      <c r="AC162" s="94"/>
      <c r="AD162" s="94"/>
      <c r="AE162" s="94"/>
      <c r="AF162" s="94"/>
      <c r="AG162" s="94"/>
      <c r="AH162" s="263"/>
    </row>
    <row r="163" spans="1:34" ht="26.25" customHeight="1">
      <c r="A163" s="90" t="s">
        <v>1610</v>
      </c>
      <c r="B163" s="88">
        <v>6000029350</v>
      </c>
      <c r="C163" s="2" t="s">
        <v>1611</v>
      </c>
      <c r="D163" s="192" t="s">
        <v>3082</v>
      </c>
      <c r="E163" s="94">
        <v>4</v>
      </c>
      <c r="F163" s="74">
        <v>5100</v>
      </c>
      <c r="G163" s="45">
        <f>E163*F163</f>
        <v>20400</v>
      </c>
      <c r="H163" s="119" t="s">
        <v>37</v>
      </c>
      <c r="I163" s="128">
        <v>45384</v>
      </c>
      <c r="J163" s="74">
        <v>5100</v>
      </c>
      <c r="K163" s="74">
        <v>53</v>
      </c>
      <c r="L163" s="156">
        <v>45379</v>
      </c>
      <c r="M163" s="90">
        <v>20400</v>
      </c>
      <c r="N163" s="90">
        <v>102</v>
      </c>
      <c r="O163" s="90"/>
      <c r="P163" s="94" t="s">
        <v>160</v>
      </c>
      <c r="Q163" s="94">
        <v>8500069191</v>
      </c>
      <c r="R163" s="94">
        <v>5000393476</v>
      </c>
      <c r="S163" s="74">
        <v>5100</v>
      </c>
      <c r="T163" s="90" t="s">
        <v>152</v>
      </c>
      <c r="U163" s="90">
        <v>8500069190</v>
      </c>
      <c r="V163" s="90">
        <v>5000370781</v>
      </c>
      <c r="W163" s="109">
        <v>45385</v>
      </c>
      <c r="X163" s="106">
        <v>5100</v>
      </c>
      <c r="Y163" s="106">
        <v>20400</v>
      </c>
      <c r="Z163" s="106" t="s">
        <v>927</v>
      </c>
      <c r="AA163" s="106">
        <f t="shared" si="8"/>
        <v>0</v>
      </c>
      <c r="AB163" s="106">
        <f t="shared" si="9"/>
        <v>0</v>
      </c>
      <c r="AC163" s="94"/>
      <c r="AD163" s="94"/>
      <c r="AE163" s="94"/>
      <c r="AF163" s="94"/>
      <c r="AG163" s="94"/>
      <c r="AH163" s="263"/>
    </row>
    <row r="164" spans="1:34" ht="26.25" customHeight="1">
      <c r="A164" s="90" t="s">
        <v>1610</v>
      </c>
      <c r="B164" s="88">
        <v>6000029351</v>
      </c>
      <c r="C164" s="2" t="s">
        <v>1611</v>
      </c>
      <c r="D164" s="192" t="s">
        <v>3083</v>
      </c>
      <c r="E164" s="94">
        <v>4</v>
      </c>
      <c r="F164" s="74">
        <v>5100</v>
      </c>
      <c r="G164" s="45">
        <f>E164*F164</f>
        <v>20400</v>
      </c>
      <c r="H164" s="119" t="s">
        <v>46</v>
      </c>
      <c r="I164" s="128">
        <v>45378</v>
      </c>
      <c r="J164" s="74">
        <v>5100</v>
      </c>
      <c r="K164" s="74">
        <f>52+6</f>
        <v>58</v>
      </c>
      <c r="L164" s="156">
        <v>45379</v>
      </c>
      <c r="M164" s="90">
        <v>20400</v>
      </c>
      <c r="N164" s="90">
        <v>102</v>
      </c>
      <c r="O164" s="90"/>
      <c r="P164" s="94" t="s">
        <v>160</v>
      </c>
      <c r="Q164" s="94">
        <v>8500069194</v>
      </c>
      <c r="R164" s="94">
        <v>5000364892</v>
      </c>
      <c r="S164" s="74">
        <v>5100</v>
      </c>
      <c r="T164" s="90" t="s">
        <v>152</v>
      </c>
      <c r="U164" s="90">
        <v>8500069193</v>
      </c>
      <c r="V164" s="90">
        <v>5000370782</v>
      </c>
      <c r="W164" s="109" t="s">
        <v>3326</v>
      </c>
      <c r="X164" s="106">
        <f>1000+4100</f>
        <v>5100</v>
      </c>
      <c r="Y164" s="106">
        <f>4000+16400</f>
        <v>20400</v>
      </c>
      <c r="Z164" s="106" t="s">
        <v>1059</v>
      </c>
      <c r="AA164" s="106">
        <f t="shared" si="8"/>
        <v>0</v>
      </c>
      <c r="AB164" s="106">
        <f t="shared" si="9"/>
        <v>0</v>
      </c>
      <c r="AC164" s="94"/>
      <c r="AD164" s="94"/>
      <c r="AE164" s="94"/>
      <c r="AF164" s="94"/>
      <c r="AG164" s="94"/>
      <c r="AH164" s="263"/>
    </row>
    <row r="165" spans="1:34" ht="26.25" customHeight="1">
      <c r="A165" s="90" t="s">
        <v>1610</v>
      </c>
      <c r="B165" s="88">
        <v>6000029352</v>
      </c>
      <c r="C165" s="2" t="s">
        <v>1611</v>
      </c>
      <c r="D165" s="192" t="s">
        <v>3084</v>
      </c>
      <c r="E165" s="94">
        <v>4</v>
      </c>
      <c r="F165" s="74">
        <v>5100</v>
      </c>
      <c r="G165" s="45">
        <f>E165*F165</f>
        <v>20400</v>
      </c>
      <c r="H165" s="119" t="s">
        <v>46</v>
      </c>
      <c r="I165" s="128">
        <v>45378</v>
      </c>
      <c r="J165" s="74">
        <v>5100</v>
      </c>
      <c r="K165" s="74">
        <v>53</v>
      </c>
      <c r="L165" s="156">
        <v>45378</v>
      </c>
      <c r="M165" s="90">
        <v>20400</v>
      </c>
      <c r="N165" s="90">
        <v>102</v>
      </c>
      <c r="O165" s="90"/>
      <c r="P165" s="94" t="s">
        <v>160</v>
      </c>
      <c r="Q165" s="94">
        <v>8500069136</v>
      </c>
      <c r="R165" s="94">
        <v>5000365234</v>
      </c>
      <c r="S165" s="74">
        <v>5100</v>
      </c>
      <c r="T165" s="90" t="s">
        <v>152</v>
      </c>
      <c r="U165" s="90">
        <v>8500069134</v>
      </c>
      <c r="V165" s="90">
        <v>5000369490</v>
      </c>
      <c r="W165" s="109">
        <v>45397</v>
      </c>
      <c r="X165" s="106">
        <v>5100</v>
      </c>
      <c r="Y165" s="106">
        <v>20400</v>
      </c>
      <c r="Z165" s="106" t="s">
        <v>727</v>
      </c>
      <c r="AA165" s="106">
        <f t="shared" si="8"/>
        <v>0</v>
      </c>
      <c r="AB165" s="106">
        <f t="shared" si="9"/>
        <v>0</v>
      </c>
      <c r="AC165" s="94"/>
      <c r="AD165" s="94"/>
      <c r="AE165" s="94"/>
      <c r="AF165" s="94"/>
      <c r="AG165" s="94"/>
      <c r="AH165" s="263"/>
    </row>
    <row r="166" spans="1:34" ht="26.25" customHeight="1">
      <c r="A166" s="90" t="s">
        <v>1610</v>
      </c>
      <c r="B166" s="88">
        <v>6000029354</v>
      </c>
      <c r="C166" s="2" t="s">
        <v>1611</v>
      </c>
      <c r="D166" s="192" t="s">
        <v>3086</v>
      </c>
      <c r="E166" s="94">
        <v>4</v>
      </c>
      <c r="F166" s="74">
        <v>5100</v>
      </c>
      <c r="G166" s="45">
        <f t="shared" si="10"/>
        <v>20400</v>
      </c>
      <c r="H166" s="119" t="s">
        <v>37</v>
      </c>
      <c r="I166" s="128">
        <v>45384</v>
      </c>
      <c r="J166" s="74">
        <v>5100</v>
      </c>
      <c r="K166" s="74">
        <f>53+7</f>
        <v>60</v>
      </c>
      <c r="L166" s="156">
        <v>45380</v>
      </c>
      <c r="M166" s="90">
        <v>20400</v>
      </c>
      <c r="N166" s="90">
        <v>102</v>
      </c>
      <c r="O166" s="90"/>
      <c r="P166" s="94" t="s">
        <v>160</v>
      </c>
      <c r="Q166" s="94">
        <v>8500069132</v>
      </c>
      <c r="R166" s="94">
        <v>5000393389</v>
      </c>
      <c r="S166" s="74">
        <v>5100</v>
      </c>
      <c r="T166" s="90" t="s">
        <v>152</v>
      </c>
      <c r="U166" s="90">
        <v>8500069130</v>
      </c>
      <c r="V166" s="90">
        <v>5000374525</v>
      </c>
      <c r="W166" s="105" t="s">
        <v>3285</v>
      </c>
      <c r="X166" s="106">
        <v>5100</v>
      </c>
      <c r="Y166" s="106">
        <v>20400</v>
      </c>
      <c r="Z166" s="106" t="s">
        <v>927</v>
      </c>
      <c r="AA166" s="106">
        <f t="shared" si="8"/>
        <v>0</v>
      </c>
      <c r="AB166" s="106">
        <f t="shared" si="9"/>
        <v>0</v>
      </c>
      <c r="AC166" s="94"/>
      <c r="AD166" s="94"/>
      <c r="AE166" s="94"/>
      <c r="AF166" s="94"/>
      <c r="AG166" s="94"/>
      <c r="AH166" s="263"/>
    </row>
    <row r="167" spans="1:34" ht="26.25" customHeight="1">
      <c r="A167" s="90" t="s">
        <v>1610</v>
      </c>
      <c r="B167" s="88">
        <v>6000029358</v>
      </c>
      <c r="C167" s="2" t="s">
        <v>1611</v>
      </c>
      <c r="D167" s="192" t="s">
        <v>3088</v>
      </c>
      <c r="E167" s="94">
        <v>4</v>
      </c>
      <c r="F167" s="74">
        <v>5100</v>
      </c>
      <c r="G167" s="45">
        <f>E167*F167</f>
        <v>20400</v>
      </c>
      <c r="H167" s="119" t="s">
        <v>37</v>
      </c>
      <c r="I167" s="128" t="s">
        <v>3290</v>
      </c>
      <c r="J167" s="74">
        <f>3327+1430+343</f>
        <v>5100</v>
      </c>
      <c r="K167" s="74">
        <v>53</v>
      </c>
      <c r="L167" s="156">
        <v>45380</v>
      </c>
      <c r="M167" s="90">
        <v>20400</v>
      </c>
      <c r="N167" s="90">
        <v>102</v>
      </c>
      <c r="O167" s="90"/>
      <c r="P167" s="94" t="s">
        <v>160</v>
      </c>
      <c r="Q167" s="94">
        <v>8500069167</v>
      </c>
      <c r="R167" s="94">
        <v>5000370420</v>
      </c>
      <c r="S167" s="74">
        <f>3327+1430+343</f>
        <v>5100</v>
      </c>
      <c r="T167" s="90" t="s">
        <v>152</v>
      </c>
      <c r="U167" s="90">
        <v>8500069166</v>
      </c>
      <c r="V167" s="90">
        <v>5000374529</v>
      </c>
      <c r="W167" s="109">
        <v>45397</v>
      </c>
      <c r="X167" s="106">
        <v>5100</v>
      </c>
      <c r="Y167" s="106">
        <v>20400</v>
      </c>
      <c r="Z167" s="106" t="s">
        <v>927</v>
      </c>
      <c r="AA167" s="106">
        <f t="shared" si="8"/>
        <v>0</v>
      </c>
      <c r="AB167" s="106">
        <f t="shared" si="9"/>
        <v>0</v>
      </c>
      <c r="AC167" s="94"/>
      <c r="AD167" s="94"/>
      <c r="AE167" s="94"/>
      <c r="AF167" s="94"/>
      <c r="AG167" s="94"/>
      <c r="AH167" s="263"/>
    </row>
    <row r="168" spans="1:34" ht="26.25" customHeight="1">
      <c r="A168" s="90" t="s">
        <v>1610</v>
      </c>
      <c r="B168" s="88">
        <v>6000029359</v>
      </c>
      <c r="C168" s="2" t="s">
        <v>1611</v>
      </c>
      <c r="D168" s="192" t="s">
        <v>3089</v>
      </c>
      <c r="E168" s="94">
        <v>4</v>
      </c>
      <c r="F168" s="74">
        <v>5100</v>
      </c>
      <c r="G168" s="45">
        <f>E168*F168</f>
        <v>20400</v>
      </c>
      <c r="H168" s="119" t="s">
        <v>37</v>
      </c>
      <c r="I168" s="128">
        <v>45391</v>
      </c>
      <c r="J168" s="74">
        <v>5100</v>
      </c>
      <c r="K168" s="74">
        <v>53</v>
      </c>
      <c r="L168" s="156">
        <v>45379</v>
      </c>
      <c r="M168" s="90">
        <v>20400</v>
      </c>
      <c r="N168" s="90">
        <v>102</v>
      </c>
      <c r="O168" s="90"/>
      <c r="P168" s="94" t="s">
        <v>160</v>
      </c>
      <c r="Q168" s="94">
        <v>8500069094</v>
      </c>
      <c r="R168" s="94">
        <v>5000427845</v>
      </c>
      <c r="S168" s="94"/>
      <c r="T168" s="90" t="s">
        <v>152</v>
      </c>
      <c r="U168" s="90">
        <v>8500069092</v>
      </c>
      <c r="V168" s="90">
        <v>5000370783</v>
      </c>
      <c r="W168" s="109">
        <v>45401</v>
      </c>
      <c r="X168" s="106">
        <v>5100</v>
      </c>
      <c r="Y168" s="106">
        <v>20400</v>
      </c>
      <c r="Z168" s="106" t="s">
        <v>927</v>
      </c>
      <c r="AA168" s="106">
        <f t="shared" si="8"/>
        <v>0</v>
      </c>
      <c r="AB168" s="106">
        <f t="shared" si="9"/>
        <v>0</v>
      </c>
      <c r="AC168" s="94"/>
      <c r="AD168" s="94"/>
      <c r="AE168" s="94"/>
      <c r="AF168" s="94"/>
      <c r="AG168" s="94"/>
      <c r="AH168" s="263"/>
    </row>
    <row r="169" spans="1:34" ht="26.25" customHeight="1">
      <c r="A169" s="90" t="s">
        <v>1636</v>
      </c>
      <c r="B169" s="88">
        <v>6000028060</v>
      </c>
      <c r="C169" s="2" t="s">
        <v>3091</v>
      </c>
      <c r="D169" s="364">
        <v>22588</v>
      </c>
      <c r="E169" s="94">
        <v>6</v>
      </c>
      <c r="F169" s="74">
        <f>866+834</f>
        <v>1700</v>
      </c>
      <c r="G169" s="45">
        <f t="shared" si="10"/>
        <v>10200</v>
      </c>
      <c r="H169" s="119" t="s">
        <v>46</v>
      </c>
      <c r="I169" s="128" t="s">
        <v>3265</v>
      </c>
      <c r="J169" s="74">
        <f>866+834</f>
        <v>1700</v>
      </c>
      <c r="K169" s="74">
        <f>12+4</f>
        <v>16</v>
      </c>
      <c r="L169" s="156" t="s">
        <v>3266</v>
      </c>
      <c r="M169" s="90">
        <f>5196+5004</f>
        <v>10200</v>
      </c>
      <c r="N169" s="90"/>
      <c r="O169" s="90"/>
      <c r="P169" s="94" t="s">
        <v>28</v>
      </c>
      <c r="Q169" s="94"/>
      <c r="R169" s="94"/>
      <c r="S169" s="94"/>
      <c r="T169" s="90" t="s">
        <v>87</v>
      </c>
      <c r="U169" s="90"/>
      <c r="V169" s="90"/>
      <c r="W169" s="109" t="s">
        <v>3267</v>
      </c>
      <c r="X169" s="106">
        <f>866+834</f>
        <v>1700</v>
      </c>
      <c r="Y169" s="106">
        <f>5196+5004</f>
        <v>10200</v>
      </c>
      <c r="Z169" s="106" t="s">
        <v>2818</v>
      </c>
      <c r="AA169" s="106">
        <f t="shared" si="8"/>
        <v>0</v>
      </c>
      <c r="AB169" s="106">
        <f t="shared" si="9"/>
        <v>0</v>
      </c>
      <c r="AC169" s="94"/>
      <c r="AD169" s="94"/>
      <c r="AE169" s="94"/>
      <c r="AF169" s="94"/>
      <c r="AG169" s="94"/>
      <c r="AH169" s="263"/>
    </row>
    <row r="170" spans="1:34" ht="26.25" customHeight="1">
      <c r="A170" s="45"/>
      <c r="B170" s="121"/>
      <c r="C170" s="192"/>
      <c r="D170" s="192"/>
      <c r="E170" s="94">
        <v>6</v>
      </c>
      <c r="F170" s="74">
        <v>2500</v>
      </c>
      <c r="G170" s="45">
        <f t="shared" si="10"/>
        <v>15000</v>
      </c>
      <c r="H170" s="119" t="s">
        <v>146</v>
      </c>
      <c r="I170" s="128">
        <v>45378</v>
      </c>
      <c r="J170" s="74">
        <v>2500</v>
      </c>
      <c r="K170" s="74">
        <v>40</v>
      </c>
      <c r="L170" s="156">
        <v>45379</v>
      </c>
      <c r="M170" s="90">
        <v>15000</v>
      </c>
      <c r="N170" s="90">
        <v>160</v>
      </c>
      <c r="O170" s="90"/>
      <c r="P170" s="94" t="s">
        <v>28</v>
      </c>
      <c r="Q170" s="94"/>
      <c r="R170" s="94"/>
      <c r="S170" s="94"/>
      <c r="T170" s="90" t="s">
        <v>87</v>
      </c>
      <c r="U170" s="90"/>
      <c r="V170" s="90"/>
      <c r="W170" s="109">
        <v>45397</v>
      </c>
      <c r="X170" s="106">
        <v>2500</v>
      </c>
      <c r="Y170" s="106">
        <v>15000</v>
      </c>
      <c r="Z170" s="106" t="s">
        <v>759</v>
      </c>
      <c r="AA170" s="106">
        <f t="shared" si="8"/>
        <v>0</v>
      </c>
      <c r="AB170" s="106">
        <f t="shared" si="9"/>
        <v>0</v>
      </c>
      <c r="AC170" s="94"/>
      <c r="AD170" s="94"/>
      <c r="AE170" s="94"/>
      <c r="AF170" s="94"/>
      <c r="AG170" s="94"/>
      <c r="AH170" s="263"/>
    </row>
    <row r="171" spans="1:34" ht="27" customHeight="1">
      <c r="A171" s="90" t="s">
        <v>1539</v>
      </c>
      <c r="B171" s="88">
        <v>6000027729</v>
      </c>
      <c r="C171" s="2" t="s">
        <v>1541</v>
      </c>
      <c r="D171" s="192">
        <v>6000027729</v>
      </c>
      <c r="E171" s="94">
        <v>10</v>
      </c>
      <c r="F171" s="74">
        <v>420</v>
      </c>
      <c r="G171" s="45">
        <f t="shared" si="10"/>
        <v>4200</v>
      </c>
      <c r="H171" s="119" t="s">
        <v>27</v>
      </c>
      <c r="I171" s="128">
        <v>45366</v>
      </c>
      <c r="J171" s="74">
        <v>420</v>
      </c>
      <c r="K171" s="158">
        <v>4</v>
      </c>
      <c r="L171" s="156">
        <v>45366</v>
      </c>
      <c r="M171" s="90">
        <v>4200</v>
      </c>
      <c r="N171" s="90">
        <v>42</v>
      </c>
      <c r="O171" s="90" t="s">
        <v>3138</v>
      </c>
      <c r="P171" s="94" t="s">
        <v>1558</v>
      </c>
      <c r="Q171" s="94">
        <v>8500069010</v>
      </c>
      <c r="R171" s="94">
        <v>5000310322</v>
      </c>
      <c r="S171" s="74">
        <v>420</v>
      </c>
      <c r="T171" s="90" t="s">
        <v>87</v>
      </c>
      <c r="U171" s="90">
        <v>8500069009</v>
      </c>
      <c r="V171" s="90">
        <v>5000310306</v>
      </c>
      <c r="W171" s="109" t="s">
        <v>3340</v>
      </c>
      <c r="X171" s="106">
        <f>100+320</f>
        <v>420</v>
      </c>
      <c r="Y171" s="106">
        <f>1000+3200</f>
        <v>4200</v>
      </c>
      <c r="Z171" s="106" t="s">
        <v>2008</v>
      </c>
      <c r="AA171" s="106">
        <f t="shared" si="8"/>
        <v>0</v>
      </c>
      <c r="AB171" s="106">
        <f t="shared" si="9"/>
        <v>0</v>
      </c>
      <c r="AC171" s="94"/>
      <c r="AD171" s="94"/>
      <c r="AE171" s="94"/>
      <c r="AF171" s="94"/>
      <c r="AG171" s="94"/>
      <c r="AH171" s="263"/>
    </row>
    <row r="172" spans="1:34" ht="26.25" customHeight="1">
      <c r="A172" s="45"/>
      <c r="B172" s="121"/>
      <c r="C172" s="192"/>
      <c r="D172" s="192"/>
      <c r="E172" s="94">
        <v>10</v>
      </c>
      <c r="F172" s="74">
        <v>1560</v>
      </c>
      <c r="G172" s="45">
        <f t="shared" si="10"/>
        <v>15600</v>
      </c>
      <c r="H172" s="119" t="s">
        <v>46</v>
      </c>
      <c r="I172" s="128">
        <v>45366</v>
      </c>
      <c r="J172" s="74">
        <v>1560</v>
      </c>
      <c r="K172" s="74">
        <v>15</v>
      </c>
      <c r="L172" s="156">
        <v>45365</v>
      </c>
      <c r="M172" s="90">
        <v>15600</v>
      </c>
      <c r="N172" s="90">
        <v>156</v>
      </c>
      <c r="O172" s="90" t="s">
        <v>1784</v>
      </c>
      <c r="P172" s="94" t="s">
        <v>1558</v>
      </c>
      <c r="Q172" s="94">
        <v>8500069010</v>
      </c>
      <c r="R172" s="94">
        <v>5000310322</v>
      </c>
      <c r="S172" s="74">
        <v>1560</v>
      </c>
      <c r="T172" s="90" t="s">
        <v>87</v>
      </c>
      <c r="U172" s="90">
        <v>8500069009</v>
      </c>
      <c r="V172" s="90">
        <v>5000305538</v>
      </c>
      <c r="W172" s="109" t="s">
        <v>3340</v>
      </c>
      <c r="X172" s="106">
        <f>100+1460</f>
        <v>1560</v>
      </c>
      <c r="Y172" s="106">
        <f>1000+14600</f>
        <v>15600</v>
      </c>
      <c r="Z172" s="106" t="s">
        <v>2058</v>
      </c>
      <c r="AA172" s="106">
        <f t="shared" si="8"/>
        <v>0</v>
      </c>
      <c r="AB172" s="106">
        <f t="shared" si="9"/>
        <v>0</v>
      </c>
      <c r="AC172" s="94"/>
      <c r="AD172" s="94"/>
      <c r="AE172" s="94"/>
      <c r="AF172" s="94"/>
      <c r="AG172" s="94"/>
      <c r="AH172" s="263"/>
    </row>
    <row r="173" spans="1:34" ht="26.25" customHeight="1">
      <c r="A173" s="260"/>
      <c r="B173" s="264"/>
      <c r="C173" s="192"/>
      <c r="D173" s="192"/>
      <c r="E173" s="94">
        <v>10</v>
      </c>
      <c r="F173" s="74">
        <v>1430</v>
      </c>
      <c r="G173" s="45">
        <f t="shared" si="10"/>
        <v>14300</v>
      </c>
      <c r="H173" s="119" t="s">
        <v>37</v>
      </c>
      <c r="I173" s="128">
        <v>45366</v>
      </c>
      <c r="J173" s="74">
        <v>1430</v>
      </c>
      <c r="K173" s="74">
        <v>14</v>
      </c>
      <c r="L173" s="156">
        <v>45366</v>
      </c>
      <c r="M173" s="90">
        <v>14300</v>
      </c>
      <c r="N173" s="90">
        <v>143</v>
      </c>
      <c r="O173" s="90"/>
      <c r="P173" s="94" t="s">
        <v>1558</v>
      </c>
      <c r="Q173" s="94">
        <v>8500069010</v>
      </c>
      <c r="R173" s="94">
        <v>5000310322</v>
      </c>
      <c r="S173" s="74">
        <v>1430</v>
      </c>
      <c r="T173" s="90" t="s">
        <v>87</v>
      </c>
      <c r="U173" s="90">
        <v>8500069009</v>
      </c>
      <c r="V173" s="90">
        <v>5000310306</v>
      </c>
      <c r="W173" s="109">
        <v>45390</v>
      </c>
      <c r="X173" s="106">
        <v>1430</v>
      </c>
      <c r="Y173" s="106">
        <v>14300</v>
      </c>
      <c r="Z173" s="106" t="s">
        <v>35</v>
      </c>
      <c r="AA173" s="106">
        <f t="shared" si="8"/>
        <v>0</v>
      </c>
      <c r="AB173" s="106">
        <f t="shared" si="9"/>
        <v>0</v>
      </c>
      <c r="AC173" s="524"/>
      <c r="AD173" s="94"/>
      <c r="AE173" s="94"/>
      <c r="AF173" s="94"/>
      <c r="AG173" s="94"/>
      <c r="AH173" s="263"/>
    </row>
    <row r="174" spans="1:34" ht="26.25" customHeight="1">
      <c r="A174" s="260"/>
      <c r="B174" s="264"/>
      <c r="C174" s="192"/>
      <c r="D174" s="192"/>
      <c r="E174" s="94">
        <v>10</v>
      </c>
      <c r="F174" s="74">
        <v>1090</v>
      </c>
      <c r="G174" s="45">
        <f t="shared" si="10"/>
        <v>10900</v>
      </c>
      <c r="H174" s="119" t="s">
        <v>146</v>
      </c>
      <c r="I174" s="128">
        <v>45366</v>
      </c>
      <c r="J174" s="74">
        <v>1090</v>
      </c>
      <c r="K174" s="74">
        <v>10</v>
      </c>
      <c r="L174" s="156">
        <v>45365</v>
      </c>
      <c r="M174" s="90">
        <v>10900</v>
      </c>
      <c r="N174" s="90">
        <v>109</v>
      </c>
      <c r="O174" s="90" t="s">
        <v>1784</v>
      </c>
      <c r="P174" s="94" t="s">
        <v>1558</v>
      </c>
      <c r="Q174" s="94">
        <v>8500069010</v>
      </c>
      <c r="R174" s="94">
        <v>5000310322</v>
      </c>
      <c r="S174" s="74">
        <v>1090</v>
      </c>
      <c r="T174" s="90" t="s">
        <v>87</v>
      </c>
      <c r="U174" s="90">
        <v>8500069009</v>
      </c>
      <c r="V174" s="90">
        <v>5000305538</v>
      </c>
      <c r="W174" s="109">
        <v>45372</v>
      </c>
      <c r="X174" s="106">
        <v>1090</v>
      </c>
      <c r="Y174" s="106">
        <v>10900</v>
      </c>
      <c r="Z174" s="106" t="s">
        <v>803</v>
      </c>
      <c r="AA174" s="106">
        <f t="shared" si="8"/>
        <v>0</v>
      </c>
      <c r="AB174" s="106">
        <f t="shared" si="9"/>
        <v>0</v>
      </c>
      <c r="AC174" s="525"/>
      <c r="AD174" s="94"/>
      <c r="AE174" s="94"/>
      <c r="AF174" s="94"/>
      <c r="AG174" s="94"/>
      <c r="AH174" s="263"/>
    </row>
    <row r="175" spans="1:34" ht="26.25" customHeight="1">
      <c r="A175" s="90" t="s">
        <v>707</v>
      </c>
      <c r="B175" s="88">
        <v>2000001294</v>
      </c>
      <c r="C175" s="2" t="s">
        <v>1889</v>
      </c>
      <c r="D175" s="192">
        <v>2000001294</v>
      </c>
      <c r="E175" s="94">
        <v>10</v>
      </c>
      <c r="F175" s="74">
        <v>100</v>
      </c>
      <c r="G175" s="45">
        <f t="shared" si="10"/>
        <v>1000</v>
      </c>
      <c r="H175" s="119" t="s">
        <v>27</v>
      </c>
      <c r="I175" s="128">
        <v>45371</v>
      </c>
      <c r="J175" s="74">
        <v>100</v>
      </c>
      <c r="K175" s="74">
        <v>3</v>
      </c>
      <c r="L175" s="156">
        <v>45367</v>
      </c>
      <c r="M175" s="90">
        <v>1000</v>
      </c>
      <c r="N175" s="90">
        <v>10</v>
      </c>
      <c r="O175" s="90" t="s">
        <v>899</v>
      </c>
      <c r="P175" s="94" t="s">
        <v>160</v>
      </c>
      <c r="Q175" s="94">
        <v>8500068228</v>
      </c>
      <c r="R175" s="94">
        <v>5000332518</v>
      </c>
      <c r="S175" s="74">
        <v>100</v>
      </c>
      <c r="T175" s="90" t="s">
        <v>1558</v>
      </c>
      <c r="U175" s="90">
        <v>8500068227</v>
      </c>
      <c r="V175" s="90">
        <v>5000314759</v>
      </c>
      <c r="W175" s="109">
        <v>45384</v>
      </c>
      <c r="X175" s="106">
        <v>100</v>
      </c>
      <c r="Y175" s="106">
        <v>1000</v>
      </c>
      <c r="Z175" s="106" t="s">
        <v>3227</v>
      </c>
      <c r="AA175" s="106">
        <f t="shared" si="8"/>
        <v>0</v>
      </c>
      <c r="AB175" s="106">
        <f t="shared" si="9"/>
        <v>0</v>
      </c>
      <c r="AC175" s="94"/>
      <c r="AD175" s="94"/>
      <c r="AE175" s="94"/>
      <c r="AF175" s="94"/>
      <c r="AG175" s="94"/>
      <c r="AH175" s="263"/>
    </row>
    <row r="176" spans="1:34" ht="26.25" customHeight="1">
      <c r="A176" s="90"/>
      <c r="B176" s="88"/>
      <c r="C176" s="2"/>
      <c r="D176" s="192"/>
      <c r="E176" s="94">
        <v>10</v>
      </c>
      <c r="F176" s="74">
        <v>100</v>
      </c>
      <c r="G176" s="45">
        <f t="shared" si="10"/>
        <v>1000</v>
      </c>
      <c r="H176" s="119" t="s">
        <v>37</v>
      </c>
      <c r="I176" s="128">
        <v>45371</v>
      </c>
      <c r="J176" s="74">
        <v>100</v>
      </c>
      <c r="K176" s="74">
        <v>7</v>
      </c>
      <c r="L176" s="156">
        <v>45367</v>
      </c>
      <c r="M176" s="90">
        <v>1000</v>
      </c>
      <c r="N176" s="90">
        <v>10</v>
      </c>
      <c r="O176" s="90" t="s">
        <v>899</v>
      </c>
      <c r="P176" s="94" t="s">
        <v>160</v>
      </c>
      <c r="Q176" s="94">
        <v>8500068228</v>
      </c>
      <c r="R176" s="94">
        <v>5000332518</v>
      </c>
      <c r="S176" s="74">
        <v>100</v>
      </c>
      <c r="T176" s="90" t="s">
        <v>1558</v>
      </c>
      <c r="U176" s="90">
        <v>8500068227</v>
      </c>
      <c r="V176" s="90">
        <v>5000314759</v>
      </c>
      <c r="W176" s="109">
        <v>45373</v>
      </c>
      <c r="X176" s="106">
        <v>100</v>
      </c>
      <c r="Y176" s="106">
        <v>1000</v>
      </c>
      <c r="Z176" s="106" t="s">
        <v>927</v>
      </c>
      <c r="AA176" s="106">
        <f t="shared" si="8"/>
        <v>0</v>
      </c>
      <c r="AB176" s="106">
        <f t="shared" si="9"/>
        <v>0</v>
      </c>
      <c r="AC176" s="94"/>
      <c r="AD176" s="94"/>
      <c r="AE176" s="94"/>
      <c r="AF176" s="94"/>
      <c r="AG176" s="94"/>
      <c r="AH176" s="263"/>
    </row>
    <row r="177" spans="1:34" ht="27.75" customHeight="1">
      <c r="A177" s="90" t="s">
        <v>707</v>
      </c>
      <c r="B177" s="88">
        <v>2000001295</v>
      </c>
      <c r="C177" s="2" t="s">
        <v>1675</v>
      </c>
      <c r="D177" s="192">
        <v>2000001295</v>
      </c>
      <c r="E177" s="94">
        <v>10</v>
      </c>
      <c r="F177" s="74">
        <v>400</v>
      </c>
      <c r="G177" s="45">
        <f t="shared" si="10"/>
        <v>4000</v>
      </c>
      <c r="H177" s="119" t="s">
        <v>27</v>
      </c>
      <c r="I177" s="128">
        <v>45362</v>
      </c>
      <c r="J177" s="74">
        <v>400</v>
      </c>
      <c r="K177" s="74">
        <v>8</v>
      </c>
      <c r="L177" s="156">
        <v>45360</v>
      </c>
      <c r="M177" s="90">
        <v>4000</v>
      </c>
      <c r="N177" s="90">
        <v>40</v>
      </c>
      <c r="O177" s="90" t="s">
        <v>1547</v>
      </c>
      <c r="P177" s="94" t="s">
        <v>160</v>
      </c>
      <c r="Q177" s="94">
        <v>8500068224</v>
      </c>
      <c r="R177" s="94">
        <v>5000294915</v>
      </c>
      <c r="S177" s="74">
        <v>400</v>
      </c>
      <c r="T177" s="90" t="s">
        <v>1558</v>
      </c>
      <c r="U177" s="90">
        <v>8500068223</v>
      </c>
      <c r="V177" s="90">
        <v>5000290008</v>
      </c>
      <c r="W177" s="109">
        <v>45374</v>
      </c>
      <c r="X177" s="106">
        <v>400</v>
      </c>
      <c r="Y177" s="106">
        <v>4000</v>
      </c>
      <c r="Z177" s="106" t="s">
        <v>1981</v>
      </c>
      <c r="AA177" s="106">
        <f t="shared" si="8"/>
        <v>0</v>
      </c>
      <c r="AB177" s="106">
        <f t="shared" si="9"/>
        <v>0</v>
      </c>
      <c r="AC177" s="94" t="s">
        <v>3273</v>
      </c>
      <c r="AD177" s="94"/>
      <c r="AE177" s="94"/>
      <c r="AF177" s="94"/>
      <c r="AG177" s="94"/>
      <c r="AH177" s="263"/>
    </row>
    <row r="178" spans="1:34" ht="27.75" customHeight="1">
      <c r="A178" s="90" t="s">
        <v>707</v>
      </c>
      <c r="B178" s="88">
        <v>2000001295</v>
      </c>
      <c r="C178" s="2" t="s">
        <v>1675</v>
      </c>
      <c r="D178" s="192" t="s">
        <v>244</v>
      </c>
      <c r="E178" s="94">
        <v>10</v>
      </c>
      <c r="F178" s="74">
        <v>8</v>
      </c>
      <c r="G178" s="45">
        <f t="shared" si="10"/>
        <v>80</v>
      </c>
      <c r="H178" s="119" t="s">
        <v>27</v>
      </c>
      <c r="I178" s="128">
        <v>45362</v>
      </c>
      <c r="J178" s="74">
        <v>8</v>
      </c>
      <c r="K178" s="74">
        <v>1</v>
      </c>
      <c r="L178" s="156">
        <v>45366</v>
      </c>
      <c r="M178" s="90">
        <v>80</v>
      </c>
      <c r="N178" s="90">
        <v>1</v>
      </c>
      <c r="O178" s="90"/>
      <c r="P178" s="94" t="s">
        <v>160</v>
      </c>
      <c r="Q178" s="94">
        <v>8500068226</v>
      </c>
      <c r="R178" s="94">
        <v>5000294917</v>
      </c>
      <c r="S178" s="74">
        <v>8</v>
      </c>
      <c r="T178" s="90" t="s">
        <v>1558</v>
      </c>
      <c r="U178" s="90">
        <v>8500068225</v>
      </c>
      <c r="V178" s="90">
        <v>5000310333</v>
      </c>
      <c r="W178" s="109">
        <v>45374</v>
      </c>
      <c r="X178" s="106">
        <v>8</v>
      </c>
      <c r="Y178" s="106">
        <v>80</v>
      </c>
      <c r="Z178" s="106" t="s">
        <v>1981</v>
      </c>
      <c r="AA178" s="106">
        <f t="shared" si="8"/>
        <v>0</v>
      </c>
      <c r="AB178" s="106">
        <f t="shared" si="9"/>
        <v>0</v>
      </c>
      <c r="AC178" s="94"/>
      <c r="AD178" s="94"/>
      <c r="AE178" s="94"/>
      <c r="AF178" s="94"/>
      <c r="AG178" s="94"/>
      <c r="AH178" s="263"/>
    </row>
    <row r="179" spans="1:34" ht="30.75" customHeight="1">
      <c r="A179" s="90" t="s">
        <v>707</v>
      </c>
      <c r="B179" s="88">
        <v>2000001298</v>
      </c>
      <c r="C179" s="2" t="s">
        <v>3092</v>
      </c>
      <c r="D179" s="2">
        <v>2000001298</v>
      </c>
      <c r="E179" s="94">
        <v>24</v>
      </c>
      <c r="F179" s="74">
        <v>100</v>
      </c>
      <c r="G179" s="45">
        <f t="shared" si="10"/>
        <v>2400</v>
      </c>
      <c r="H179" s="119" t="s">
        <v>46</v>
      </c>
      <c r="I179" s="128">
        <v>45367</v>
      </c>
      <c r="J179" s="74">
        <v>100</v>
      </c>
      <c r="K179" s="74">
        <f>4+16</f>
        <v>20</v>
      </c>
      <c r="L179" s="156">
        <v>45370</v>
      </c>
      <c r="M179" s="90">
        <v>2400</v>
      </c>
      <c r="N179" s="90">
        <v>12</v>
      </c>
      <c r="O179" s="90"/>
      <c r="P179" s="94" t="s">
        <v>160</v>
      </c>
      <c r="Q179" s="94">
        <v>8500068608</v>
      </c>
      <c r="R179" s="94">
        <v>5000313771</v>
      </c>
      <c r="S179" s="74">
        <v>100</v>
      </c>
      <c r="T179" s="90" t="s">
        <v>152</v>
      </c>
      <c r="U179" s="90">
        <v>8500068607</v>
      </c>
      <c r="V179" s="90">
        <v>5000328436</v>
      </c>
      <c r="W179" s="109">
        <v>45407</v>
      </c>
      <c r="X179" s="106">
        <v>100</v>
      </c>
      <c r="Y179" s="106">
        <v>2400</v>
      </c>
      <c r="Z179" s="106" t="s">
        <v>800</v>
      </c>
      <c r="AA179" s="106">
        <f t="shared" si="8"/>
        <v>0</v>
      </c>
      <c r="AB179" s="106">
        <f t="shared" si="9"/>
        <v>0</v>
      </c>
      <c r="AC179" s="94"/>
      <c r="AD179" s="94"/>
      <c r="AE179" s="94"/>
      <c r="AF179" s="94"/>
      <c r="AG179" s="94"/>
      <c r="AH179" s="263"/>
    </row>
    <row r="180" spans="1:34" ht="30.75" customHeight="1">
      <c r="A180" s="90"/>
      <c r="B180" s="88"/>
      <c r="C180" s="347"/>
      <c r="D180" s="2"/>
      <c r="E180" s="94" t="s">
        <v>3148</v>
      </c>
      <c r="F180" s="74">
        <v>200</v>
      </c>
      <c r="G180" s="45"/>
      <c r="H180" s="119"/>
      <c r="I180" s="128">
        <v>45371</v>
      </c>
      <c r="J180" s="74">
        <v>200</v>
      </c>
      <c r="K180" s="74">
        <f>5+15</f>
        <v>20</v>
      </c>
      <c r="L180" s="156"/>
      <c r="M180" s="90"/>
      <c r="N180" s="90"/>
      <c r="O180" s="90"/>
      <c r="P180" s="94" t="s">
        <v>160</v>
      </c>
      <c r="Q180" s="94">
        <v>8500068609</v>
      </c>
      <c r="R180" s="94">
        <v>5000332512</v>
      </c>
      <c r="S180" s="74">
        <v>200</v>
      </c>
      <c r="T180" s="90"/>
      <c r="U180" s="90"/>
      <c r="V180" s="90"/>
      <c r="W180" s="109"/>
      <c r="X180" s="106">
        <v>200</v>
      </c>
      <c r="Y180" s="106"/>
      <c r="Z180" s="106"/>
      <c r="AA180" s="106">
        <f t="shared" si="8"/>
        <v>0</v>
      </c>
      <c r="AB180" s="106">
        <f t="shared" si="9"/>
        <v>0</v>
      </c>
      <c r="AC180" s="94"/>
      <c r="AD180" s="94"/>
      <c r="AE180" s="94"/>
      <c r="AF180" s="94"/>
      <c r="AG180" s="94"/>
      <c r="AH180" s="263"/>
    </row>
    <row r="181" spans="1:34" ht="30.75" customHeight="1">
      <c r="A181" s="45"/>
      <c r="B181" s="121"/>
      <c r="C181" s="537" t="s">
        <v>3093</v>
      </c>
      <c r="D181" s="192" t="s">
        <v>244</v>
      </c>
      <c r="E181" s="94">
        <v>24</v>
      </c>
      <c r="F181" s="74">
        <v>10</v>
      </c>
      <c r="G181" s="45">
        <f t="shared" si="10"/>
        <v>240</v>
      </c>
      <c r="H181" s="119" t="s">
        <v>46</v>
      </c>
      <c r="I181" s="128">
        <v>45367</v>
      </c>
      <c r="J181" s="74">
        <v>10</v>
      </c>
      <c r="K181" s="74"/>
      <c r="L181" s="156">
        <v>45370</v>
      </c>
      <c r="M181" s="90">
        <v>240</v>
      </c>
      <c r="N181" s="90">
        <v>2</v>
      </c>
      <c r="O181" s="90"/>
      <c r="P181" s="94" t="s">
        <v>160</v>
      </c>
      <c r="Q181" s="94">
        <v>8500068611</v>
      </c>
      <c r="R181" s="94">
        <v>5000313773</v>
      </c>
      <c r="S181" s="74">
        <v>10</v>
      </c>
      <c r="T181" s="90" t="s">
        <v>152</v>
      </c>
      <c r="U181" s="90">
        <v>8500068610</v>
      </c>
      <c r="V181" s="90">
        <v>5000328437</v>
      </c>
      <c r="W181" s="109"/>
      <c r="X181" s="106">
        <v>10</v>
      </c>
      <c r="Y181" s="106">
        <v>240</v>
      </c>
      <c r="Z181" s="106"/>
      <c r="AA181" s="106">
        <f t="shared" si="8"/>
        <v>0</v>
      </c>
      <c r="AB181" s="106">
        <f t="shared" si="9"/>
        <v>0</v>
      </c>
      <c r="AC181" s="94"/>
      <c r="AD181" s="94"/>
      <c r="AE181" s="94"/>
      <c r="AF181" s="94"/>
      <c r="AG181" s="94"/>
      <c r="AH181" s="263"/>
    </row>
    <row r="182" spans="1:34" ht="30.75" customHeight="1">
      <c r="A182" s="45"/>
      <c r="B182" s="121"/>
      <c r="C182" s="539"/>
      <c r="D182" s="192" t="s">
        <v>244</v>
      </c>
      <c r="E182" s="94"/>
      <c r="F182" s="74">
        <v>20</v>
      </c>
      <c r="G182" s="45">
        <f t="shared" si="10"/>
        <v>0</v>
      </c>
      <c r="H182" s="119" t="s">
        <v>46</v>
      </c>
      <c r="I182" s="128">
        <v>45371</v>
      </c>
      <c r="J182" s="158">
        <v>20</v>
      </c>
      <c r="K182" s="74"/>
      <c r="L182" s="156"/>
      <c r="M182" s="90"/>
      <c r="N182" s="90"/>
      <c r="O182" s="90"/>
      <c r="P182" s="94" t="s">
        <v>160</v>
      </c>
      <c r="Q182" s="94">
        <v>8500068612</v>
      </c>
      <c r="R182" s="94">
        <v>5000332514</v>
      </c>
      <c r="S182" s="158">
        <v>20</v>
      </c>
      <c r="T182" s="90"/>
      <c r="U182" s="90"/>
      <c r="V182" s="90"/>
      <c r="W182" s="109"/>
      <c r="X182" s="106">
        <v>20</v>
      </c>
      <c r="Y182" s="106">
        <v>0</v>
      </c>
      <c r="Z182" s="106"/>
      <c r="AA182" s="106">
        <f t="shared" si="8"/>
        <v>0</v>
      </c>
      <c r="AB182" s="106">
        <f t="shared" si="9"/>
        <v>0</v>
      </c>
      <c r="AC182" s="94"/>
      <c r="AD182" s="94"/>
      <c r="AE182" s="94"/>
      <c r="AF182" s="94"/>
      <c r="AG182" s="94"/>
      <c r="AH182" s="263"/>
    </row>
    <row r="183" spans="1:34" ht="26.25" customHeight="1">
      <c r="A183" s="90" t="s">
        <v>707</v>
      </c>
      <c r="B183" s="88">
        <v>2000001300</v>
      </c>
      <c r="C183" s="2" t="s">
        <v>3094</v>
      </c>
      <c r="D183" s="549" t="s">
        <v>3097</v>
      </c>
      <c r="E183" s="94">
        <v>20</v>
      </c>
      <c r="F183" s="74">
        <v>53</v>
      </c>
      <c r="G183" s="45">
        <f t="shared" si="10"/>
        <v>1060</v>
      </c>
      <c r="H183" s="119" t="s">
        <v>27</v>
      </c>
      <c r="I183" s="355">
        <v>45372</v>
      </c>
      <c r="J183" s="74">
        <v>53</v>
      </c>
      <c r="K183" s="74">
        <f>4+1</f>
        <v>5</v>
      </c>
      <c r="L183" s="156">
        <v>45374</v>
      </c>
      <c r="M183" s="90">
        <v>1000</v>
      </c>
      <c r="N183" s="90">
        <v>5</v>
      </c>
      <c r="O183" s="90" t="s">
        <v>1569</v>
      </c>
      <c r="P183" s="94" t="s">
        <v>160</v>
      </c>
      <c r="Q183" s="94">
        <v>8500069488</v>
      </c>
      <c r="R183" s="94">
        <v>5000341383</v>
      </c>
      <c r="S183" s="74">
        <v>53</v>
      </c>
      <c r="T183" s="90" t="s">
        <v>152</v>
      </c>
      <c r="U183" s="90">
        <v>8500069486</v>
      </c>
      <c r="V183" s="90">
        <v>5000355251</v>
      </c>
      <c r="W183" s="109">
        <v>45392</v>
      </c>
      <c r="X183" s="106">
        <v>53</v>
      </c>
      <c r="Y183" s="106">
        <v>1060</v>
      </c>
      <c r="Z183" s="106"/>
      <c r="AA183" s="106">
        <f t="shared" si="8"/>
        <v>0</v>
      </c>
      <c r="AB183" s="106">
        <f t="shared" si="9"/>
        <v>-60</v>
      </c>
      <c r="AC183" s="499" t="s">
        <v>3255</v>
      </c>
      <c r="AD183" s="2"/>
      <c r="AE183" s="94"/>
      <c r="AF183" s="94"/>
      <c r="AG183" s="94"/>
      <c r="AH183" s="263"/>
    </row>
    <row r="184" spans="1:34" ht="26.25" customHeight="1">
      <c r="A184" s="90"/>
      <c r="B184" s="88"/>
      <c r="C184" s="2"/>
      <c r="D184" s="550"/>
      <c r="E184" s="94">
        <v>20</v>
      </c>
      <c r="F184" s="74">
        <v>37</v>
      </c>
      <c r="G184" s="45">
        <f t="shared" si="10"/>
        <v>740</v>
      </c>
      <c r="H184" s="119" t="s">
        <v>46</v>
      </c>
      <c r="I184" s="355">
        <v>45372</v>
      </c>
      <c r="J184" s="74">
        <v>37</v>
      </c>
      <c r="K184" s="74"/>
      <c r="L184" s="156">
        <v>45374</v>
      </c>
      <c r="M184" s="90">
        <v>1000</v>
      </c>
      <c r="N184" s="90">
        <v>5</v>
      </c>
      <c r="O184" s="90" t="s">
        <v>1575</v>
      </c>
      <c r="P184" s="94" t="s">
        <v>160</v>
      </c>
      <c r="Q184" s="94">
        <v>8500069488</v>
      </c>
      <c r="R184" s="94">
        <v>5000341383</v>
      </c>
      <c r="S184" s="74">
        <v>37</v>
      </c>
      <c r="T184" s="90" t="s">
        <v>152</v>
      </c>
      <c r="U184" s="90">
        <v>8500069486</v>
      </c>
      <c r="V184" s="90">
        <v>5000355251</v>
      </c>
      <c r="W184" s="109">
        <v>45392</v>
      </c>
      <c r="X184" s="106">
        <v>37</v>
      </c>
      <c r="Y184" s="106">
        <v>740</v>
      </c>
      <c r="Z184" s="106"/>
      <c r="AA184" s="106">
        <f t="shared" si="8"/>
        <v>0</v>
      </c>
      <c r="AB184" s="106">
        <f t="shared" si="9"/>
        <v>260</v>
      </c>
      <c r="AC184" s="497"/>
      <c r="AD184" s="94"/>
      <c r="AE184" s="94"/>
      <c r="AF184" s="94"/>
      <c r="AG184" s="94"/>
      <c r="AH184" s="263"/>
    </row>
    <row r="185" spans="1:34" ht="26.25" customHeight="1">
      <c r="A185" s="90"/>
      <c r="B185" s="88"/>
      <c r="C185" s="2"/>
      <c r="D185" s="551"/>
      <c r="E185" s="94">
        <v>20</v>
      </c>
      <c r="F185" s="74">
        <v>10</v>
      </c>
      <c r="G185" s="45">
        <f t="shared" si="10"/>
        <v>200</v>
      </c>
      <c r="H185" s="119" t="s">
        <v>37</v>
      </c>
      <c r="I185" s="355">
        <v>45372</v>
      </c>
      <c r="J185" s="74">
        <v>10</v>
      </c>
      <c r="K185" s="158"/>
      <c r="L185" s="156" t="s">
        <v>3320</v>
      </c>
      <c r="M185" s="90">
        <v>200</v>
      </c>
      <c r="N185" s="90"/>
      <c r="O185" s="90"/>
      <c r="P185" s="94" t="s">
        <v>160</v>
      </c>
      <c r="Q185" s="94">
        <v>8500069488</v>
      </c>
      <c r="R185" s="94">
        <v>5000341383</v>
      </c>
      <c r="S185" s="74">
        <v>10</v>
      </c>
      <c r="T185" s="90"/>
      <c r="U185" s="90"/>
      <c r="V185" s="90"/>
      <c r="W185" s="109">
        <v>45392</v>
      </c>
      <c r="X185" s="106">
        <v>10</v>
      </c>
      <c r="Y185" s="106">
        <v>200</v>
      </c>
      <c r="Z185" s="106"/>
      <c r="AA185" s="106">
        <f t="shared" si="8"/>
        <v>0</v>
      </c>
      <c r="AB185" s="106">
        <f t="shared" si="9"/>
        <v>0</v>
      </c>
      <c r="AC185" s="498"/>
      <c r="AD185" s="94"/>
      <c r="AE185" s="94"/>
      <c r="AF185" s="94"/>
      <c r="AG185" s="94"/>
      <c r="AH185" s="263"/>
    </row>
    <row r="186" spans="1:34" ht="26.25" customHeight="1">
      <c r="A186" s="90" t="s">
        <v>2115</v>
      </c>
      <c r="B186" s="88">
        <v>6000028727</v>
      </c>
      <c r="C186" s="2" t="s">
        <v>2113</v>
      </c>
      <c r="D186" s="192" t="s">
        <v>3101</v>
      </c>
      <c r="E186" s="94">
        <v>30</v>
      </c>
      <c r="F186" s="74">
        <v>51</v>
      </c>
      <c r="G186" s="45">
        <f t="shared" si="10"/>
        <v>1530</v>
      </c>
      <c r="H186" s="119" t="s">
        <v>27</v>
      </c>
      <c r="I186" s="128">
        <v>45362</v>
      </c>
      <c r="J186" s="74">
        <v>51</v>
      </c>
      <c r="K186" s="74">
        <v>2</v>
      </c>
      <c r="L186" s="156">
        <v>45367</v>
      </c>
      <c r="M186" s="90">
        <v>1530</v>
      </c>
      <c r="N186" s="90">
        <v>15</v>
      </c>
      <c r="O186" s="90"/>
      <c r="P186" s="94" t="s">
        <v>28</v>
      </c>
      <c r="Q186" s="94">
        <v>8500068855</v>
      </c>
      <c r="R186" s="94">
        <v>5000291338</v>
      </c>
      <c r="S186" s="74">
        <v>51</v>
      </c>
      <c r="T186" s="90" t="s">
        <v>794</v>
      </c>
      <c r="U186" s="90">
        <v>8500068854</v>
      </c>
      <c r="V186" s="90">
        <v>5000314805</v>
      </c>
      <c r="W186" s="109">
        <v>45367</v>
      </c>
      <c r="X186" s="106">
        <v>51</v>
      </c>
      <c r="Y186" s="106">
        <v>1530</v>
      </c>
      <c r="Z186" s="106" t="s">
        <v>1502</v>
      </c>
      <c r="AA186" s="106">
        <f t="shared" si="8"/>
        <v>0</v>
      </c>
      <c r="AB186" s="106">
        <f t="shared" si="9"/>
        <v>0</v>
      </c>
      <c r="AC186" s="94"/>
      <c r="AD186" s="94"/>
      <c r="AE186" s="94"/>
      <c r="AF186" s="94"/>
      <c r="AG186" s="94"/>
      <c r="AH186" s="263"/>
    </row>
    <row r="187" spans="1:34" ht="26.25" customHeight="1">
      <c r="A187" s="90"/>
      <c r="B187" s="88"/>
      <c r="C187" s="2"/>
      <c r="D187" s="192"/>
      <c r="E187" s="94">
        <v>30</v>
      </c>
      <c r="F187" s="74">
        <v>88</v>
      </c>
      <c r="G187" s="45">
        <f t="shared" si="10"/>
        <v>2640</v>
      </c>
      <c r="H187" s="119" t="s">
        <v>46</v>
      </c>
      <c r="I187" s="128">
        <v>45362</v>
      </c>
      <c r="J187" s="74">
        <v>88</v>
      </c>
      <c r="K187" s="74">
        <v>1</v>
      </c>
      <c r="L187" s="156">
        <v>45369</v>
      </c>
      <c r="M187" s="90">
        <v>2640</v>
      </c>
      <c r="N187" s="90">
        <v>26</v>
      </c>
      <c r="O187" s="90" t="s">
        <v>1602</v>
      </c>
      <c r="P187" s="94" t="s">
        <v>28</v>
      </c>
      <c r="Q187" s="94">
        <v>8500068855</v>
      </c>
      <c r="R187" s="94">
        <v>5000291338</v>
      </c>
      <c r="S187" s="74">
        <v>88</v>
      </c>
      <c r="T187" s="90" t="s">
        <v>794</v>
      </c>
      <c r="U187" s="90">
        <v>8500068854</v>
      </c>
      <c r="V187" s="90">
        <v>5000322575</v>
      </c>
      <c r="W187" s="109">
        <v>45374</v>
      </c>
      <c r="X187" s="106">
        <v>88</v>
      </c>
      <c r="Y187" s="106">
        <v>2640</v>
      </c>
      <c r="Z187" s="106" t="s">
        <v>1981</v>
      </c>
      <c r="AA187" s="106">
        <f t="shared" si="8"/>
        <v>0</v>
      </c>
      <c r="AB187" s="106">
        <f t="shared" si="9"/>
        <v>0</v>
      </c>
      <c r="AC187" s="94" t="s">
        <v>3435</v>
      </c>
      <c r="AD187" s="94"/>
      <c r="AE187" s="94"/>
      <c r="AF187" s="94"/>
      <c r="AG187" s="94"/>
      <c r="AH187" s="263"/>
    </row>
    <row r="188" spans="1:34" ht="26.25" customHeight="1">
      <c r="A188" s="90"/>
      <c r="B188" s="88"/>
      <c r="C188" s="2"/>
      <c r="D188" s="192"/>
      <c r="E188" s="94">
        <v>30</v>
      </c>
      <c r="F188" s="74">
        <v>103</v>
      </c>
      <c r="G188" s="45">
        <f t="shared" si="10"/>
        <v>3090</v>
      </c>
      <c r="H188" s="119" t="s">
        <v>37</v>
      </c>
      <c r="I188" s="128">
        <v>45362</v>
      </c>
      <c r="J188" s="74">
        <v>103</v>
      </c>
      <c r="K188" s="74">
        <v>1</v>
      </c>
      <c r="L188" s="156">
        <v>45369</v>
      </c>
      <c r="M188" s="90">
        <v>3090</v>
      </c>
      <c r="N188" s="90">
        <v>31</v>
      </c>
      <c r="O188" s="90" t="s">
        <v>1664</v>
      </c>
      <c r="P188" s="94" t="s">
        <v>28</v>
      </c>
      <c r="Q188" s="94">
        <v>8500068855</v>
      </c>
      <c r="R188" s="94">
        <v>5000291338</v>
      </c>
      <c r="S188" s="74">
        <v>103</v>
      </c>
      <c r="T188" s="90" t="s">
        <v>794</v>
      </c>
      <c r="U188" s="90">
        <v>8500068854</v>
      </c>
      <c r="V188" s="90">
        <v>5000322575</v>
      </c>
      <c r="W188" s="109">
        <v>45374</v>
      </c>
      <c r="X188" s="106">
        <v>103</v>
      </c>
      <c r="Y188" s="106">
        <v>3090</v>
      </c>
      <c r="Z188" s="106" t="s">
        <v>1981</v>
      </c>
      <c r="AA188" s="106">
        <f t="shared" si="8"/>
        <v>0</v>
      </c>
      <c r="AB188" s="106">
        <f t="shared" si="9"/>
        <v>0</v>
      </c>
      <c r="AC188" s="94"/>
      <c r="AD188" s="94"/>
      <c r="AE188" s="94"/>
      <c r="AF188" s="94"/>
      <c r="AG188" s="94"/>
      <c r="AH188" s="263"/>
    </row>
    <row r="189" spans="1:34" ht="33.75" customHeight="1">
      <c r="A189" s="90"/>
      <c r="B189" s="88"/>
      <c r="C189" s="2"/>
      <c r="D189" s="192"/>
      <c r="E189" s="94">
        <v>30</v>
      </c>
      <c r="F189" s="74">
        <v>77</v>
      </c>
      <c r="G189" s="45">
        <f t="shared" si="10"/>
        <v>2310</v>
      </c>
      <c r="H189" s="119" t="s">
        <v>146</v>
      </c>
      <c r="I189" s="128">
        <v>45362</v>
      </c>
      <c r="J189" s="74">
        <v>77</v>
      </c>
      <c r="K189" s="74">
        <v>2</v>
      </c>
      <c r="L189" s="156">
        <v>45369</v>
      </c>
      <c r="M189" s="90">
        <v>2310</v>
      </c>
      <c r="N189" s="90">
        <v>23</v>
      </c>
      <c r="O189" s="90" t="s">
        <v>1664</v>
      </c>
      <c r="P189" s="94" t="s">
        <v>28</v>
      </c>
      <c r="Q189" s="94">
        <v>8500068855</v>
      </c>
      <c r="R189" s="94">
        <v>5000291338</v>
      </c>
      <c r="S189" s="74">
        <v>77</v>
      </c>
      <c r="T189" s="90" t="s">
        <v>794</v>
      </c>
      <c r="U189" s="90">
        <v>8500068854</v>
      </c>
      <c r="V189" s="90">
        <v>5000322575</v>
      </c>
      <c r="W189" s="109">
        <v>45399</v>
      </c>
      <c r="X189" s="106">
        <v>77</v>
      </c>
      <c r="Y189" s="106">
        <v>2310</v>
      </c>
      <c r="Z189" s="106" t="s">
        <v>759</v>
      </c>
      <c r="AA189" s="106">
        <f t="shared" si="8"/>
        <v>0</v>
      </c>
      <c r="AB189" s="106">
        <f t="shared" si="9"/>
        <v>0</v>
      </c>
      <c r="AC189" s="94"/>
      <c r="AD189" s="94"/>
      <c r="AE189" s="94"/>
      <c r="AF189" s="94"/>
      <c r="AG189" s="94"/>
      <c r="AH189" s="263"/>
    </row>
    <row r="190" spans="1:34" ht="26.25" customHeight="1">
      <c r="A190" s="90" t="s">
        <v>2115</v>
      </c>
      <c r="B190" s="88">
        <v>6000028727</v>
      </c>
      <c r="C190" s="2" t="s">
        <v>2116</v>
      </c>
      <c r="D190" s="192" t="s">
        <v>3101</v>
      </c>
      <c r="E190" s="94">
        <v>30</v>
      </c>
      <c r="F190" s="74">
        <v>86</v>
      </c>
      <c r="G190" s="45">
        <f t="shared" si="10"/>
        <v>2580</v>
      </c>
      <c r="H190" s="119" t="s">
        <v>46</v>
      </c>
      <c r="I190" s="128">
        <v>45362</v>
      </c>
      <c r="J190" s="74">
        <v>86</v>
      </c>
      <c r="K190" s="74">
        <v>2</v>
      </c>
      <c r="L190" s="156">
        <v>45369</v>
      </c>
      <c r="M190" s="90">
        <v>2580</v>
      </c>
      <c r="N190" s="90">
        <v>26</v>
      </c>
      <c r="O190" s="90" t="s">
        <v>1664</v>
      </c>
      <c r="P190" s="94" t="s">
        <v>28</v>
      </c>
      <c r="Q190" s="94">
        <v>8500068857</v>
      </c>
      <c r="R190" s="94">
        <v>5000291336</v>
      </c>
      <c r="S190" s="74">
        <v>86</v>
      </c>
      <c r="T190" s="90" t="s">
        <v>794</v>
      </c>
      <c r="U190" s="90">
        <v>8500068856</v>
      </c>
      <c r="V190" s="90">
        <v>5000322579</v>
      </c>
      <c r="W190" s="109">
        <v>45385</v>
      </c>
      <c r="X190" s="106">
        <v>86</v>
      </c>
      <c r="Y190" s="106">
        <v>2580</v>
      </c>
      <c r="Z190" s="106" t="s">
        <v>1460</v>
      </c>
      <c r="AA190" s="106">
        <f t="shared" si="8"/>
        <v>0</v>
      </c>
      <c r="AB190" s="106">
        <f t="shared" si="9"/>
        <v>0</v>
      </c>
      <c r="AC190" s="94"/>
      <c r="AD190" s="94"/>
      <c r="AE190" s="94"/>
      <c r="AF190" s="94"/>
      <c r="AG190" s="94"/>
      <c r="AH190" s="263"/>
    </row>
    <row r="191" spans="1:34" ht="26.25" customHeight="1">
      <c r="A191" s="45"/>
      <c r="B191" s="121"/>
      <c r="C191" s="192"/>
      <c r="D191" s="192"/>
      <c r="E191" s="94">
        <v>30</v>
      </c>
      <c r="F191" s="74">
        <v>58</v>
      </c>
      <c r="G191" s="45">
        <f t="shared" si="10"/>
        <v>1740</v>
      </c>
      <c r="H191" s="119" t="s">
        <v>37</v>
      </c>
      <c r="I191" s="128">
        <v>45362</v>
      </c>
      <c r="J191" s="74">
        <v>58</v>
      </c>
      <c r="K191" s="74">
        <v>1</v>
      </c>
      <c r="L191" s="156">
        <v>45369</v>
      </c>
      <c r="M191" s="90">
        <v>1740</v>
      </c>
      <c r="N191" s="90">
        <v>17</v>
      </c>
      <c r="O191" s="90" t="s">
        <v>1602</v>
      </c>
      <c r="P191" s="94" t="s">
        <v>28</v>
      </c>
      <c r="Q191" s="94">
        <v>8500068857</v>
      </c>
      <c r="R191" s="94">
        <v>5000291336</v>
      </c>
      <c r="S191" s="74">
        <v>58</v>
      </c>
      <c r="T191" s="90" t="s">
        <v>794</v>
      </c>
      <c r="U191" s="90">
        <v>8500068856</v>
      </c>
      <c r="V191" s="90">
        <v>5000322579</v>
      </c>
      <c r="W191" s="109">
        <v>45373</v>
      </c>
      <c r="X191" s="106">
        <v>58</v>
      </c>
      <c r="Y191" s="106">
        <v>1740</v>
      </c>
      <c r="Z191" s="106" t="s">
        <v>927</v>
      </c>
      <c r="AA191" s="106">
        <f t="shared" si="8"/>
        <v>0</v>
      </c>
      <c r="AB191" s="106">
        <f t="shared" si="9"/>
        <v>0</v>
      </c>
      <c r="AC191" s="94"/>
      <c r="AD191" s="94"/>
      <c r="AE191" s="94"/>
      <c r="AF191" s="94"/>
      <c r="AG191" s="94"/>
      <c r="AH191" s="263"/>
    </row>
    <row r="192" spans="1:34" ht="26.25" customHeight="1">
      <c r="A192" s="45"/>
      <c r="B192" s="121"/>
      <c r="C192" s="192"/>
      <c r="D192" s="192"/>
      <c r="E192" s="94">
        <v>30</v>
      </c>
      <c r="F192" s="74">
        <v>85</v>
      </c>
      <c r="G192" s="45">
        <f t="shared" si="10"/>
        <v>2550</v>
      </c>
      <c r="H192" s="119" t="s">
        <v>146</v>
      </c>
      <c r="I192" s="128">
        <v>45362</v>
      </c>
      <c r="J192" s="74">
        <v>85</v>
      </c>
      <c r="K192" s="74">
        <v>1</v>
      </c>
      <c r="L192" s="156">
        <v>45369</v>
      </c>
      <c r="M192" s="90">
        <v>2550</v>
      </c>
      <c r="N192" s="90">
        <v>26</v>
      </c>
      <c r="O192" s="90" t="s">
        <v>740</v>
      </c>
      <c r="P192" s="94" t="s">
        <v>28</v>
      </c>
      <c r="Q192" s="94">
        <v>8500068857</v>
      </c>
      <c r="R192" s="94">
        <v>5000291336</v>
      </c>
      <c r="S192" s="74">
        <v>85</v>
      </c>
      <c r="T192" s="90" t="s">
        <v>794</v>
      </c>
      <c r="U192" s="90">
        <v>8500068856</v>
      </c>
      <c r="V192" s="90">
        <v>5000322579</v>
      </c>
      <c r="W192" s="109">
        <v>45371</v>
      </c>
      <c r="X192" s="106">
        <v>85</v>
      </c>
      <c r="Y192" s="106">
        <v>2550</v>
      </c>
      <c r="Z192" s="106" t="s">
        <v>1609</v>
      </c>
      <c r="AA192" s="106">
        <f t="shared" si="8"/>
        <v>0</v>
      </c>
      <c r="AB192" s="106">
        <f t="shared" si="9"/>
        <v>0</v>
      </c>
      <c r="AC192" s="94" t="s">
        <v>3239</v>
      </c>
      <c r="AD192" s="94"/>
      <c r="AE192" s="94"/>
      <c r="AF192" s="94"/>
      <c r="AG192" s="94"/>
      <c r="AH192" s="263"/>
    </row>
    <row r="193" spans="1:34" s="97" customFormat="1" ht="26.25" customHeight="1">
      <c r="A193" s="246" t="s">
        <v>240</v>
      </c>
      <c r="B193" s="247">
        <v>6000029234</v>
      </c>
      <c r="C193" s="245" t="s">
        <v>2050</v>
      </c>
      <c r="D193" s="192">
        <v>240415</v>
      </c>
      <c r="E193" s="94">
        <v>30</v>
      </c>
      <c r="F193" s="74">
        <v>35</v>
      </c>
      <c r="G193" s="45">
        <f t="shared" si="10"/>
        <v>1050</v>
      </c>
      <c r="H193" s="119" t="s">
        <v>37</v>
      </c>
      <c r="I193" s="128" t="s">
        <v>895</v>
      </c>
      <c r="J193" s="74"/>
      <c r="K193" s="74"/>
      <c r="L193" s="156"/>
      <c r="M193" s="90"/>
      <c r="N193" s="90"/>
      <c r="O193" s="90"/>
      <c r="P193" s="128" t="s">
        <v>895</v>
      </c>
      <c r="Q193" s="94">
        <v>8500068769</v>
      </c>
      <c r="R193" s="94">
        <v>5000370528</v>
      </c>
      <c r="S193" s="94"/>
      <c r="T193" s="90" t="s">
        <v>2073</v>
      </c>
      <c r="U193" s="90">
        <v>8500068768</v>
      </c>
      <c r="V193" s="90">
        <v>5000369701</v>
      </c>
      <c r="W193" s="109"/>
      <c r="X193" s="106"/>
      <c r="Y193" s="106"/>
      <c r="Z193" s="106"/>
      <c r="AA193" s="106">
        <f t="shared" si="8"/>
        <v>0</v>
      </c>
      <c r="AB193" s="106">
        <f t="shared" si="9"/>
        <v>0</v>
      </c>
      <c r="AC193" s="94"/>
      <c r="AD193" s="94"/>
      <c r="AE193" s="110"/>
      <c r="AF193" s="110"/>
      <c r="AG193" s="110"/>
      <c r="AH193" s="99"/>
    </row>
    <row r="194" spans="1:34" s="97" customFormat="1" ht="26.25" customHeight="1">
      <c r="A194" s="246" t="s">
        <v>240</v>
      </c>
      <c r="B194" s="247">
        <v>6000029234</v>
      </c>
      <c r="C194" s="245" t="s">
        <v>2051</v>
      </c>
      <c r="D194" s="192"/>
      <c r="E194" s="94">
        <v>30</v>
      </c>
      <c r="F194" s="74">
        <v>50</v>
      </c>
      <c r="G194" s="45">
        <f t="shared" si="10"/>
        <v>1500</v>
      </c>
      <c r="H194" s="119" t="s">
        <v>46</v>
      </c>
      <c r="I194" s="128" t="s">
        <v>895</v>
      </c>
      <c r="J194" s="74"/>
      <c r="K194" s="74"/>
      <c r="L194" s="156">
        <v>45369</v>
      </c>
      <c r="M194" s="90">
        <v>1500</v>
      </c>
      <c r="N194" s="90">
        <v>15</v>
      </c>
      <c r="O194" s="90"/>
      <c r="P194" s="94"/>
      <c r="Q194" s="94"/>
      <c r="R194" s="94">
        <v>5000370561</v>
      </c>
      <c r="S194" s="94"/>
      <c r="T194" s="90" t="s">
        <v>794</v>
      </c>
      <c r="U194" s="90">
        <v>8500068772</v>
      </c>
      <c r="V194" s="90">
        <v>5000322598</v>
      </c>
      <c r="W194" s="109">
        <v>45374</v>
      </c>
      <c r="X194" s="106"/>
      <c r="Y194" s="106">
        <v>1500</v>
      </c>
      <c r="Z194" s="106" t="s">
        <v>1981</v>
      </c>
      <c r="AA194" s="106">
        <f t="shared" si="8"/>
        <v>0</v>
      </c>
      <c r="AB194" s="106">
        <f t="shared" si="9"/>
        <v>0</v>
      </c>
      <c r="AC194" s="94"/>
      <c r="AD194" s="94"/>
      <c r="AE194" s="110"/>
      <c r="AF194" s="110"/>
      <c r="AG194" s="110"/>
      <c r="AH194" s="99"/>
    </row>
    <row r="195" spans="1:34" s="97" customFormat="1" ht="26.25" customHeight="1">
      <c r="A195" s="246" t="s">
        <v>240</v>
      </c>
      <c r="B195" s="247">
        <v>6000029234</v>
      </c>
      <c r="C195" s="245" t="s">
        <v>581</v>
      </c>
      <c r="D195" s="192"/>
      <c r="E195" s="94">
        <v>30</v>
      </c>
      <c r="F195" s="74">
        <v>35</v>
      </c>
      <c r="G195" s="45">
        <f t="shared" si="10"/>
        <v>1050</v>
      </c>
      <c r="H195" s="119" t="s">
        <v>27</v>
      </c>
      <c r="I195" s="128" t="s">
        <v>895</v>
      </c>
      <c r="J195" s="74"/>
      <c r="K195" s="74"/>
      <c r="L195" s="156">
        <v>45363</v>
      </c>
      <c r="M195" s="90">
        <v>1050</v>
      </c>
      <c r="N195" s="90">
        <v>11</v>
      </c>
      <c r="O195" s="90"/>
      <c r="P195" s="94"/>
      <c r="Q195" s="94"/>
      <c r="R195" s="94"/>
      <c r="S195" s="94"/>
      <c r="T195" s="90" t="s">
        <v>794</v>
      </c>
      <c r="U195" s="90">
        <v>8500068774</v>
      </c>
      <c r="V195" s="90">
        <v>5000296263</v>
      </c>
      <c r="W195" s="109">
        <v>45374</v>
      </c>
      <c r="X195" s="106"/>
      <c r="Y195" s="106">
        <v>1050</v>
      </c>
      <c r="Z195" s="106" t="s">
        <v>1981</v>
      </c>
      <c r="AA195" s="106">
        <f t="shared" si="8"/>
        <v>0</v>
      </c>
      <c r="AB195" s="106">
        <f t="shared" si="9"/>
        <v>0</v>
      </c>
      <c r="AC195" s="94"/>
      <c r="AD195" s="94"/>
      <c r="AE195" s="110"/>
      <c r="AF195" s="110"/>
      <c r="AG195" s="110"/>
      <c r="AH195" s="99"/>
    </row>
    <row r="196" spans="1:34" s="97" customFormat="1" ht="26.25" customHeight="1">
      <c r="A196" s="219"/>
      <c r="B196" s="251"/>
      <c r="C196" s="245"/>
      <c r="D196" s="192"/>
      <c r="E196" s="94">
        <v>30</v>
      </c>
      <c r="F196" s="74">
        <v>50</v>
      </c>
      <c r="G196" s="45">
        <f t="shared" si="10"/>
        <v>1500</v>
      </c>
      <c r="H196" s="119" t="s">
        <v>46</v>
      </c>
      <c r="I196" s="128" t="s">
        <v>895</v>
      </c>
      <c r="J196" s="74"/>
      <c r="K196" s="74"/>
      <c r="L196" s="156">
        <v>45363</v>
      </c>
      <c r="M196" s="90">
        <v>1500</v>
      </c>
      <c r="N196" s="90">
        <v>15</v>
      </c>
      <c r="O196" s="90"/>
      <c r="P196" s="128"/>
      <c r="Q196" s="94"/>
      <c r="R196" s="94"/>
      <c r="S196" s="94"/>
      <c r="T196" s="90" t="s">
        <v>794</v>
      </c>
      <c r="U196" s="90">
        <v>8500068774</v>
      </c>
      <c r="V196" s="90">
        <v>5000296263</v>
      </c>
      <c r="W196" s="109">
        <v>45374</v>
      </c>
      <c r="X196" s="106"/>
      <c r="Y196" s="106">
        <v>1500</v>
      </c>
      <c r="Z196" s="106" t="s">
        <v>1981</v>
      </c>
      <c r="AA196" s="106">
        <f t="shared" si="8"/>
        <v>0</v>
      </c>
      <c r="AB196" s="106">
        <f t="shared" si="9"/>
        <v>0</v>
      </c>
      <c r="AC196" s="94"/>
      <c r="AD196" s="94"/>
      <c r="AE196" s="110"/>
      <c r="AF196" s="110"/>
      <c r="AG196" s="110"/>
      <c r="AH196" s="99"/>
    </row>
    <row r="197" spans="1:34" ht="30.75" customHeight="1">
      <c r="A197" s="219"/>
      <c r="B197" s="251"/>
      <c r="C197" s="245"/>
      <c r="D197" s="192"/>
      <c r="E197" s="94">
        <v>30</v>
      </c>
      <c r="F197" s="74">
        <v>35</v>
      </c>
      <c r="G197" s="45">
        <f t="shared" si="10"/>
        <v>1050</v>
      </c>
      <c r="H197" s="119" t="s">
        <v>37</v>
      </c>
      <c r="I197" s="128" t="s">
        <v>895</v>
      </c>
      <c r="J197" s="74"/>
      <c r="K197" s="74"/>
      <c r="L197" s="156">
        <v>45363</v>
      </c>
      <c r="M197" s="90">
        <v>1050</v>
      </c>
      <c r="N197" s="90">
        <v>11</v>
      </c>
      <c r="O197" s="90"/>
      <c r="P197" s="128"/>
      <c r="Q197" s="94"/>
      <c r="R197" s="94"/>
      <c r="S197" s="94"/>
      <c r="T197" s="90" t="s">
        <v>794</v>
      </c>
      <c r="U197" s="90">
        <v>8500068774</v>
      </c>
      <c r="V197" s="90">
        <v>5000296263</v>
      </c>
      <c r="W197" s="109">
        <v>45374</v>
      </c>
      <c r="X197" s="106"/>
      <c r="Y197" s="106">
        <v>1050</v>
      </c>
      <c r="Z197" s="106" t="s">
        <v>1981</v>
      </c>
      <c r="AA197" s="106">
        <f t="shared" si="8"/>
        <v>0</v>
      </c>
      <c r="AB197" s="106">
        <f t="shared" si="9"/>
        <v>0</v>
      </c>
      <c r="AC197" s="94"/>
      <c r="AD197" s="94"/>
      <c r="AE197" s="94"/>
      <c r="AF197" s="94"/>
      <c r="AG197" s="94"/>
      <c r="AH197" s="263"/>
    </row>
    <row r="198" spans="1:34" ht="26.25" customHeight="1">
      <c r="A198" s="90" t="s">
        <v>1727</v>
      </c>
      <c r="B198" s="88">
        <v>6000028989</v>
      </c>
      <c r="C198" s="2" t="s">
        <v>2299</v>
      </c>
      <c r="D198" s="192" t="s">
        <v>3134</v>
      </c>
      <c r="E198" s="94">
        <v>10</v>
      </c>
      <c r="F198" s="74">
        <v>432</v>
      </c>
      <c r="G198" s="45">
        <f t="shared" si="10"/>
        <v>4320</v>
      </c>
      <c r="H198" s="119" t="s">
        <v>27</v>
      </c>
      <c r="I198" s="128">
        <v>45369</v>
      </c>
      <c r="J198" s="74">
        <v>432</v>
      </c>
      <c r="K198" s="74">
        <v>4</v>
      </c>
      <c r="L198" s="156">
        <v>45366</v>
      </c>
      <c r="M198" s="90">
        <v>4320</v>
      </c>
      <c r="N198" s="90">
        <v>22</v>
      </c>
      <c r="O198" s="90"/>
      <c r="P198" s="128" t="s">
        <v>1558</v>
      </c>
      <c r="Q198" s="94">
        <v>8500069649</v>
      </c>
      <c r="R198" s="94">
        <v>5000323870</v>
      </c>
      <c r="S198" s="74">
        <v>432</v>
      </c>
      <c r="T198" s="90" t="s">
        <v>152</v>
      </c>
      <c r="U198" s="90">
        <v>8500069647</v>
      </c>
      <c r="V198" s="90">
        <v>5000309674</v>
      </c>
      <c r="W198" s="109">
        <v>45366</v>
      </c>
      <c r="X198" s="106">
        <v>432</v>
      </c>
      <c r="Y198" s="106">
        <v>4320</v>
      </c>
      <c r="Z198" s="106" t="s">
        <v>1502</v>
      </c>
      <c r="AA198" s="106">
        <f t="shared" ref="AA198:AA264" si="11">J198-X198</f>
        <v>0</v>
      </c>
      <c r="AB198" s="106">
        <f t="shared" ref="AB198:AB264" si="12">M198-Y198</f>
        <v>0</v>
      </c>
      <c r="AC198" s="94"/>
      <c r="AD198" s="94"/>
      <c r="AE198" s="94"/>
      <c r="AF198" s="94"/>
      <c r="AG198" s="94"/>
      <c r="AH198" s="263"/>
    </row>
    <row r="199" spans="1:34" ht="26.25" customHeight="1">
      <c r="A199" s="45"/>
      <c r="B199" s="121"/>
      <c r="C199" s="192"/>
      <c r="D199" s="552" t="s">
        <v>3135</v>
      </c>
      <c r="E199" s="253">
        <v>10</v>
      </c>
      <c r="F199" s="218">
        <v>1152</v>
      </c>
      <c r="G199" s="219">
        <f t="shared" si="10"/>
        <v>11520</v>
      </c>
      <c r="H199" s="227" t="s">
        <v>46</v>
      </c>
      <c r="I199" s="350" t="s">
        <v>895</v>
      </c>
      <c r="J199" s="74"/>
      <c r="K199" s="74"/>
      <c r="L199" s="356" t="s">
        <v>895</v>
      </c>
      <c r="M199" s="90"/>
      <c r="N199" s="90"/>
      <c r="O199" s="90"/>
      <c r="P199" s="350" t="s">
        <v>895</v>
      </c>
      <c r="Q199" s="94"/>
      <c r="R199" s="94"/>
      <c r="S199" s="94"/>
      <c r="T199" s="356" t="s">
        <v>895</v>
      </c>
      <c r="U199" s="90">
        <v>8500069647</v>
      </c>
      <c r="V199" s="90">
        <v>5000355573</v>
      </c>
      <c r="W199" s="109"/>
      <c r="X199" s="106"/>
      <c r="Y199" s="106"/>
      <c r="Z199" s="106"/>
      <c r="AA199" s="106">
        <f t="shared" si="11"/>
        <v>0</v>
      </c>
      <c r="AB199" s="106">
        <f t="shared" si="12"/>
        <v>0</v>
      </c>
      <c r="AC199" s="94"/>
      <c r="AD199" s="94"/>
      <c r="AE199" s="94"/>
      <c r="AF199" s="94"/>
      <c r="AG199" s="94"/>
      <c r="AH199" s="263"/>
    </row>
    <row r="200" spans="1:34" ht="26.25" customHeight="1">
      <c r="A200" s="45"/>
      <c r="B200" s="121"/>
      <c r="C200" s="192"/>
      <c r="D200" s="553"/>
      <c r="E200" s="253">
        <v>10</v>
      </c>
      <c r="F200" s="218">
        <v>1224</v>
      </c>
      <c r="G200" s="219">
        <f t="shared" si="10"/>
        <v>12240</v>
      </c>
      <c r="H200" s="227" t="s">
        <v>37</v>
      </c>
      <c r="I200" s="350" t="s">
        <v>895</v>
      </c>
      <c r="J200" s="74"/>
      <c r="K200" s="74"/>
      <c r="L200" s="356" t="s">
        <v>895</v>
      </c>
      <c r="M200" s="90"/>
      <c r="N200" s="90"/>
      <c r="O200" s="90"/>
      <c r="P200" s="350" t="s">
        <v>895</v>
      </c>
      <c r="Q200" s="94"/>
      <c r="R200" s="94"/>
      <c r="S200" s="94"/>
      <c r="T200" s="356" t="s">
        <v>895</v>
      </c>
      <c r="U200" s="90">
        <v>8500069647</v>
      </c>
      <c r="V200" s="90">
        <v>5000355573</v>
      </c>
      <c r="W200" s="105"/>
      <c r="X200" s="106"/>
      <c r="Y200" s="106"/>
      <c r="Z200" s="106"/>
      <c r="AA200" s="106">
        <f t="shared" si="11"/>
        <v>0</v>
      </c>
      <c r="AB200" s="106">
        <f t="shared" si="12"/>
        <v>0</v>
      </c>
      <c r="AC200" s="94"/>
      <c r="AD200" s="94"/>
      <c r="AE200" s="94"/>
      <c r="AF200" s="94"/>
      <c r="AG200" s="94"/>
      <c r="AH200" s="263"/>
    </row>
    <row r="201" spans="1:34" ht="26.25" customHeight="1">
      <c r="A201" s="45"/>
      <c r="B201" s="121"/>
      <c r="C201" s="192"/>
      <c r="D201" s="554"/>
      <c r="E201" s="352">
        <v>10</v>
      </c>
      <c r="F201" s="221">
        <v>882</v>
      </c>
      <c r="G201" s="353">
        <f t="shared" si="10"/>
        <v>8820</v>
      </c>
      <c r="H201" s="222" t="s">
        <v>146</v>
      </c>
      <c r="I201" s="354">
        <v>45379</v>
      </c>
      <c r="J201" s="74">
        <v>882</v>
      </c>
      <c r="K201" s="74">
        <v>8</v>
      </c>
      <c r="L201" s="156">
        <v>45377</v>
      </c>
      <c r="M201" s="90">
        <v>8820</v>
      </c>
      <c r="N201" s="90">
        <v>45</v>
      </c>
      <c r="O201" s="90"/>
      <c r="P201" s="128" t="s">
        <v>1558</v>
      </c>
      <c r="Q201" s="94">
        <v>8500069649</v>
      </c>
      <c r="R201" s="94">
        <v>5000370595</v>
      </c>
      <c r="S201" s="94"/>
      <c r="T201" s="90" t="s">
        <v>152</v>
      </c>
      <c r="U201" s="90">
        <v>8500069647</v>
      </c>
      <c r="V201" s="90">
        <v>5000361306</v>
      </c>
      <c r="W201" s="109">
        <v>45402</v>
      </c>
      <c r="X201" s="106">
        <v>882</v>
      </c>
      <c r="Y201" s="106">
        <v>8820</v>
      </c>
      <c r="Z201" s="106" t="s">
        <v>759</v>
      </c>
      <c r="AA201" s="106">
        <f t="shared" si="11"/>
        <v>0</v>
      </c>
      <c r="AB201" s="106">
        <f t="shared" si="12"/>
        <v>0</v>
      </c>
      <c r="AC201" s="94"/>
      <c r="AD201" s="94"/>
      <c r="AE201" s="94"/>
      <c r="AF201" s="94"/>
      <c r="AG201" s="94"/>
      <c r="AH201" s="263"/>
    </row>
    <row r="202" spans="1:34" ht="26.25" customHeight="1">
      <c r="A202" s="90" t="s">
        <v>1727</v>
      </c>
      <c r="B202" s="88">
        <v>6000028992</v>
      </c>
      <c r="C202" s="2" t="s">
        <v>2299</v>
      </c>
      <c r="D202" s="192" t="s">
        <v>3136</v>
      </c>
      <c r="E202" s="94">
        <v>10</v>
      </c>
      <c r="F202" s="74">
        <v>484</v>
      </c>
      <c r="G202" s="45">
        <f t="shared" si="10"/>
        <v>4840</v>
      </c>
      <c r="H202" s="119" t="s">
        <v>27</v>
      </c>
      <c r="I202" s="128">
        <v>45370</v>
      </c>
      <c r="J202" s="74">
        <v>484</v>
      </c>
      <c r="K202" s="74">
        <v>4</v>
      </c>
      <c r="L202" s="156">
        <v>45366</v>
      </c>
      <c r="M202" s="90">
        <v>4840</v>
      </c>
      <c r="N202" s="90">
        <v>25</v>
      </c>
      <c r="O202" s="90"/>
      <c r="P202" s="128" t="s">
        <v>1558</v>
      </c>
      <c r="Q202" s="94">
        <v>8500069651</v>
      </c>
      <c r="R202" s="94">
        <v>5000370750</v>
      </c>
      <c r="S202" s="74">
        <v>484</v>
      </c>
      <c r="T202" s="90" t="s">
        <v>152</v>
      </c>
      <c r="U202" s="90">
        <v>8500069650</v>
      </c>
      <c r="V202" s="90">
        <v>5000309678</v>
      </c>
      <c r="W202" s="109">
        <v>484</v>
      </c>
      <c r="X202" s="106">
        <v>484</v>
      </c>
      <c r="Y202" s="106">
        <v>4840</v>
      </c>
      <c r="Z202" s="106" t="s">
        <v>1502</v>
      </c>
      <c r="AA202" s="106">
        <f t="shared" si="11"/>
        <v>0</v>
      </c>
      <c r="AB202" s="106">
        <f t="shared" si="12"/>
        <v>0</v>
      </c>
      <c r="AC202" s="94"/>
      <c r="AD202" s="94"/>
      <c r="AE202" s="94"/>
      <c r="AF202" s="94"/>
      <c r="AG202" s="94"/>
      <c r="AH202" s="263"/>
    </row>
    <row r="203" spans="1:34" ht="26.25" customHeight="1">
      <c r="A203" s="45"/>
      <c r="B203" s="121"/>
      <c r="C203" s="192"/>
      <c r="D203" s="552" t="s">
        <v>3135</v>
      </c>
      <c r="E203" s="253">
        <v>10</v>
      </c>
      <c r="F203" s="218">
        <v>1118</v>
      </c>
      <c r="G203" s="219">
        <f t="shared" si="10"/>
        <v>11180</v>
      </c>
      <c r="H203" s="227" t="s">
        <v>46</v>
      </c>
      <c r="I203" s="350" t="s">
        <v>895</v>
      </c>
      <c r="J203" s="74"/>
      <c r="K203" s="74"/>
      <c r="L203" s="156"/>
      <c r="M203" s="90"/>
      <c r="N203" s="90"/>
      <c r="O203" s="90"/>
      <c r="P203" s="350" t="s">
        <v>895</v>
      </c>
      <c r="Q203" s="94"/>
      <c r="R203" s="94"/>
      <c r="S203" s="94"/>
      <c r="T203" s="356" t="s">
        <v>895</v>
      </c>
      <c r="U203" s="90">
        <v>8500069650</v>
      </c>
      <c r="V203" s="90">
        <v>5000355577</v>
      </c>
      <c r="W203" s="109"/>
      <c r="X203" s="106"/>
      <c r="Y203" s="106"/>
      <c r="Z203" s="106"/>
      <c r="AA203" s="106">
        <f t="shared" si="11"/>
        <v>0</v>
      </c>
      <c r="AB203" s="106">
        <f t="shared" si="12"/>
        <v>0</v>
      </c>
      <c r="AC203" s="94"/>
      <c r="AD203" s="94"/>
      <c r="AE203" s="94"/>
      <c r="AF203" s="94"/>
      <c r="AG203" s="94"/>
      <c r="AH203" s="263"/>
    </row>
    <row r="204" spans="1:34" ht="26.25" customHeight="1">
      <c r="A204" s="45"/>
      <c r="B204" s="121"/>
      <c r="C204" s="192"/>
      <c r="D204" s="553"/>
      <c r="E204" s="253">
        <v>10</v>
      </c>
      <c r="F204" s="218">
        <v>1305</v>
      </c>
      <c r="G204" s="219">
        <f t="shared" si="10"/>
        <v>13050</v>
      </c>
      <c r="H204" s="227" t="s">
        <v>37</v>
      </c>
      <c r="I204" s="350" t="s">
        <v>895</v>
      </c>
      <c r="J204" s="74"/>
      <c r="K204" s="74"/>
      <c r="L204" s="156"/>
      <c r="M204" s="90"/>
      <c r="N204" s="90"/>
      <c r="O204" s="90"/>
      <c r="P204" s="350" t="s">
        <v>895</v>
      </c>
      <c r="Q204" s="94"/>
      <c r="R204" s="94"/>
      <c r="S204" s="94"/>
      <c r="T204" s="356" t="s">
        <v>895</v>
      </c>
      <c r="U204" s="90">
        <v>8500069650</v>
      </c>
      <c r="V204" s="90">
        <v>5000355577</v>
      </c>
      <c r="W204" s="109"/>
      <c r="X204" s="106"/>
      <c r="Y204" s="106"/>
      <c r="Z204" s="106"/>
      <c r="AA204" s="106">
        <f t="shared" si="11"/>
        <v>0</v>
      </c>
      <c r="AB204" s="106">
        <f t="shared" si="12"/>
        <v>0</v>
      </c>
      <c r="AC204" s="94"/>
      <c r="AD204" s="94"/>
      <c r="AE204" s="94"/>
      <c r="AF204" s="94"/>
      <c r="AG204" s="94"/>
      <c r="AH204" s="263"/>
    </row>
    <row r="205" spans="1:34" ht="26.25" customHeight="1">
      <c r="A205" s="45"/>
      <c r="B205" s="121"/>
      <c r="C205" s="192"/>
      <c r="D205" s="554"/>
      <c r="E205" s="352">
        <v>10</v>
      </c>
      <c r="F205" s="221">
        <v>783</v>
      </c>
      <c r="G205" s="353">
        <f t="shared" si="10"/>
        <v>7830</v>
      </c>
      <c r="H205" s="222" t="s">
        <v>146</v>
      </c>
      <c r="I205" s="354">
        <v>45379</v>
      </c>
      <c r="J205" s="74">
        <v>783</v>
      </c>
      <c r="K205" s="74">
        <v>7</v>
      </c>
      <c r="L205" s="156">
        <v>45377</v>
      </c>
      <c r="M205" s="90">
        <v>7830</v>
      </c>
      <c r="N205" s="90">
        <v>40</v>
      </c>
      <c r="O205" s="90"/>
      <c r="P205" s="128" t="s">
        <v>1558</v>
      </c>
      <c r="Q205" s="94">
        <v>8500069651</v>
      </c>
      <c r="R205" s="94">
        <v>5000370750</v>
      </c>
      <c r="S205" s="94"/>
      <c r="T205" s="90" t="s">
        <v>152</v>
      </c>
      <c r="U205" s="90">
        <v>8500069650</v>
      </c>
      <c r="V205" s="90">
        <v>5000361252</v>
      </c>
      <c r="W205" s="109">
        <v>45406</v>
      </c>
      <c r="X205" s="106">
        <v>783</v>
      </c>
      <c r="Y205" s="106">
        <v>7830</v>
      </c>
      <c r="Z205" s="106" t="s">
        <v>759</v>
      </c>
      <c r="AA205" s="106">
        <f t="shared" si="11"/>
        <v>0</v>
      </c>
      <c r="AB205" s="106">
        <f t="shared" si="12"/>
        <v>0</v>
      </c>
      <c r="AC205" s="94"/>
      <c r="AD205" s="94"/>
      <c r="AE205" s="94"/>
      <c r="AF205" s="94"/>
      <c r="AG205" s="94"/>
      <c r="AH205" s="263"/>
    </row>
    <row r="206" spans="1:34" ht="26.25" customHeight="1">
      <c r="A206" s="90" t="s">
        <v>136</v>
      </c>
      <c r="B206" s="88">
        <v>6000028838</v>
      </c>
      <c r="C206" s="2" t="s">
        <v>137</v>
      </c>
      <c r="D206" s="192">
        <v>37064</v>
      </c>
      <c r="E206" s="94">
        <v>10</v>
      </c>
      <c r="F206" s="74">
        <v>1290</v>
      </c>
      <c r="G206" s="45">
        <f t="shared" ref="G206:G221" si="13">E206*F206</f>
        <v>12900</v>
      </c>
      <c r="H206" s="119" t="s">
        <v>27</v>
      </c>
      <c r="I206" s="128">
        <v>45378</v>
      </c>
      <c r="J206" s="74">
        <v>1290</v>
      </c>
      <c r="K206" s="74">
        <f>14+8</f>
        <v>22</v>
      </c>
      <c r="L206" s="156">
        <v>45371</v>
      </c>
      <c r="M206" s="90">
        <v>12900</v>
      </c>
      <c r="N206" s="90">
        <v>65</v>
      </c>
      <c r="O206" s="90" t="s">
        <v>2732</v>
      </c>
      <c r="P206" s="94" t="s">
        <v>160</v>
      </c>
      <c r="Q206" s="94">
        <v>8500068455</v>
      </c>
      <c r="R206" s="94">
        <v>5000365331</v>
      </c>
      <c r="S206" s="94"/>
      <c r="T206" s="90" t="s">
        <v>152</v>
      </c>
      <c r="U206" s="90">
        <v>8500068451</v>
      </c>
      <c r="V206" s="90">
        <v>5000337035</v>
      </c>
      <c r="W206" s="109">
        <v>45398</v>
      </c>
      <c r="X206" s="106">
        <v>1290</v>
      </c>
      <c r="Y206" s="106">
        <v>12900</v>
      </c>
      <c r="Z206" s="106" t="s">
        <v>1513</v>
      </c>
      <c r="AA206" s="106">
        <f t="shared" si="11"/>
        <v>0</v>
      </c>
      <c r="AB206" s="106">
        <f t="shared" si="12"/>
        <v>0</v>
      </c>
      <c r="AC206" s="94"/>
      <c r="AD206" s="94"/>
      <c r="AE206" s="94"/>
      <c r="AF206" s="94"/>
      <c r="AG206" s="94"/>
      <c r="AH206" s="263"/>
    </row>
    <row r="207" spans="1:34" ht="25.5" customHeight="1">
      <c r="A207" s="90"/>
      <c r="B207" s="88"/>
      <c r="C207" s="2"/>
      <c r="D207" s="192"/>
      <c r="E207" s="94">
        <v>10</v>
      </c>
      <c r="F207" s="74">
        <v>2600</v>
      </c>
      <c r="G207" s="45">
        <f t="shared" si="13"/>
        <v>26000</v>
      </c>
      <c r="H207" s="119" t="s">
        <v>46</v>
      </c>
      <c r="I207" s="128">
        <v>45377</v>
      </c>
      <c r="J207" s="74">
        <v>2600</v>
      </c>
      <c r="K207" s="74">
        <v>28</v>
      </c>
      <c r="L207" s="156">
        <v>45378</v>
      </c>
      <c r="M207" s="90">
        <v>26000</v>
      </c>
      <c r="N207" s="90">
        <v>130</v>
      </c>
      <c r="O207" s="90"/>
      <c r="P207" s="94" t="s">
        <v>160</v>
      </c>
      <c r="Q207" s="94">
        <v>8500068455</v>
      </c>
      <c r="R207" s="94">
        <v>5000361591</v>
      </c>
      <c r="S207" s="94"/>
      <c r="T207" s="90" t="s">
        <v>1666</v>
      </c>
      <c r="U207" s="90">
        <v>8500068451</v>
      </c>
      <c r="V207" s="90">
        <v>5000337273</v>
      </c>
      <c r="W207" s="109">
        <v>45405</v>
      </c>
      <c r="X207" s="106">
        <v>2600</v>
      </c>
      <c r="Y207" s="106">
        <v>26000</v>
      </c>
      <c r="Z207" s="106" t="s">
        <v>803</v>
      </c>
      <c r="AA207" s="106">
        <f t="shared" si="11"/>
        <v>0</v>
      </c>
      <c r="AB207" s="106">
        <f t="shared" si="12"/>
        <v>0</v>
      </c>
      <c r="AC207" s="94"/>
      <c r="AD207" s="94"/>
      <c r="AE207" s="94"/>
      <c r="AF207" s="94"/>
      <c r="AG207" s="94"/>
      <c r="AH207" s="263"/>
    </row>
    <row r="208" spans="1:34" ht="26.25" customHeight="1">
      <c r="A208" s="90"/>
      <c r="B208" s="88"/>
      <c r="C208" s="2"/>
      <c r="D208" s="192"/>
      <c r="E208" s="94">
        <v>10</v>
      </c>
      <c r="F208" s="74">
        <v>640</v>
      </c>
      <c r="G208" s="45">
        <f t="shared" si="13"/>
        <v>6400</v>
      </c>
      <c r="H208" s="119" t="s">
        <v>37</v>
      </c>
      <c r="I208" s="128">
        <v>45378</v>
      </c>
      <c r="J208" s="74">
        <v>640</v>
      </c>
      <c r="K208" s="74">
        <f>8+9</f>
        <v>17</v>
      </c>
      <c r="L208" s="156">
        <v>45378</v>
      </c>
      <c r="M208" s="90">
        <v>6400</v>
      </c>
      <c r="N208" s="90">
        <v>32</v>
      </c>
      <c r="O208" s="90"/>
      <c r="P208" s="94" t="s">
        <v>160</v>
      </c>
      <c r="Q208" s="94">
        <v>8500068455</v>
      </c>
      <c r="R208" s="94">
        <v>5000365331</v>
      </c>
      <c r="S208" s="94"/>
      <c r="T208" s="90" t="s">
        <v>1666</v>
      </c>
      <c r="U208" s="90">
        <v>8500068451</v>
      </c>
      <c r="V208" s="90">
        <v>5000337273</v>
      </c>
      <c r="W208" s="109">
        <v>45408</v>
      </c>
      <c r="X208" s="106">
        <v>640</v>
      </c>
      <c r="Y208" s="106">
        <v>6400</v>
      </c>
      <c r="Z208" s="106" t="s">
        <v>870</v>
      </c>
      <c r="AA208" s="106">
        <f t="shared" si="11"/>
        <v>0</v>
      </c>
      <c r="AB208" s="106">
        <f t="shared" si="12"/>
        <v>0</v>
      </c>
      <c r="AC208" s="94"/>
      <c r="AD208" s="94"/>
      <c r="AE208" s="94"/>
      <c r="AF208" s="94"/>
      <c r="AG208" s="94"/>
      <c r="AH208" s="263"/>
    </row>
    <row r="209" spans="1:34" ht="26.25" customHeight="1">
      <c r="A209" s="90"/>
      <c r="B209" s="88"/>
      <c r="C209" s="2"/>
      <c r="D209" s="192"/>
      <c r="E209" s="94">
        <v>10</v>
      </c>
      <c r="F209" s="218">
        <v>290</v>
      </c>
      <c r="G209" s="219">
        <f t="shared" si="13"/>
        <v>2900</v>
      </c>
      <c r="H209" s="227" t="s">
        <v>146</v>
      </c>
      <c r="I209" s="128" t="s">
        <v>895</v>
      </c>
      <c r="J209" s="74"/>
      <c r="K209" s="74">
        <v>10</v>
      </c>
      <c r="L209" s="156"/>
      <c r="M209" s="90"/>
      <c r="N209" s="90">
        <v>11</v>
      </c>
      <c r="O209" s="90"/>
      <c r="P209" s="128" t="s">
        <v>895</v>
      </c>
      <c r="Q209" s="94">
        <v>8500068455</v>
      </c>
      <c r="R209" s="94">
        <v>5000369707</v>
      </c>
      <c r="S209" s="94"/>
      <c r="T209" s="90" t="s">
        <v>895</v>
      </c>
      <c r="U209" s="90">
        <v>8500068451</v>
      </c>
      <c r="V209" s="90">
        <v>5000337273</v>
      </c>
      <c r="W209" s="109"/>
      <c r="X209" s="106"/>
      <c r="Y209" s="106"/>
      <c r="Z209" s="106"/>
      <c r="AA209" s="106">
        <f t="shared" si="11"/>
        <v>0</v>
      </c>
      <c r="AB209" s="106">
        <f t="shared" si="12"/>
        <v>0</v>
      </c>
      <c r="AC209" s="94"/>
      <c r="AD209" s="94"/>
      <c r="AE209" s="94"/>
      <c r="AF209" s="94"/>
      <c r="AG209" s="94"/>
      <c r="AH209" s="263"/>
    </row>
    <row r="210" spans="1:34" ht="26.25" customHeight="1">
      <c r="A210" s="90" t="s">
        <v>136</v>
      </c>
      <c r="B210" s="88">
        <v>6000028839</v>
      </c>
      <c r="C210" s="2" t="s">
        <v>137</v>
      </c>
      <c r="D210" s="192">
        <v>37065</v>
      </c>
      <c r="E210" s="94">
        <v>10</v>
      </c>
      <c r="F210" s="74">
        <v>1290</v>
      </c>
      <c r="G210" s="45">
        <f t="shared" si="13"/>
        <v>12900</v>
      </c>
      <c r="H210" s="119" t="s">
        <v>27</v>
      </c>
      <c r="I210" s="128">
        <v>45377</v>
      </c>
      <c r="J210" s="74">
        <v>1290</v>
      </c>
      <c r="K210" s="74">
        <v>14</v>
      </c>
      <c r="L210" s="156">
        <v>45378</v>
      </c>
      <c r="M210" s="90">
        <v>12900</v>
      </c>
      <c r="N210" s="90">
        <v>65</v>
      </c>
      <c r="O210" s="90"/>
      <c r="P210" s="94" t="s">
        <v>160</v>
      </c>
      <c r="Q210" s="94">
        <v>8500068457</v>
      </c>
      <c r="R210" s="94">
        <v>5000361590</v>
      </c>
      <c r="S210" s="94"/>
      <c r="T210" s="90" t="s">
        <v>1666</v>
      </c>
      <c r="U210" s="90">
        <v>8500068456</v>
      </c>
      <c r="V210" s="90">
        <v>5000337291</v>
      </c>
      <c r="W210" s="109">
        <v>45399</v>
      </c>
      <c r="X210" s="106">
        <v>1290</v>
      </c>
      <c r="Y210" s="106">
        <v>12900</v>
      </c>
      <c r="Z210" s="106" t="s">
        <v>1513</v>
      </c>
      <c r="AA210" s="106">
        <f t="shared" si="11"/>
        <v>0</v>
      </c>
      <c r="AB210" s="106">
        <f t="shared" si="12"/>
        <v>0</v>
      </c>
      <c r="AC210" s="94"/>
      <c r="AD210" s="94"/>
      <c r="AE210" s="94"/>
      <c r="AF210" s="94"/>
      <c r="AG210" s="94"/>
      <c r="AH210" s="263"/>
    </row>
    <row r="211" spans="1:34" ht="26.25" customHeight="1">
      <c r="A211" s="90"/>
      <c r="B211" s="88"/>
      <c r="C211" s="2"/>
      <c r="D211" s="192"/>
      <c r="E211" s="94">
        <v>10</v>
      </c>
      <c r="F211" s="74">
        <v>2600</v>
      </c>
      <c r="G211" s="45">
        <f t="shared" si="13"/>
        <v>26000</v>
      </c>
      <c r="H211" s="119" t="s">
        <v>46</v>
      </c>
      <c r="I211" s="128">
        <v>45377</v>
      </c>
      <c r="J211" s="74">
        <v>2600</v>
      </c>
      <c r="K211" s="74">
        <v>28</v>
      </c>
      <c r="L211" s="156">
        <v>45377</v>
      </c>
      <c r="M211" s="90">
        <v>26000</v>
      </c>
      <c r="N211" s="90">
        <v>130</v>
      </c>
      <c r="O211" s="90"/>
      <c r="P211" s="94" t="s">
        <v>160</v>
      </c>
      <c r="Q211" s="94">
        <v>8500068457</v>
      </c>
      <c r="R211" s="94">
        <v>5000361590</v>
      </c>
      <c r="S211" s="94"/>
      <c r="T211" s="90" t="s">
        <v>152</v>
      </c>
      <c r="U211" s="90">
        <v>8500068456</v>
      </c>
      <c r="V211" s="90">
        <v>5000361333</v>
      </c>
      <c r="W211" s="109">
        <v>45406</v>
      </c>
      <c r="X211" s="106">
        <v>2600</v>
      </c>
      <c r="Y211" s="106">
        <v>26000</v>
      </c>
      <c r="Z211" s="106" t="s">
        <v>267</v>
      </c>
      <c r="AA211" s="106">
        <f t="shared" si="11"/>
        <v>0</v>
      </c>
      <c r="AB211" s="106">
        <f t="shared" si="12"/>
        <v>0</v>
      </c>
      <c r="AC211" s="94" t="s">
        <v>3391</v>
      </c>
      <c r="AD211" s="94"/>
      <c r="AE211" s="94"/>
      <c r="AF211" s="94"/>
      <c r="AG211" s="94"/>
      <c r="AH211" s="263"/>
    </row>
    <row r="212" spans="1:34" ht="26.25" customHeight="1">
      <c r="A212" s="90"/>
      <c r="B212" s="88"/>
      <c r="C212" s="2"/>
      <c r="D212" s="192"/>
      <c r="E212" s="94">
        <v>10</v>
      </c>
      <c r="F212" s="74">
        <v>640</v>
      </c>
      <c r="G212" s="45">
        <f t="shared" si="13"/>
        <v>6400</v>
      </c>
      <c r="H212" s="119" t="s">
        <v>37</v>
      </c>
      <c r="I212" s="128">
        <v>45377</v>
      </c>
      <c r="J212" s="74">
        <v>640</v>
      </c>
      <c r="K212" s="74">
        <f>8+9</f>
        <v>17</v>
      </c>
      <c r="L212" s="156">
        <v>45371</v>
      </c>
      <c r="M212" s="90">
        <v>6400</v>
      </c>
      <c r="N212" s="90">
        <v>32</v>
      </c>
      <c r="O212" s="90" t="s">
        <v>1746</v>
      </c>
      <c r="P212" s="94" t="s">
        <v>160</v>
      </c>
      <c r="Q212" s="94">
        <v>8500068457</v>
      </c>
      <c r="R212" s="94">
        <v>5000361590</v>
      </c>
      <c r="S212" s="94"/>
      <c r="T212" s="90" t="s">
        <v>152</v>
      </c>
      <c r="U212" s="90">
        <v>8500068456</v>
      </c>
      <c r="V212" s="90">
        <v>5000337093</v>
      </c>
      <c r="W212" s="109">
        <v>45409</v>
      </c>
      <c r="X212" s="106">
        <v>640</v>
      </c>
      <c r="Y212" s="106">
        <v>6400</v>
      </c>
      <c r="Z212" s="106" t="s">
        <v>870</v>
      </c>
      <c r="AA212" s="106">
        <f t="shared" si="11"/>
        <v>0</v>
      </c>
      <c r="AB212" s="106">
        <f t="shared" si="12"/>
        <v>0</v>
      </c>
      <c r="AC212" s="94"/>
      <c r="AD212" s="94"/>
      <c r="AE212" s="94"/>
      <c r="AF212" s="94"/>
      <c r="AG212" s="94"/>
      <c r="AH212" s="263"/>
    </row>
    <row r="213" spans="1:34" ht="26.25" customHeight="1">
      <c r="A213" s="90"/>
      <c r="B213" s="88"/>
      <c r="C213" s="2"/>
      <c r="D213" s="192"/>
      <c r="E213" s="94">
        <v>10</v>
      </c>
      <c r="F213" s="218">
        <v>290</v>
      </c>
      <c r="G213" s="219">
        <f t="shared" si="13"/>
        <v>2900</v>
      </c>
      <c r="H213" s="227" t="s">
        <v>146</v>
      </c>
      <c r="I213" s="128" t="s">
        <v>895</v>
      </c>
      <c r="J213" s="158"/>
      <c r="K213" s="74">
        <v>11</v>
      </c>
      <c r="L213" s="156" t="s">
        <v>895</v>
      </c>
      <c r="M213" s="90"/>
      <c r="N213" s="90">
        <v>13</v>
      </c>
      <c r="O213" s="90"/>
      <c r="P213" s="94"/>
      <c r="Q213" s="94">
        <v>8500068457</v>
      </c>
      <c r="R213" s="94">
        <v>5000374264</v>
      </c>
      <c r="S213" s="94"/>
      <c r="T213" s="90" t="s">
        <v>895</v>
      </c>
      <c r="U213" s="90">
        <v>8500068456</v>
      </c>
      <c r="V213" s="90">
        <v>5000337291</v>
      </c>
      <c r="W213" s="105"/>
      <c r="X213" s="106"/>
      <c r="Y213" s="106"/>
      <c r="Z213" s="106"/>
      <c r="AA213" s="106">
        <f t="shared" si="11"/>
        <v>0</v>
      </c>
      <c r="AB213" s="106">
        <f t="shared" si="12"/>
        <v>0</v>
      </c>
      <c r="AC213" s="94"/>
      <c r="AD213" s="94"/>
      <c r="AE213" s="94"/>
      <c r="AF213" s="94"/>
      <c r="AG213" s="94"/>
      <c r="AH213" s="263"/>
    </row>
    <row r="214" spans="1:34" ht="26.25" customHeight="1">
      <c r="A214" s="90" t="s">
        <v>136</v>
      </c>
      <c r="B214" s="88">
        <v>6000028840</v>
      </c>
      <c r="C214" s="2" t="s">
        <v>137</v>
      </c>
      <c r="D214" s="192">
        <v>37066</v>
      </c>
      <c r="E214" s="94">
        <v>10</v>
      </c>
      <c r="F214" s="74">
        <v>1290</v>
      </c>
      <c r="G214" s="45">
        <f t="shared" si="13"/>
        <v>12900</v>
      </c>
      <c r="H214" s="119" t="s">
        <v>27</v>
      </c>
      <c r="I214" s="128">
        <v>45377</v>
      </c>
      <c r="J214" s="74">
        <v>1290</v>
      </c>
      <c r="K214" s="74">
        <v>14</v>
      </c>
      <c r="L214" s="156">
        <v>45378</v>
      </c>
      <c r="M214" s="90">
        <v>12900</v>
      </c>
      <c r="N214" s="90">
        <v>65</v>
      </c>
      <c r="O214" s="90"/>
      <c r="P214" s="94" t="s">
        <v>160</v>
      </c>
      <c r="Q214" s="94">
        <v>8500068459</v>
      </c>
      <c r="R214" s="94">
        <v>5000361485</v>
      </c>
      <c r="S214" s="94"/>
      <c r="T214" s="90" t="s">
        <v>1666</v>
      </c>
      <c r="U214" s="90">
        <v>8500068458</v>
      </c>
      <c r="V214" s="90">
        <v>5000337295</v>
      </c>
      <c r="W214" s="109">
        <v>45406</v>
      </c>
      <c r="X214" s="106">
        <v>1290</v>
      </c>
      <c r="Y214" s="106">
        <v>12900</v>
      </c>
      <c r="Z214" s="106" t="s">
        <v>1513</v>
      </c>
      <c r="AA214" s="106">
        <f t="shared" si="11"/>
        <v>0</v>
      </c>
      <c r="AB214" s="106">
        <f t="shared" si="12"/>
        <v>0</v>
      </c>
      <c r="AC214" s="94"/>
      <c r="AD214" s="94"/>
      <c r="AE214" s="94"/>
      <c r="AF214" s="94"/>
      <c r="AG214" s="94"/>
      <c r="AH214" s="263"/>
    </row>
    <row r="215" spans="1:34" ht="26.25" customHeight="1">
      <c r="A215" s="90"/>
      <c r="B215" s="88"/>
      <c r="C215" s="2"/>
      <c r="D215" s="192"/>
      <c r="E215" s="94">
        <v>10</v>
      </c>
      <c r="F215" s="74">
        <v>2600</v>
      </c>
      <c r="G215" s="45">
        <f t="shared" si="13"/>
        <v>26000</v>
      </c>
      <c r="H215" s="119" t="s">
        <v>46</v>
      </c>
      <c r="I215" s="128">
        <v>45377</v>
      </c>
      <c r="J215" s="74">
        <v>2600</v>
      </c>
      <c r="K215" s="74">
        <v>28</v>
      </c>
      <c r="L215" s="156" t="s">
        <v>3200</v>
      </c>
      <c r="M215" s="90">
        <f>13000+13000</f>
        <v>26000</v>
      </c>
      <c r="N215" s="90">
        <v>130</v>
      </c>
      <c r="O215" s="90"/>
      <c r="P215" s="94" t="s">
        <v>160</v>
      </c>
      <c r="Q215" s="94">
        <v>8500068459</v>
      </c>
      <c r="R215" s="94">
        <v>5000361485</v>
      </c>
      <c r="S215" s="94"/>
      <c r="T215" s="90" t="s">
        <v>1666</v>
      </c>
      <c r="U215" s="90">
        <v>8500068458</v>
      </c>
      <c r="V215" s="90">
        <v>5000337295</v>
      </c>
      <c r="W215" s="109" t="s">
        <v>3450</v>
      </c>
      <c r="X215" s="106">
        <f>1000+1600</f>
        <v>2600</v>
      </c>
      <c r="Y215" s="106">
        <f>10000+16000</f>
        <v>26000</v>
      </c>
      <c r="Z215" s="106" t="s">
        <v>2058</v>
      </c>
      <c r="AA215" s="106">
        <f t="shared" si="11"/>
        <v>0</v>
      </c>
      <c r="AB215" s="106">
        <f t="shared" si="12"/>
        <v>0</v>
      </c>
      <c r="AC215" s="94"/>
      <c r="AD215" s="94"/>
      <c r="AE215" s="94"/>
      <c r="AF215" s="94"/>
      <c r="AG215" s="94"/>
      <c r="AH215" s="263"/>
    </row>
    <row r="216" spans="1:34" ht="26.25" customHeight="1">
      <c r="A216" s="90"/>
      <c r="B216" s="88"/>
      <c r="C216" s="2"/>
      <c r="D216" s="192"/>
      <c r="E216" s="94">
        <v>10</v>
      </c>
      <c r="F216" s="74">
        <v>640</v>
      </c>
      <c r="G216" s="45">
        <f t="shared" si="13"/>
        <v>6400</v>
      </c>
      <c r="H216" s="119" t="s">
        <v>37</v>
      </c>
      <c r="I216" s="128" t="s">
        <v>3200</v>
      </c>
      <c r="J216" s="74">
        <f>120+520</f>
        <v>640</v>
      </c>
      <c r="K216" s="74">
        <f>8+12</f>
        <v>20</v>
      </c>
      <c r="L216" s="156">
        <v>45377</v>
      </c>
      <c r="M216" s="90">
        <v>6400</v>
      </c>
      <c r="N216" s="90">
        <v>32</v>
      </c>
      <c r="O216" s="90"/>
      <c r="P216" s="94" t="s">
        <v>160</v>
      </c>
      <c r="Q216" s="94">
        <v>8500068459</v>
      </c>
      <c r="R216" s="94">
        <v>5000361485</v>
      </c>
      <c r="S216" s="94"/>
      <c r="T216" s="90" t="s">
        <v>1666</v>
      </c>
      <c r="U216" s="90">
        <v>8500068458</v>
      </c>
      <c r="V216" s="90">
        <v>5000337295</v>
      </c>
      <c r="W216" s="109">
        <v>45411</v>
      </c>
      <c r="X216" s="106">
        <v>640</v>
      </c>
      <c r="Y216" s="106">
        <v>6400</v>
      </c>
      <c r="Z216" s="106" t="s">
        <v>927</v>
      </c>
      <c r="AA216" s="106">
        <f t="shared" si="11"/>
        <v>0</v>
      </c>
      <c r="AB216" s="106">
        <f t="shared" si="12"/>
        <v>0</v>
      </c>
      <c r="AC216" s="94"/>
      <c r="AD216" s="94"/>
      <c r="AE216" s="94"/>
      <c r="AF216" s="94"/>
      <c r="AG216" s="94"/>
      <c r="AH216" s="263"/>
    </row>
    <row r="217" spans="1:34" ht="26.25" customHeight="1">
      <c r="A217" s="90"/>
      <c r="B217" s="88"/>
      <c r="C217" s="2"/>
      <c r="D217" s="192"/>
      <c r="E217" s="94">
        <v>10</v>
      </c>
      <c r="F217" s="218">
        <v>290</v>
      </c>
      <c r="G217" s="219">
        <f t="shared" si="13"/>
        <v>2900</v>
      </c>
      <c r="H217" s="227" t="s">
        <v>146</v>
      </c>
      <c r="I217" s="128" t="s">
        <v>895</v>
      </c>
      <c r="J217" s="74"/>
      <c r="K217" s="74">
        <v>11</v>
      </c>
      <c r="L217" s="156" t="s">
        <v>895</v>
      </c>
      <c r="M217" s="90"/>
      <c r="N217" s="90">
        <v>4</v>
      </c>
      <c r="O217" s="90"/>
      <c r="P217" s="128" t="s">
        <v>895</v>
      </c>
      <c r="Q217" s="94">
        <v>8500068459</v>
      </c>
      <c r="R217" s="94">
        <v>5000369706</v>
      </c>
      <c r="S217" s="94"/>
      <c r="T217" s="90" t="s">
        <v>895</v>
      </c>
      <c r="U217" s="90">
        <v>8500068458</v>
      </c>
      <c r="V217" s="90">
        <v>5000337295</v>
      </c>
      <c r="W217" s="109"/>
      <c r="X217" s="106"/>
      <c r="Y217" s="106"/>
      <c r="Z217" s="106"/>
      <c r="AA217" s="106">
        <f t="shared" si="11"/>
        <v>0</v>
      </c>
      <c r="AB217" s="106">
        <f t="shared" si="12"/>
        <v>0</v>
      </c>
      <c r="AC217" s="94"/>
      <c r="AD217" s="94"/>
      <c r="AE217" s="94"/>
      <c r="AF217" s="94"/>
      <c r="AG217" s="94"/>
      <c r="AH217" s="263"/>
    </row>
    <row r="218" spans="1:34" ht="26.25" customHeight="1">
      <c r="A218" s="90" t="s">
        <v>136</v>
      </c>
      <c r="B218" s="88">
        <v>6000028841</v>
      </c>
      <c r="C218" s="2" t="s">
        <v>137</v>
      </c>
      <c r="D218" s="192">
        <v>37067</v>
      </c>
      <c r="E218" s="94">
        <v>10</v>
      </c>
      <c r="F218" s="74">
        <v>1290</v>
      </c>
      <c r="G218" s="45">
        <f t="shared" si="13"/>
        <v>12900</v>
      </c>
      <c r="H218" s="119" t="s">
        <v>27</v>
      </c>
      <c r="I218" s="128">
        <v>45377</v>
      </c>
      <c r="J218" s="74">
        <v>1290</v>
      </c>
      <c r="K218" s="74">
        <v>14</v>
      </c>
      <c r="L218" s="156">
        <v>45378</v>
      </c>
      <c r="M218" s="45">
        <v>12900</v>
      </c>
      <c r="N218" s="90">
        <v>65</v>
      </c>
      <c r="O218" s="90"/>
      <c r="P218" s="94" t="s">
        <v>160</v>
      </c>
      <c r="Q218" s="94">
        <v>8500068461</v>
      </c>
      <c r="R218" s="94">
        <v>5000361489</v>
      </c>
      <c r="S218" s="94"/>
      <c r="T218" s="90" t="s">
        <v>1666</v>
      </c>
      <c r="U218" s="90">
        <v>8500068460</v>
      </c>
      <c r="V218" s="90">
        <v>5000337298</v>
      </c>
      <c r="W218" s="109">
        <v>45408</v>
      </c>
      <c r="X218" s="106">
        <v>1290</v>
      </c>
      <c r="Y218" s="106">
        <v>12900</v>
      </c>
      <c r="Z218" s="106" t="s">
        <v>1513</v>
      </c>
      <c r="AA218" s="106">
        <f t="shared" si="11"/>
        <v>0</v>
      </c>
      <c r="AB218" s="106">
        <f t="shared" si="12"/>
        <v>0</v>
      </c>
      <c r="AC218" s="94"/>
      <c r="AD218" s="94"/>
      <c r="AE218" s="94"/>
      <c r="AF218" s="94"/>
      <c r="AG218" s="94"/>
      <c r="AH218" s="263"/>
    </row>
    <row r="219" spans="1:34" ht="48.75" customHeight="1">
      <c r="A219" s="90"/>
      <c r="B219" s="88"/>
      <c r="C219" s="2"/>
      <c r="D219" s="192"/>
      <c r="E219" s="94">
        <v>10</v>
      </c>
      <c r="F219" s="74">
        <v>2600</v>
      </c>
      <c r="G219" s="45">
        <f t="shared" si="13"/>
        <v>26000</v>
      </c>
      <c r="H219" s="119" t="s">
        <v>46</v>
      </c>
      <c r="I219" s="128" t="s">
        <v>3293</v>
      </c>
      <c r="J219" s="74">
        <f>2040+332+228</f>
        <v>2600</v>
      </c>
      <c r="K219" s="74">
        <v>28</v>
      </c>
      <c r="L219" s="156">
        <v>45378</v>
      </c>
      <c r="M219" s="45">
        <v>26000</v>
      </c>
      <c r="N219" s="90">
        <v>130</v>
      </c>
      <c r="O219" s="90"/>
      <c r="P219" s="94" t="s">
        <v>160</v>
      </c>
      <c r="Q219" s="94">
        <v>8500068461</v>
      </c>
      <c r="R219" s="94">
        <v>5000365338</v>
      </c>
      <c r="S219" s="94"/>
      <c r="T219" s="90" t="s">
        <v>152</v>
      </c>
      <c r="U219" s="90">
        <v>8500068460</v>
      </c>
      <c r="V219" s="90">
        <v>5000369457</v>
      </c>
      <c r="W219" s="109">
        <v>45411</v>
      </c>
      <c r="X219" s="106">
        <v>2600</v>
      </c>
      <c r="Y219" s="106">
        <v>26000</v>
      </c>
      <c r="Z219" s="106" t="s">
        <v>3463</v>
      </c>
      <c r="AA219" s="106">
        <f t="shared" si="11"/>
        <v>0</v>
      </c>
      <c r="AB219" s="106">
        <f t="shared" si="12"/>
        <v>0</v>
      </c>
      <c r="AC219" s="94"/>
      <c r="AD219" s="94"/>
      <c r="AE219" s="94"/>
      <c r="AF219" s="94"/>
      <c r="AG219" s="94"/>
      <c r="AH219" s="263"/>
    </row>
    <row r="220" spans="1:34" ht="26.25" customHeight="1">
      <c r="A220" s="90"/>
      <c r="B220" s="88"/>
      <c r="C220" s="2"/>
      <c r="D220" s="192"/>
      <c r="E220" s="94">
        <v>10</v>
      </c>
      <c r="F220" s="74">
        <v>640</v>
      </c>
      <c r="G220" s="45">
        <f t="shared" si="13"/>
        <v>6400</v>
      </c>
      <c r="H220" s="119" t="s">
        <v>37</v>
      </c>
      <c r="I220" s="128">
        <v>45378</v>
      </c>
      <c r="J220" s="74">
        <v>640</v>
      </c>
      <c r="K220" s="74">
        <f>8+6</f>
        <v>14</v>
      </c>
      <c r="L220" s="156">
        <v>45378</v>
      </c>
      <c r="M220" s="45">
        <v>6400</v>
      </c>
      <c r="N220" s="90">
        <v>32</v>
      </c>
      <c r="O220" s="90"/>
      <c r="P220" s="94" t="s">
        <v>160</v>
      </c>
      <c r="Q220" s="94">
        <v>8500068461</v>
      </c>
      <c r="R220" s="94">
        <v>5000365338</v>
      </c>
      <c r="S220" s="94"/>
      <c r="T220" s="90" t="s">
        <v>1666</v>
      </c>
      <c r="U220" s="90">
        <v>8500068460</v>
      </c>
      <c r="V220" s="90">
        <v>5000337298</v>
      </c>
      <c r="W220" s="109">
        <v>45412</v>
      </c>
      <c r="X220" s="106">
        <v>640</v>
      </c>
      <c r="Y220" s="106">
        <v>6400</v>
      </c>
      <c r="Z220" s="106" t="s">
        <v>927</v>
      </c>
      <c r="AA220" s="106">
        <f t="shared" si="11"/>
        <v>0</v>
      </c>
      <c r="AB220" s="106">
        <f t="shared" si="12"/>
        <v>0</v>
      </c>
      <c r="AC220" s="94"/>
      <c r="AD220" s="94"/>
      <c r="AE220" s="94"/>
      <c r="AF220" s="94"/>
      <c r="AG220" s="94"/>
      <c r="AH220" s="263"/>
    </row>
    <row r="221" spans="1:34" ht="26.25" customHeight="1">
      <c r="A221" s="90"/>
      <c r="B221" s="88"/>
      <c r="C221" s="2"/>
      <c r="D221" s="192"/>
      <c r="E221" s="94">
        <v>10</v>
      </c>
      <c r="F221" s="218">
        <v>290</v>
      </c>
      <c r="G221" s="219">
        <f t="shared" si="13"/>
        <v>2900</v>
      </c>
      <c r="H221" s="227" t="s">
        <v>146</v>
      </c>
      <c r="I221" s="128" t="s">
        <v>895</v>
      </c>
      <c r="J221" s="74"/>
      <c r="K221" s="74">
        <v>10</v>
      </c>
      <c r="L221" s="156" t="s">
        <v>2073</v>
      </c>
      <c r="M221" s="45"/>
      <c r="N221" s="90">
        <v>3</v>
      </c>
      <c r="O221" s="90"/>
      <c r="P221" s="94" t="s">
        <v>895</v>
      </c>
      <c r="Q221" s="94">
        <v>8500068461</v>
      </c>
      <c r="R221" s="94">
        <v>5000374238</v>
      </c>
      <c r="S221" s="94"/>
      <c r="T221" s="90" t="s">
        <v>895</v>
      </c>
      <c r="U221" s="90">
        <v>8500068460</v>
      </c>
      <c r="V221" s="90">
        <v>5000337298</v>
      </c>
      <c r="W221" s="105"/>
      <c r="X221" s="106"/>
      <c r="Y221" s="106"/>
      <c r="Z221" s="106"/>
      <c r="AA221" s="106">
        <f t="shared" si="11"/>
        <v>0</v>
      </c>
      <c r="AB221" s="106">
        <f t="shared" si="12"/>
        <v>0</v>
      </c>
      <c r="AC221" s="94"/>
      <c r="AD221" s="94"/>
      <c r="AE221" s="94"/>
      <c r="AF221" s="94"/>
      <c r="AG221" s="94"/>
      <c r="AH221" s="263"/>
    </row>
    <row r="222" spans="1:34" ht="26.25" customHeight="1">
      <c r="A222" s="90" t="s">
        <v>136</v>
      </c>
      <c r="B222" s="88">
        <v>6000028842</v>
      </c>
      <c r="C222" s="2" t="s">
        <v>137</v>
      </c>
      <c r="D222" s="192">
        <v>37068</v>
      </c>
      <c r="E222" s="94">
        <v>10</v>
      </c>
      <c r="F222" s="74">
        <v>1290</v>
      </c>
      <c r="G222" s="45">
        <f t="shared" ref="G222:G283" si="14">E222*F222</f>
        <v>12900</v>
      </c>
      <c r="H222" s="119" t="s">
        <v>27</v>
      </c>
      <c r="I222" s="128">
        <v>45377</v>
      </c>
      <c r="J222" s="74">
        <v>1290</v>
      </c>
      <c r="K222" s="74">
        <v>14</v>
      </c>
      <c r="L222" s="156">
        <v>45377</v>
      </c>
      <c r="M222" s="90">
        <v>12900</v>
      </c>
      <c r="N222" s="90">
        <v>65</v>
      </c>
      <c r="O222" s="90"/>
      <c r="P222" s="94" t="s">
        <v>160</v>
      </c>
      <c r="Q222" s="94">
        <v>8500068463</v>
      </c>
      <c r="R222" s="94">
        <v>5000361594</v>
      </c>
      <c r="S222" s="94"/>
      <c r="T222" s="90" t="s">
        <v>152</v>
      </c>
      <c r="U222" s="90">
        <v>8500064862</v>
      </c>
      <c r="V222" s="90">
        <v>5000361304</v>
      </c>
      <c r="W222" s="109">
        <v>45409</v>
      </c>
      <c r="X222" s="106">
        <v>1290</v>
      </c>
      <c r="Y222" s="106">
        <v>12900</v>
      </c>
      <c r="Z222" s="106" t="s">
        <v>1513</v>
      </c>
      <c r="AA222" s="106">
        <f t="shared" si="11"/>
        <v>0</v>
      </c>
      <c r="AB222" s="106">
        <f t="shared" si="12"/>
        <v>0</v>
      </c>
      <c r="AC222" s="94"/>
      <c r="AD222" s="94"/>
      <c r="AE222" s="94"/>
      <c r="AF222" s="94"/>
      <c r="AG222" s="94"/>
      <c r="AH222" s="263"/>
    </row>
    <row r="223" spans="1:34" ht="26.25" customHeight="1">
      <c r="A223" s="90"/>
      <c r="B223" s="88"/>
      <c r="C223" s="2"/>
      <c r="D223" s="192"/>
      <c r="E223" s="94">
        <v>10</v>
      </c>
      <c r="F223" s="74">
        <v>2600</v>
      </c>
      <c r="G223" s="45">
        <f t="shared" si="14"/>
        <v>26000</v>
      </c>
      <c r="H223" s="119" t="s">
        <v>46</v>
      </c>
      <c r="I223" s="128">
        <v>45377</v>
      </c>
      <c r="J223" s="74">
        <v>2600</v>
      </c>
      <c r="K223" s="74">
        <v>28</v>
      </c>
      <c r="L223" s="156">
        <v>45377</v>
      </c>
      <c r="M223" s="90">
        <v>26000</v>
      </c>
      <c r="N223" s="90">
        <v>130</v>
      </c>
      <c r="O223" s="90"/>
      <c r="P223" s="94" t="s">
        <v>160</v>
      </c>
      <c r="Q223" s="94">
        <v>8500068463</v>
      </c>
      <c r="R223" s="94">
        <v>5000361594</v>
      </c>
      <c r="S223" s="94"/>
      <c r="T223" s="90" t="s">
        <v>1666</v>
      </c>
      <c r="U223" s="90">
        <v>8500068462</v>
      </c>
      <c r="V223" s="90">
        <v>5000337322</v>
      </c>
      <c r="W223" s="109">
        <v>45412</v>
      </c>
      <c r="X223" s="106">
        <v>2600</v>
      </c>
      <c r="Y223" s="106">
        <v>26000</v>
      </c>
      <c r="Z223" s="106" t="s">
        <v>3468</v>
      </c>
      <c r="AA223" s="106">
        <f t="shared" si="11"/>
        <v>0</v>
      </c>
      <c r="AB223" s="106">
        <f t="shared" si="12"/>
        <v>0</v>
      </c>
      <c r="AC223" s="94" t="s">
        <v>3392</v>
      </c>
      <c r="AD223" s="94"/>
      <c r="AE223" s="94"/>
      <c r="AF223" s="94"/>
      <c r="AG223" s="94"/>
      <c r="AH223" s="263"/>
    </row>
    <row r="224" spans="1:34" ht="26.25" customHeight="1">
      <c r="A224" s="90"/>
      <c r="B224" s="88"/>
      <c r="C224" s="2"/>
      <c r="D224" s="192"/>
      <c r="E224" s="94">
        <v>10</v>
      </c>
      <c r="F224" s="74">
        <v>640</v>
      </c>
      <c r="G224" s="45">
        <f t="shared" si="14"/>
        <v>6400</v>
      </c>
      <c r="H224" s="119" t="s">
        <v>37</v>
      </c>
      <c r="I224" s="128">
        <v>45378</v>
      </c>
      <c r="J224" s="74">
        <v>640</v>
      </c>
      <c r="K224" s="74">
        <f>8+9</f>
        <v>17</v>
      </c>
      <c r="L224" s="156">
        <v>45378</v>
      </c>
      <c r="M224" s="90">
        <v>6400</v>
      </c>
      <c r="N224" s="90">
        <v>32</v>
      </c>
      <c r="O224" s="90"/>
      <c r="P224" s="94" t="s">
        <v>160</v>
      </c>
      <c r="Q224" s="94">
        <v>8500068463</v>
      </c>
      <c r="R224" s="94">
        <v>5000365275</v>
      </c>
      <c r="S224" s="94"/>
      <c r="T224" s="90" t="s">
        <v>1666</v>
      </c>
      <c r="U224" s="90">
        <v>8500068462</v>
      </c>
      <c r="V224" s="90">
        <v>5000337322</v>
      </c>
      <c r="W224" s="109">
        <v>45412</v>
      </c>
      <c r="X224" s="106">
        <v>640</v>
      </c>
      <c r="Y224" s="106">
        <v>6400</v>
      </c>
      <c r="Z224" s="106" t="s">
        <v>927</v>
      </c>
      <c r="AA224" s="106">
        <f t="shared" si="11"/>
        <v>0</v>
      </c>
      <c r="AB224" s="106">
        <f t="shared" si="12"/>
        <v>0</v>
      </c>
      <c r="AC224" s="94"/>
      <c r="AD224" s="94"/>
      <c r="AE224" s="94"/>
      <c r="AF224" s="94"/>
      <c r="AG224" s="94"/>
      <c r="AH224" s="263"/>
    </row>
    <row r="225" spans="1:34" ht="26.25" customHeight="1">
      <c r="A225" s="90"/>
      <c r="B225" s="88"/>
      <c r="C225" s="2"/>
      <c r="D225" s="192"/>
      <c r="E225" s="94">
        <v>10</v>
      </c>
      <c r="F225" s="218">
        <v>290</v>
      </c>
      <c r="G225" s="219">
        <f t="shared" si="14"/>
        <v>2900</v>
      </c>
      <c r="H225" s="227" t="s">
        <v>146</v>
      </c>
      <c r="I225" s="128" t="s">
        <v>895</v>
      </c>
      <c r="J225" s="74"/>
      <c r="K225" s="74">
        <v>7</v>
      </c>
      <c r="L225" s="156" t="s">
        <v>2073</v>
      </c>
      <c r="M225" s="90"/>
      <c r="N225" s="90">
        <v>14</v>
      </c>
      <c r="O225" s="90"/>
      <c r="P225" s="94" t="s">
        <v>895</v>
      </c>
      <c r="Q225" s="94">
        <v>8500068463</v>
      </c>
      <c r="R225" s="94">
        <v>5000374262</v>
      </c>
      <c r="S225" s="94"/>
      <c r="T225" s="90" t="s">
        <v>895</v>
      </c>
      <c r="U225" s="90">
        <v>8500068462</v>
      </c>
      <c r="V225" s="90">
        <v>5000337322</v>
      </c>
      <c r="W225" s="109"/>
      <c r="X225" s="106"/>
      <c r="Y225" s="106"/>
      <c r="Z225" s="106"/>
      <c r="AA225" s="106">
        <f t="shared" si="11"/>
        <v>0</v>
      </c>
      <c r="AB225" s="106">
        <f t="shared" si="12"/>
        <v>0</v>
      </c>
      <c r="AC225" s="94"/>
      <c r="AD225" s="94"/>
      <c r="AE225" s="94"/>
      <c r="AF225" s="94"/>
      <c r="AG225" s="94"/>
      <c r="AH225" s="263"/>
    </row>
    <row r="226" spans="1:34" ht="26.25" customHeight="1">
      <c r="A226" s="90" t="s">
        <v>136</v>
      </c>
      <c r="B226" s="88">
        <v>6000028844</v>
      </c>
      <c r="C226" s="2" t="s">
        <v>3156</v>
      </c>
      <c r="D226" s="192">
        <v>37069</v>
      </c>
      <c r="E226" s="94">
        <v>10</v>
      </c>
      <c r="F226" s="74">
        <v>250</v>
      </c>
      <c r="G226" s="45">
        <f t="shared" si="14"/>
        <v>2500</v>
      </c>
      <c r="H226" s="119" t="s">
        <v>27</v>
      </c>
      <c r="I226" s="128">
        <v>45384</v>
      </c>
      <c r="J226" s="74">
        <v>250</v>
      </c>
      <c r="K226" s="74">
        <f>8+4</f>
        <v>12</v>
      </c>
      <c r="L226" s="156">
        <v>45371</v>
      </c>
      <c r="M226" s="90">
        <v>2500</v>
      </c>
      <c r="N226" s="90">
        <v>13</v>
      </c>
      <c r="O226" s="90" t="s">
        <v>821</v>
      </c>
      <c r="P226" s="94" t="s">
        <v>160</v>
      </c>
      <c r="Q226" s="94">
        <v>8500068867</v>
      </c>
      <c r="R226" s="94">
        <v>5000393473</v>
      </c>
      <c r="S226" s="94"/>
      <c r="T226" s="90" t="s">
        <v>152</v>
      </c>
      <c r="U226" s="90">
        <v>8500068866</v>
      </c>
      <c r="V226" s="90">
        <v>5000337111</v>
      </c>
      <c r="W226" s="109">
        <v>45406</v>
      </c>
      <c r="X226" s="106">
        <v>250</v>
      </c>
      <c r="Y226" s="106">
        <v>2500</v>
      </c>
      <c r="Z226" s="106" t="s">
        <v>1513</v>
      </c>
      <c r="AA226" s="106">
        <f t="shared" si="11"/>
        <v>0</v>
      </c>
      <c r="AB226" s="106">
        <f t="shared" si="12"/>
        <v>0</v>
      </c>
      <c r="AC226" s="94"/>
      <c r="AD226" s="94"/>
      <c r="AE226" s="94"/>
      <c r="AF226" s="94"/>
      <c r="AG226" s="94"/>
      <c r="AH226" s="263"/>
    </row>
    <row r="227" spans="1:34" ht="26.25" customHeight="1">
      <c r="A227" s="90"/>
      <c r="B227" s="88"/>
      <c r="C227" s="2"/>
      <c r="D227" s="192"/>
      <c r="E227" s="94">
        <v>10</v>
      </c>
      <c r="F227" s="74">
        <v>820</v>
      </c>
      <c r="G227" s="45">
        <f t="shared" si="14"/>
        <v>8200</v>
      </c>
      <c r="H227" s="119" t="s">
        <v>46</v>
      </c>
      <c r="I227" s="128" t="s">
        <v>3291</v>
      </c>
      <c r="J227" s="74">
        <f>715+105</f>
        <v>820</v>
      </c>
      <c r="K227" s="74">
        <v>14</v>
      </c>
      <c r="L227" s="156">
        <v>45371</v>
      </c>
      <c r="M227" s="90">
        <v>8200</v>
      </c>
      <c r="N227" s="90">
        <v>41</v>
      </c>
      <c r="O227" s="90" t="s">
        <v>3167</v>
      </c>
      <c r="P227" s="94" t="s">
        <v>160</v>
      </c>
      <c r="Q227" s="94">
        <v>8500068867</v>
      </c>
      <c r="R227" s="111" t="s">
        <v>3292</v>
      </c>
      <c r="S227" s="94"/>
      <c r="T227" s="90" t="s">
        <v>152</v>
      </c>
      <c r="U227" s="90">
        <v>8500068866</v>
      </c>
      <c r="V227" s="90">
        <v>5000337111</v>
      </c>
      <c r="W227" s="109">
        <v>45408</v>
      </c>
      <c r="X227" s="106">
        <v>820</v>
      </c>
      <c r="Y227" s="106">
        <v>8200</v>
      </c>
      <c r="Z227" s="106" t="s">
        <v>1609</v>
      </c>
      <c r="AA227" s="106">
        <f t="shared" si="11"/>
        <v>0</v>
      </c>
      <c r="AB227" s="106">
        <f t="shared" si="12"/>
        <v>0</v>
      </c>
      <c r="AC227" s="94"/>
      <c r="AD227" s="511"/>
      <c r="AE227" s="94"/>
      <c r="AF227" s="94"/>
      <c r="AG227" s="94"/>
      <c r="AH227" s="263"/>
    </row>
    <row r="228" spans="1:34" ht="34.5" customHeight="1">
      <c r="A228" s="45"/>
      <c r="B228" s="121"/>
      <c r="C228" s="192"/>
      <c r="D228" s="192"/>
      <c r="E228" s="94">
        <v>10</v>
      </c>
      <c r="F228" s="74">
        <v>452</v>
      </c>
      <c r="G228" s="45">
        <f t="shared" si="14"/>
        <v>4520</v>
      </c>
      <c r="H228" s="119" t="s">
        <v>37</v>
      </c>
      <c r="I228" s="128">
        <v>45384</v>
      </c>
      <c r="J228" s="74">
        <v>452</v>
      </c>
      <c r="K228" s="74">
        <f>11+3</f>
        <v>14</v>
      </c>
      <c r="L228" s="156">
        <v>45371</v>
      </c>
      <c r="M228" s="90">
        <v>4520</v>
      </c>
      <c r="N228" s="90">
        <v>23</v>
      </c>
      <c r="O228" s="90" t="s">
        <v>917</v>
      </c>
      <c r="P228" s="94" t="s">
        <v>160</v>
      </c>
      <c r="Q228" s="94">
        <v>8500068867</v>
      </c>
      <c r="R228" s="94">
        <v>5000393473</v>
      </c>
      <c r="S228" s="94"/>
      <c r="T228" s="90" t="s">
        <v>152</v>
      </c>
      <c r="U228" s="90">
        <v>8500068866</v>
      </c>
      <c r="V228" s="90">
        <v>5000337111</v>
      </c>
      <c r="W228" s="109">
        <v>45411</v>
      </c>
      <c r="X228" s="106">
        <v>452</v>
      </c>
      <c r="Y228" s="106">
        <v>4520</v>
      </c>
      <c r="Z228" s="106" t="s">
        <v>927</v>
      </c>
      <c r="AA228" s="106">
        <f t="shared" si="11"/>
        <v>0</v>
      </c>
      <c r="AB228" s="106">
        <f t="shared" si="12"/>
        <v>0</v>
      </c>
      <c r="AC228" s="94"/>
      <c r="AD228" s="509"/>
      <c r="AE228" s="94"/>
      <c r="AF228" s="94"/>
      <c r="AG228" s="94"/>
      <c r="AH228" s="263"/>
    </row>
    <row r="229" spans="1:34" ht="33" customHeight="1">
      <c r="A229" s="90" t="s">
        <v>136</v>
      </c>
      <c r="B229" s="88">
        <v>6000028844</v>
      </c>
      <c r="C229" s="2" t="s">
        <v>3157</v>
      </c>
      <c r="D229" s="192">
        <v>37069</v>
      </c>
      <c r="E229" s="94">
        <v>10</v>
      </c>
      <c r="F229" s="74">
        <v>630</v>
      </c>
      <c r="G229" s="45">
        <f t="shared" si="14"/>
        <v>6300</v>
      </c>
      <c r="H229" s="119" t="s">
        <v>27</v>
      </c>
      <c r="I229" s="128">
        <v>45377</v>
      </c>
      <c r="J229" s="74">
        <v>630</v>
      </c>
      <c r="K229" s="74">
        <v>12</v>
      </c>
      <c r="L229" s="156">
        <v>45371</v>
      </c>
      <c r="M229" s="90">
        <v>6300</v>
      </c>
      <c r="N229" s="90">
        <v>32</v>
      </c>
      <c r="O229" s="90" t="s">
        <v>1551</v>
      </c>
      <c r="P229" s="94" t="s">
        <v>160</v>
      </c>
      <c r="Q229" s="94">
        <v>8500068869</v>
      </c>
      <c r="R229" s="94">
        <v>5000364850</v>
      </c>
      <c r="S229" s="94"/>
      <c r="T229" s="90" t="s">
        <v>152</v>
      </c>
      <c r="U229" s="90">
        <v>8500068868</v>
      </c>
      <c r="V229" s="90">
        <v>5000337112</v>
      </c>
      <c r="W229" s="109">
        <v>45404</v>
      </c>
      <c r="X229" s="106">
        <v>630</v>
      </c>
      <c r="Y229" s="106">
        <v>6300</v>
      </c>
      <c r="Z229" s="106" t="s">
        <v>1513</v>
      </c>
      <c r="AA229" s="106">
        <f t="shared" si="11"/>
        <v>0</v>
      </c>
      <c r="AB229" s="106">
        <f t="shared" si="12"/>
        <v>0</v>
      </c>
      <c r="AC229" s="94"/>
      <c r="AD229" s="510"/>
      <c r="AE229" s="94"/>
      <c r="AF229" s="94"/>
      <c r="AG229" s="94"/>
      <c r="AH229" s="263"/>
    </row>
    <row r="230" spans="1:34" ht="26.25" customHeight="1">
      <c r="A230" s="45"/>
      <c r="B230" s="121"/>
      <c r="C230" s="192"/>
      <c r="D230" s="192"/>
      <c r="E230" s="94">
        <v>10</v>
      </c>
      <c r="F230" s="74">
        <v>1210</v>
      </c>
      <c r="G230" s="45">
        <f t="shared" si="14"/>
        <v>12100</v>
      </c>
      <c r="H230" s="119" t="s">
        <v>46</v>
      </c>
      <c r="I230" s="128">
        <v>45376</v>
      </c>
      <c r="J230" s="74">
        <v>1210</v>
      </c>
      <c r="K230" s="74">
        <f>18+22</f>
        <v>40</v>
      </c>
      <c r="L230" s="156">
        <v>45377</v>
      </c>
      <c r="M230" s="90">
        <v>12100</v>
      </c>
      <c r="N230" s="90">
        <v>61</v>
      </c>
      <c r="O230" s="90"/>
      <c r="P230" s="94" t="s">
        <v>160</v>
      </c>
      <c r="Q230" s="94">
        <v>8500068869</v>
      </c>
      <c r="R230" s="94">
        <v>5000359753</v>
      </c>
      <c r="S230" s="94"/>
      <c r="T230" s="90" t="s">
        <v>152</v>
      </c>
      <c r="U230" s="90">
        <v>8500068868</v>
      </c>
      <c r="V230" s="90">
        <v>5000361334</v>
      </c>
      <c r="W230" s="109">
        <v>45407</v>
      </c>
      <c r="X230" s="106">
        <v>1210</v>
      </c>
      <c r="Y230" s="106">
        <v>12100</v>
      </c>
      <c r="Z230" s="106" t="s">
        <v>800</v>
      </c>
      <c r="AA230" s="106">
        <f t="shared" si="11"/>
        <v>0</v>
      </c>
      <c r="AB230" s="106">
        <f t="shared" si="12"/>
        <v>0</v>
      </c>
      <c r="AC230" s="94"/>
      <c r="AD230" s="94"/>
      <c r="AE230" s="94"/>
      <c r="AF230" s="94"/>
      <c r="AG230" s="94"/>
      <c r="AH230" s="263"/>
    </row>
    <row r="231" spans="1:34" ht="26.25" customHeight="1">
      <c r="A231" s="45"/>
      <c r="B231" s="121"/>
      <c r="C231" s="192"/>
      <c r="D231" s="192"/>
      <c r="E231" s="94">
        <v>10</v>
      </c>
      <c r="F231" s="74">
        <v>890</v>
      </c>
      <c r="G231" s="45">
        <f t="shared" si="14"/>
        <v>8900</v>
      </c>
      <c r="H231" s="119" t="s">
        <v>37</v>
      </c>
      <c r="I231" s="128">
        <v>45377</v>
      </c>
      <c r="J231" s="74">
        <v>890</v>
      </c>
      <c r="K231" s="74">
        <f>2+16</f>
        <v>18</v>
      </c>
      <c r="L231" s="156">
        <v>45377</v>
      </c>
      <c r="M231" s="45">
        <v>8900</v>
      </c>
      <c r="N231" s="90">
        <v>45</v>
      </c>
      <c r="O231" s="90"/>
      <c r="P231" s="94" t="s">
        <v>160</v>
      </c>
      <c r="Q231" s="94">
        <v>8500068869</v>
      </c>
      <c r="R231" s="94">
        <v>5000364850</v>
      </c>
      <c r="S231" s="94"/>
      <c r="T231" s="90" t="s">
        <v>152</v>
      </c>
      <c r="U231" s="90">
        <v>8500068868</v>
      </c>
      <c r="V231" s="90">
        <v>5000361334</v>
      </c>
      <c r="W231" s="109">
        <v>45409</v>
      </c>
      <c r="X231" s="106">
        <v>890</v>
      </c>
      <c r="Y231" s="106">
        <v>8900</v>
      </c>
      <c r="Z231" s="106" t="s">
        <v>870</v>
      </c>
      <c r="AA231" s="106">
        <f t="shared" si="11"/>
        <v>0</v>
      </c>
      <c r="AB231" s="106">
        <f t="shared" si="12"/>
        <v>0</v>
      </c>
      <c r="AC231" s="94"/>
      <c r="AD231" s="94"/>
      <c r="AE231" s="94"/>
      <c r="AF231" s="94"/>
      <c r="AG231" s="94"/>
      <c r="AH231" s="263"/>
    </row>
    <row r="232" spans="1:34" ht="26.25" customHeight="1">
      <c r="A232" s="90" t="s">
        <v>136</v>
      </c>
      <c r="B232" s="88">
        <v>6000028844</v>
      </c>
      <c r="C232" s="2" t="s">
        <v>3166</v>
      </c>
      <c r="D232" s="192">
        <v>37069</v>
      </c>
      <c r="E232" s="94">
        <v>10</v>
      </c>
      <c r="F232" s="74">
        <v>158</v>
      </c>
      <c r="G232" s="45">
        <f t="shared" si="14"/>
        <v>1580</v>
      </c>
      <c r="H232" s="119" t="s">
        <v>27</v>
      </c>
      <c r="I232" s="128">
        <v>45376</v>
      </c>
      <c r="J232" s="74">
        <v>158</v>
      </c>
      <c r="K232" s="74">
        <v>7</v>
      </c>
      <c r="L232" s="237">
        <v>45377</v>
      </c>
      <c r="M232" s="45">
        <v>1580</v>
      </c>
      <c r="N232" s="90">
        <v>8</v>
      </c>
      <c r="O232" s="90" t="s">
        <v>921</v>
      </c>
      <c r="P232" s="94" t="s">
        <v>160</v>
      </c>
      <c r="Q232" s="94">
        <v>8500068871</v>
      </c>
      <c r="R232" s="94">
        <v>5000359752</v>
      </c>
      <c r="S232" s="94"/>
      <c r="T232" s="90" t="s">
        <v>152</v>
      </c>
      <c r="U232" s="90">
        <v>8500068870</v>
      </c>
      <c r="V232" s="90">
        <v>5000361335</v>
      </c>
      <c r="W232" s="109">
        <v>45405</v>
      </c>
      <c r="X232" s="106">
        <v>158</v>
      </c>
      <c r="Y232" s="106">
        <v>1580</v>
      </c>
      <c r="Z232" s="106" t="s">
        <v>803</v>
      </c>
      <c r="AA232" s="106">
        <f>J232-X232</f>
        <v>0</v>
      </c>
      <c r="AB232" s="106">
        <f>M232-Y232</f>
        <v>0</v>
      </c>
      <c r="AC232" s="94"/>
      <c r="AD232" s="94"/>
      <c r="AE232" s="94"/>
      <c r="AF232" s="94"/>
      <c r="AG232" s="94"/>
      <c r="AH232" s="263"/>
    </row>
    <row r="233" spans="1:34" ht="26.25" customHeight="1">
      <c r="A233" s="45"/>
      <c r="B233" s="224"/>
      <c r="C233" s="192"/>
      <c r="D233" s="192"/>
      <c r="E233" s="94">
        <v>10</v>
      </c>
      <c r="F233" s="74">
        <v>250</v>
      </c>
      <c r="G233" s="45">
        <f t="shared" si="14"/>
        <v>2500</v>
      </c>
      <c r="H233" s="119" t="s">
        <v>46</v>
      </c>
      <c r="I233" s="128">
        <v>45376</v>
      </c>
      <c r="J233" s="74">
        <v>250</v>
      </c>
      <c r="K233" s="74">
        <f>7+2</f>
        <v>9</v>
      </c>
      <c r="L233" s="156">
        <v>45371</v>
      </c>
      <c r="M233" s="45">
        <v>2500</v>
      </c>
      <c r="N233" s="90">
        <v>13</v>
      </c>
      <c r="O233" s="90" t="s">
        <v>1761</v>
      </c>
      <c r="P233" s="94" t="s">
        <v>160</v>
      </c>
      <c r="Q233" s="94">
        <v>8500068871</v>
      </c>
      <c r="R233" s="94">
        <v>5000359752</v>
      </c>
      <c r="S233" s="94"/>
      <c r="T233" s="90" t="s">
        <v>152</v>
      </c>
      <c r="U233" s="90">
        <v>8500068870</v>
      </c>
      <c r="V233" s="90">
        <v>5000337113</v>
      </c>
      <c r="W233" s="109">
        <v>45408</v>
      </c>
      <c r="X233" s="106">
        <v>250</v>
      </c>
      <c r="Y233" s="106">
        <v>2500</v>
      </c>
      <c r="Z233" s="106" t="s">
        <v>1609</v>
      </c>
      <c r="AA233" s="106">
        <f>J233-X233</f>
        <v>0</v>
      </c>
      <c r="AB233" s="106">
        <f>M233-Y233</f>
        <v>0</v>
      </c>
      <c r="AC233" s="94"/>
      <c r="AD233" s="94"/>
      <c r="AE233" s="94"/>
      <c r="AF233" s="94"/>
      <c r="AG233" s="94"/>
      <c r="AH233" s="263"/>
    </row>
    <row r="234" spans="1:34" ht="26.25" customHeight="1">
      <c r="A234" s="45"/>
      <c r="B234" s="224"/>
      <c r="C234" s="192"/>
      <c r="D234" s="192"/>
      <c r="E234" s="94">
        <v>10</v>
      </c>
      <c r="F234" s="74">
        <v>160</v>
      </c>
      <c r="G234" s="45">
        <f t="shared" si="14"/>
        <v>1600</v>
      </c>
      <c r="H234" s="119" t="s">
        <v>37</v>
      </c>
      <c r="I234" s="128">
        <v>45376</v>
      </c>
      <c r="J234" s="74">
        <v>160</v>
      </c>
      <c r="K234" s="74">
        <f>7+1</f>
        <v>8</v>
      </c>
      <c r="L234" s="156">
        <v>45371</v>
      </c>
      <c r="M234" s="45">
        <v>1600</v>
      </c>
      <c r="N234" s="90">
        <v>8</v>
      </c>
      <c r="O234" s="90" t="s">
        <v>1551</v>
      </c>
      <c r="P234" s="94" t="s">
        <v>160</v>
      </c>
      <c r="Q234" s="94">
        <v>8500068871</v>
      </c>
      <c r="R234" s="94">
        <v>5000359752</v>
      </c>
      <c r="S234" s="94"/>
      <c r="T234" s="90" t="s">
        <v>152</v>
      </c>
      <c r="U234" s="90">
        <v>8500068870</v>
      </c>
      <c r="V234" s="90">
        <v>5000337113</v>
      </c>
      <c r="W234" s="109">
        <v>45414</v>
      </c>
      <c r="X234" s="106">
        <v>160</v>
      </c>
      <c r="Y234" s="106">
        <v>1600</v>
      </c>
      <c r="Z234" s="106" t="s">
        <v>800</v>
      </c>
      <c r="AA234" s="106">
        <f>J234-X234</f>
        <v>0</v>
      </c>
      <c r="AB234" s="106">
        <f>M234-Y234</f>
        <v>0</v>
      </c>
      <c r="AC234" s="94"/>
      <c r="AD234" s="94"/>
      <c r="AE234" s="94"/>
      <c r="AF234" s="94"/>
      <c r="AG234" s="94"/>
      <c r="AH234" s="263"/>
    </row>
    <row r="235" spans="1:34" ht="26.25" customHeight="1">
      <c r="A235" s="90" t="s">
        <v>136</v>
      </c>
      <c r="B235" s="88">
        <v>6000028846</v>
      </c>
      <c r="C235" s="2" t="s">
        <v>137</v>
      </c>
      <c r="D235" s="192">
        <v>37071</v>
      </c>
      <c r="E235" s="94">
        <v>10</v>
      </c>
      <c r="F235" s="74">
        <v>430</v>
      </c>
      <c r="G235" s="45">
        <f t="shared" si="14"/>
        <v>4300</v>
      </c>
      <c r="H235" s="119" t="s">
        <v>27</v>
      </c>
      <c r="I235" s="128">
        <v>45378</v>
      </c>
      <c r="J235" s="74">
        <v>430</v>
      </c>
      <c r="K235" s="74">
        <v>6</v>
      </c>
      <c r="L235" s="237">
        <v>45387</v>
      </c>
      <c r="M235" s="90">
        <v>4300</v>
      </c>
      <c r="N235" s="90">
        <v>22</v>
      </c>
      <c r="O235" s="90"/>
      <c r="P235" s="94" t="s">
        <v>160</v>
      </c>
      <c r="Q235" s="94">
        <v>8500068429</v>
      </c>
      <c r="R235" s="94">
        <v>5000365595</v>
      </c>
      <c r="S235" s="94"/>
      <c r="T235" s="90" t="s">
        <v>1666</v>
      </c>
      <c r="U235" s="90">
        <v>8500068428</v>
      </c>
      <c r="V235" s="90">
        <v>5000337326</v>
      </c>
      <c r="W235" s="109">
        <v>45409</v>
      </c>
      <c r="X235" s="106">
        <v>430</v>
      </c>
      <c r="Y235" s="106">
        <v>4300</v>
      </c>
      <c r="Z235" s="106" t="s">
        <v>800</v>
      </c>
      <c r="AA235" s="106">
        <f t="shared" si="11"/>
        <v>0</v>
      </c>
      <c r="AB235" s="106">
        <f t="shared" si="12"/>
        <v>0</v>
      </c>
      <c r="AC235" s="94"/>
      <c r="AD235" s="94"/>
      <c r="AE235" s="94"/>
      <c r="AF235" s="94"/>
      <c r="AG235" s="94"/>
      <c r="AH235" s="263"/>
    </row>
    <row r="236" spans="1:34" ht="26.25" customHeight="1">
      <c r="A236" s="90"/>
      <c r="B236" s="88"/>
      <c r="C236" s="2"/>
      <c r="D236" s="192"/>
      <c r="E236" s="94">
        <v>10</v>
      </c>
      <c r="F236" s="74">
        <v>1950</v>
      </c>
      <c r="G236" s="45">
        <f t="shared" si="14"/>
        <v>19500</v>
      </c>
      <c r="H236" s="119" t="s">
        <v>46</v>
      </c>
      <c r="I236" s="128">
        <v>45377</v>
      </c>
      <c r="J236" s="74">
        <v>1950</v>
      </c>
      <c r="K236" s="74">
        <v>22</v>
      </c>
      <c r="L236" s="156">
        <v>45371</v>
      </c>
      <c r="M236" s="90">
        <v>19500</v>
      </c>
      <c r="N236" s="90">
        <v>98</v>
      </c>
      <c r="O236" s="90" t="s">
        <v>3168</v>
      </c>
      <c r="P236" s="94" t="s">
        <v>160</v>
      </c>
      <c r="Q236" s="94">
        <v>8500068429</v>
      </c>
      <c r="R236" s="94">
        <v>5000361597</v>
      </c>
      <c r="S236" s="94"/>
      <c r="T236" s="90" t="s">
        <v>152</v>
      </c>
      <c r="U236" s="90">
        <v>8500068428</v>
      </c>
      <c r="V236" s="90">
        <v>5000337114</v>
      </c>
      <c r="W236" s="109">
        <v>45412</v>
      </c>
      <c r="X236" s="106">
        <v>1950</v>
      </c>
      <c r="Y236" s="106">
        <v>19500</v>
      </c>
      <c r="Z236" s="106" t="s">
        <v>1472</v>
      </c>
      <c r="AA236" s="106">
        <f t="shared" si="11"/>
        <v>0</v>
      </c>
      <c r="AB236" s="106">
        <f t="shared" si="12"/>
        <v>0</v>
      </c>
      <c r="AC236" s="94"/>
      <c r="AD236" s="94"/>
      <c r="AE236" s="94"/>
      <c r="AF236" s="94"/>
      <c r="AG236" s="94"/>
      <c r="AH236" s="263"/>
    </row>
    <row r="237" spans="1:34" ht="51.75" customHeight="1">
      <c r="A237" s="90"/>
      <c r="B237" s="88"/>
      <c r="C237" s="2"/>
      <c r="D237" s="192"/>
      <c r="E237" s="94">
        <v>10</v>
      </c>
      <c r="F237" s="74">
        <v>2440</v>
      </c>
      <c r="G237" s="45">
        <f t="shared" si="14"/>
        <v>24400</v>
      </c>
      <c r="H237" s="119" t="s">
        <v>37</v>
      </c>
      <c r="I237" s="128">
        <v>45377</v>
      </c>
      <c r="J237" s="74">
        <v>2440</v>
      </c>
      <c r="K237" s="74">
        <f>26+8</f>
        <v>34</v>
      </c>
      <c r="L237" s="156">
        <v>45387</v>
      </c>
      <c r="M237" s="90">
        <v>24400</v>
      </c>
      <c r="N237" s="90">
        <v>122</v>
      </c>
      <c r="O237" s="90"/>
      <c r="P237" s="94" t="s">
        <v>160</v>
      </c>
      <c r="Q237" s="94">
        <v>8500068429</v>
      </c>
      <c r="R237" s="94">
        <v>5000361597</v>
      </c>
      <c r="S237" s="94"/>
      <c r="T237" s="90" t="s">
        <v>1666</v>
      </c>
      <c r="U237" s="90">
        <v>8500068428</v>
      </c>
      <c r="V237" s="90">
        <v>5000337326</v>
      </c>
      <c r="W237" s="109">
        <v>45412</v>
      </c>
      <c r="X237" s="106">
        <v>2440</v>
      </c>
      <c r="Y237" s="106">
        <v>24400</v>
      </c>
      <c r="Z237" s="106" t="s">
        <v>927</v>
      </c>
      <c r="AA237" s="106">
        <f t="shared" si="11"/>
        <v>0</v>
      </c>
      <c r="AB237" s="106">
        <f t="shared" si="12"/>
        <v>0</v>
      </c>
      <c r="AC237" s="94"/>
      <c r="AD237" s="94"/>
      <c r="AE237" s="94"/>
      <c r="AF237" s="94"/>
      <c r="AG237" s="94"/>
      <c r="AH237" s="263"/>
    </row>
    <row r="238" spans="1:34" ht="26.25" customHeight="1">
      <c r="A238" s="90" t="s">
        <v>316</v>
      </c>
      <c r="B238" s="88">
        <v>6000029661</v>
      </c>
      <c r="C238" s="2" t="s">
        <v>1778</v>
      </c>
      <c r="D238" s="192" t="s">
        <v>3159</v>
      </c>
      <c r="E238" s="94">
        <v>10</v>
      </c>
      <c r="F238" s="218">
        <v>224</v>
      </c>
      <c r="G238" s="219">
        <f t="shared" si="14"/>
        <v>2240</v>
      </c>
      <c r="H238" s="227" t="s">
        <v>46</v>
      </c>
      <c r="I238" s="128" t="s">
        <v>895</v>
      </c>
      <c r="J238" s="74"/>
      <c r="K238" s="74">
        <v>4</v>
      </c>
      <c r="L238" s="156"/>
      <c r="M238" s="90"/>
      <c r="N238" s="90">
        <v>25</v>
      </c>
      <c r="O238" s="90"/>
      <c r="P238" s="128" t="s">
        <v>895</v>
      </c>
      <c r="Q238" s="94">
        <v>8500069546</v>
      </c>
      <c r="R238" s="94">
        <v>5000360129</v>
      </c>
      <c r="S238" s="94"/>
      <c r="T238" s="90" t="s">
        <v>2073</v>
      </c>
      <c r="U238" s="90">
        <v>8500069545</v>
      </c>
      <c r="V238" s="90">
        <v>5000379252</v>
      </c>
      <c r="W238" s="109"/>
      <c r="X238" s="106"/>
      <c r="Y238" s="106"/>
      <c r="Z238" s="106"/>
      <c r="AA238" s="106">
        <f t="shared" si="11"/>
        <v>0</v>
      </c>
      <c r="AB238" s="106">
        <f t="shared" si="12"/>
        <v>0</v>
      </c>
      <c r="AC238" s="94"/>
      <c r="AD238" s="94"/>
      <c r="AE238" s="94"/>
      <c r="AF238" s="94"/>
      <c r="AG238" s="94"/>
      <c r="AH238" s="263"/>
    </row>
    <row r="239" spans="1:34" ht="26.25" customHeight="1">
      <c r="A239" s="90"/>
      <c r="B239" s="88"/>
      <c r="C239" s="2"/>
      <c r="D239" s="192"/>
      <c r="E239" s="94">
        <v>10</v>
      </c>
      <c r="F239" s="218">
        <v>224</v>
      </c>
      <c r="G239" s="219">
        <f t="shared" si="14"/>
        <v>2240</v>
      </c>
      <c r="H239" s="227" t="s">
        <v>37</v>
      </c>
      <c r="I239" s="128" t="s">
        <v>895</v>
      </c>
      <c r="J239" s="74"/>
      <c r="K239" s="74">
        <v>6</v>
      </c>
      <c r="L239" s="156"/>
      <c r="M239" s="90"/>
      <c r="N239" s="90">
        <v>20</v>
      </c>
      <c r="O239" s="90"/>
      <c r="P239" s="128" t="s">
        <v>895</v>
      </c>
      <c r="Q239" s="94">
        <v>8500069546</v>
      </c>
      <c r="R239" s="94">
        <v>5000360129</v>
      </c>
      <c r="S239" s="94"/>
      <c r="T239" s="90" t="s">
        <v>2073</v>
      </c>
      <c r="U239" s="90">
        <v>8500069545</v>
      </c>
      <c r="V239" s="90">
        <v>5000379252</v>
      </c>
      <c r="W239" s="109"/>
      <c r="X239" s="106"/>
      <c r="Y239" s="106"/>
      <c r="Z239" s="106"/>
      <c r="AA239" s="106">
        <f t="shared" si="11"/>
        <v>0</v>
      </c>
      <c r="AB239" s="106">
        <f t="shared" si="12"/>
        <v>0</v>
      </c>
      <c r="AC239" s="94"/>
      <c r="AD239" s="94"/>
      <c r="AE239" s="94"/>
      <c r="AF239" s="94"/>
      <c r="AG239" s="94"/>
      <c r="AH239" s="263"/>
    </row>
    <row r="240" spans="1:34" ht="26.25" customHeight="1">
      <c r="A240" s="90"/>
      <c r="B240" s="88"/>
      <c r="C240" s="2"/>
      <c r="D240" s="192"/>
      <c r="E240" s="94">
        <v>10</v>
      </c>
      <c r="F240" s="74">
        <v>112</v>
      </c>
      <c r="G240" s="45">
        <f t="shared" si="14"/>
        <v>1120</v>
      </c>
      <c r="H240" s="119" t="s">
        <v>146</v>
      </c>
      <c r="I240" s="128">
        <v>45376</v>
      </c>
      <c r="J240" s="74">
        <v>112</v>
      </c>
      <c r="K240" s="74">
        <f>4+1</f>
        <v>5</v>
      </c>
      <c r="L240" s="156">
        <v>45385</v>
      </c>
      <c r="M240" s="90">
        <v>1120</v>
      </c>
      <c r="N240" s="90">
        <v>11</v>
      </c>
      <c r="O240" s="90"/>
      <c r="P240" s="94" t="s">
        <v>160</v>
      </c>
      <c r="Q240" s="94">
        <v>8500069548</v>
      </c>
      <c r="R240" s="94">
        <v>5000359757</v>
      </c>
      <c r="S240" s="94"/>
      <c r="T240" s="90" t="s">
        <v>1666</v>
      </c>
      <c r="U240" s="90">
        <v>8500069549</v>
      </c>
      <c r="V240" s="90">
        <v>5000379253</v>
      </c>
      <c r="W240" s="109">
        <v>45399</v>
      </c>
      <c r="X240" s="106">
        <v>112</v>
      </c>
      <c r="Y240" s="106">
        <v>1120</v>
      </c>
      <c r="Z240" s="106" t="s">
        <v>759</v>
      </c>
      <c r="AA240" s="106">
        <f t="shared" si="11"/>
        <v>0</v>
      </c>
      <c r="AB240" s="106">
        <f t="shared" si="12"/>
        <v>0</v>
      </c>
      <c r="AC240" s="94"/>
      <c r="AD240" s="94"/>
      <c r="AE240" s="94"/>
      <c r="AF240" s="94"/>
      <c r="AG240" s="94"/>
      <c r="AH240" s="263"/>
    </row>
    <row r="241" spans="1:34" ht="26.25" customHeight="1">
      <c r="A241" s="90" t="s">
        <v>316</v>
      </c>
      <c r="B241" s="88">
        <v>6000029661</v>
      </c>
      <c r="C241" s="2" t="s">
        <v>2788</v>
      </c>
      <c r="D241" s="192"/>
      <c r="E241" s="94">
        <v>10</v>
      </c>
      <c r="F241" s="74">
        <v>100</v>
      </c>
      <c r="G241" s="45">
        <f t="shared" si="14"/>
        <v>1000</v>
      </c>
      <c r="H241" s="119" t="s">
        <v>46</v>
      </c>
      <c r="I241" s="128">
        <v>45374</v>
      </c>
      <c r="J241" s="74">
        <f>82+18</f>
        <v>100</v>
      </c>
      <c r="K241" s="74">
        <f>3+4</f>
        <v>7</v>
      </c>
      <c r="L241" s="156">
        <v>45381</v>
      </c>
      <c r="M241" s="90">
        <v>1000</v>
      </c>
      <c r="N241" s="90">
        <v>5</v>
      </c>
      <c r="O241" s="90" t="s">
        <v>922</v>
      </c>
      <c r="P241" s="94" t="s">
        <v>160</v>
      </c>
      <c r="Q241" s="94">
        <v>8500069551</v>
      </c>
      <c r="R241" s="94">
        <v>5000355219</v>
      </c>
      <c r="S241" s="94"/>
      <c r="T241" s="90" t="s">
        <v>152</v>
      </c>
      <c r="U241" s="90">
        <v>8500069550</v>
      </c>
      <c r="V241" s="90">
        <v>5000378969</v>
      </c>
      <c r="W241" s="109">
        <v>45444</v>
      </c>
      <c r="X241" s="106">
        <v>100</v>
      </c>
      <c r="Y241" s="106">
        <v>1000</v>
      </c>
      <c r="Z241" s="106" t="s">
        <v>800</v>
      </c>
      <c r="AA241" s="106">
        <f t="shared" si="11"/>
        <v>0</v>
      </c>
      <c r="AB241" s="106">
        <f t="shared" si="12"/>
        <v>0</v>
      </c>
      <c r="AC241" s="94"/>
      <c r="AD241" s="94"/>
      <c r="AE241" s="94"/>
      <c r="AF241" s="94"/>
      <c r="AG241" s="94"/>
      <c r="AH241" s="263"/>
    </row>
    <row r="242" spans="1:34" ht="26.25" customHeight="1">
      <c r="A242" s="90"/>
      <c r="B242" s="88"/>
      <c r="C242" s="2"/>
      <c r="D242" s="192"/>
      <c r="E242" s="94">
        <v>10</v>
      </c>
      <c r="F242" s="74">
        <v>283</v>
      </c>
      <c r="G242" s="45">
        <f t="shared" si="14"/>
        <v>2830</v>
      </c>
      <c r="H242" s="119" t="s">
        <v>37</v>
      </c>
      <c r="I242" s="128">
        <v>45376</v>
      </c>
      <c r="J242" s="74">
        <v>283</v>
      </c>
      <c r="K242" s="74">
        <v>6</v>
      </c>
      <c r="L242" s="156">
        <v>45381</v>
      </c>
      <c r="M242" s="90">
        <v>2830</v>
      </c>
      <c r="N242" s="90">
        <v>15</v>
      </c>
      <c r="O242" s="90" t="s">
        <v>734</v>
      </c>
      <c r="P242" s="94" t="s">
        <v>160</v>
      </c>
      <c r="Q242" s="94">
        <v>8500069551</v>
      </c>
      <c r="R242" s="94">
        <v>5000359756</v>
      </c>
      <c r="S242" s="94"/>
      <c r="T242" s="90" t="s">
        <v>152</v>
      </c>
      <c r="U242" s="90">
        <v>8500069550</v>
      </c>
      <c r="V242" s="90">
        <v>5000378969</v>
      </c>
      <c r="W242" s="109" t="s">
        <v>3659</v>
      </c>
      <c r="X242" s="106">
        <f>100+124</f>
        <v>224</v>
      </c>
      <c r="Y242" s="106">
        <f>1000+1240</f>
        <v>2240</v>
      </c>
      <c r="Z242" s="106" t="s">
        <v>1785</v>
      </c>
      <c r="AA242" s="106">
        <f t="shared" si="11"/>
        <v>59</v>
      </c>
      <c r="AB242" s="106">
        <f t="shared" si="12"/>
        <v>590</v>
      </c>
      <c r="AC242" s="94"/>
      <c r="AD242" s="94"/>
      <c r="AE242" s="94"/>
      <c r="AF242" s="94"/>
      <c r="AG242" s="94"/>
      <c r="AH242" s="263"/>
    </row>
    <row r="243" spans="1:34" ht="26.25" customHeight="1">
      <c r="A243" s="90"/>
      <c r="B243" s="88"/>
      <c r="C243" s="2"/>
      <c r="D243" s="192"/>
      <c r="E243" s="94">
        <v>10</v>
      </c>
      <c r="F243" s="74">
        <v>100</v>
      </c>
      <c r="G243" s="45">
        <f t="shared" si="14"/>
        <v>1000</v>
      </c>
      <c r="H243" s="119" t="s">
        <v>146</v>
      </c>
      <c r="I243" s="128">
        <v>45374</v>
      </c>
      <c r="J243" s="74">
        <v>100</v>
      </c>
      <c r="K243" s="74">
        <f>3+1</f>
        <v>4</v>
      </c>
      <c r="L243" s="156">
        <v>45381</v>
      </c>
      <c r="M243" s="90">
        <v>1000</v>
      </c>
      <c r="N243" s="90">
        <v>5</v>
      </c>
      <c r="O243" s="90" t="s">
        <v>823</v>
      </c>
      <c r="P243" s="94" t="s">
        <v>160</v>
      </c>
      <c r="Q243" s="94">
        <v>8500069553</v>
      </c>
      <c r="R243" s="94">
        <v>5000355250</v>
      </c>
      <c r="S243" s="94"/>
      <c r="T243" s="90" t="s">
        <v>152</v>
      </c>
      <c r="U243" s="90">
        <v>8500069552</v>
      </c>
      <c r="V243" s="90">
        <v>5000379050</v>
      </c>
      <c r="W243" s="109" t="s">
        <v>3659</v>
      </c>
      <c r="X243" s="106">
        <f>72+28</f>
        <v>100</v>
      </c>
      <c r="Y243" s="106">
        <f>720+280</f>
        <v>1000</v>
      </c>
      <c r="Z243" s="106" t="s">
        <v>1785</v>
      </c>
      <c r="AA243" s="106">
        <f t="shared" si="11"/>
        <v>0</v>
      </c>
      <c r="AB243" s="106">
        <f t="shared" si="12"/>
        <v>0</v>
      </c>
      <c r="AC243" s="94"/>
      <c r="AD243" s="94"/>
      <c r="AE243" s="94"/>
      <c r="AF243" s="94"/>
      <c r="AG243" s="94"/>
      <c r="AH243" s="263"/>
    </row>
    <row r="244" spans="1:34" ht="25.5" customHeight="1">
      <c r="A244" s="90" t="s">
        <v>316</v>
      </c>
      <c r="B244" s="88">
        <v>6000029661</v>
      </c>
      <c r="C244" s="2" t="s">
        <v>1780</v>
      </c>
      <c r="D244" s="552" t="s">
        <v>3160</v>
      </c>
      <c r="E244" s="94">
        <v>10</v>
      </c>
      <c r="F244" s="94">
        <v>224</v>
      </c>
      <c r="G244" s="45">
        <f t="shared" si="14"/>
        <v>2240</v>
      </c>
      <c r="H244" s="119" t="s">
        <v>243</v>
      </c>
      <c r="I244" s="128">
        <v>45376</v>
      </c>
      <c r="J244" s="74">
        <v>224</v>
      </c>
      <c r="K244" s="74">
        <f>6+2</f>
        <v>8</v>
      </c>
      <c r="L244" s="156">
        <v>45373</v>
      </c>
      <c r="M244" s="90">
        <v>2240</v>
      </c>
      <c r="N244" s="90">
        <v>22</v>
      </c>
      <c r="O244" s="90" t="s">
        <v>1613</v>
      </c>
      <c r="P244" s="94" t="s">
        <v>160</v>
      </c>
      <c r="Q244" s="94">
        <v>8500069555</v>
      </c>
      <c r="R244" s="94">
        <v>5000359759</v>
      </c>
      <c r="S244" s="74">
        <v>224</v>
      </c>
      <c r="T244" s="90" t="s">
        <v>87</v>
      </c>
      <c r="U244" s="90">
        <v>8500069554</v>
      </c>
      <c r="V244" s="90"/>
      <c r="W244" s="109" t="s">
        <v>3229</v>
      </c>
      <c r="X244" s="106">
        <f>160+64</f>
        <v>224</v>
      </c>
      <c r="Y244" s="106">
        <f>1600+640</f>
        <v>2240</v>
      </c>
      <c r="Z244" s="106" t="s">
        <v>3230</v>
      </c>
      <c r="AA244" s="106">
        <f t="shared" si="11"/>
        <v>0</v>
      </c>
      <c r="AB244" s="106">
        <f t="shared" si="12"/>
        <v>0</v>
      </c>
      <c r="AC244" s="94"/>
      <c r="AD244" s="94"/>
      <c r="AE244" s="94"/>
      <c r="AF244" s="94"/>
      <c r="AG244" s="94"/>
      <c r="AH244" s="263"/>
    </row>
    <row r="245" spans="1:34" ht="26.25" customHeight="1">
      <c r="A245" s="45"/>
      <c r="B245" s="121"/>
      <c r="C245" s="192"/>
      <c r="D245" s="553"/>
      <c r="E245" s="253">
        <v>10</v>
      </c>
      <c r="F245" s="253">
        <v>112</v>
      </c>
      <c r="G245" s="219">
        <f t="shared" si="14"/>
        <v>1120</v>
      </c>
      <c r="H245" s="227" t="s">
        <v>27</v>
      </c>
      <c r="I245" s="128" t="s">
        <v>895</v>
      </c>
      <c r="J245" s="74"/>
      <c r="K245" s="74"/>
      <c r="L245" s="156"/>
      <c r="M245" s="90"/>
      <c r="N245" s="90"/>
      <c r="O245" s="90"/>
      <c r="P245" s="94" t="s">
        <v>895</v>
      </c>
      <c r="Q245" s="94">
        <v>8500069555</v>
      </c>
      <c r="R245" s="94">
        <v>5000360123</v>
      </c>
      <c r="S245" s="94"/>
      <c r="T245" s="90" t="s">
        <v>2073</v>
      </c>
      <c r="U245" s="90">
        <v>8500069554</v>
      </c>
      <c r="V245" s="90">
        <v>5000360491</v>
      </c>
      <c r="W245" s="109"/>
      <c r="X245" s="106"/>
      <c r="Y245" s="106"/>
      <c r="Z245" s="106"/>
      <c r="AA245" s="106">
        <f t="shared" si="11"/>
        <v>0</v>
      </c>
      <c r="AB245" s="106">
        <f t="shared" si="12"/>
        <v>0</v>
      </c>
      <c r="AC245" s="94"/>
      <c r="AD245" s="94"/>
      <c r="AE245" s="94"/>
      <c r="AF245" s="94"/>
      <c r="AG245" s="94"/>
      <c r="AH245" s="263"/>
    </row>
    <row r="246" spans="1:34" ht="26.25" customHeight="1">
      <c r="A246" s="45"/>
      <c r="B246" s="121"/>
      <c r="C246" s="192"/>
      <c r="D246" s="554"/>
      <c r="E246" s="253">
        <v>10</v>
      </c>
      <c r="F246" s="253">
        <v>784</v>
      </c>
      <c r="G246" s="219">
        <f t="shared" si="14"/>
        <v>7840</v>
      </c>
      <c r="H246" s="227" t="s">
        <v>46</v>
      </c>
      <c r="I246" s="128" t="s">
        <v>895</v>
      </c>
      <c r="J246" s="74"/>
      <c r="K246" s="74">
        <v>12</v>
      </c>
      <c r="L246" s="156"/>
      <c r="M246" s="90"/>
      <c r="N246" s="90">
        <v>73</v>
      </c>
      <c r="O246" s="90"/>
      <c r="P246" s="94" t="s">
        <v>895</v>
      </c>
      <c r="Q246" s="94">
        <v>8500069555</v>
      </c>
      <c r="R246" s="94">
        <v>5000360123</v>
      </c>
      <c r="S246" s="94"/>
      <c r="T246" s="90" t="s">
        <v>2073</v>
      </c>
      <c r="U246" s="90">
        <v>8500069554</v>
      </c>
      <c r="V246" s="90">
        <v>5000379544</v>
      </c>
      <c r="W246" s="109"/>
      <c r="X246" s="106"/>
      <c r="Y246" s="106"/>
      <c r="Z246" s="106"/>
      <c r="AA246" s="106">
        <f t="shared" si="11"/>
        <v>0</v>
      </c>
      <c r="AB246" s="106">
        <f t="shared" si="12"/>
        <v>0</v>
      </c>
      <c r="AC246" s="94"/>
      <c r="AD246" s="94"/>
      <c r="AE246" s="94"/>
      <c r="AF246" s="94"/>
      <c r="AG246" s="94"/>
      <c r="AH246" s="263"/>
    </row>
    <row r="247" spans="1:34" ht="26.25" customHeight="1">
      <c r="A247" s="45"/>
      <c r="B247" s="121"/>
      <c r="C247" s="192"/>
      <c r="D247" s="192"/>
      <c r="E247" s="253">
        <v>10</v>
      </c>
      <c r="F247" s="218">
        <v>784</v>
      </c>
      <c r="G247" s="219">
        <f t="shared" si="14"/>
        <v>7840</v>
      </c>
      <c r="H247" s="227" t="s">
        <v>37</v>
      </c>
      <c r="I247" s="128" t="s">
        <v>895</v>
      </c>
      <c r="J247" s="74"/>
      <c r="K247" s="74">
        <v>8</v>
      </c>
      <c r="L247" s="156"/>
      <c r="M247" s="90"/>
      <c r="N247" s="90">
        <v>75</v>
      </c>
      <c r="O247" s="90"/>
      <c r="P247" s="94" t="s">
        <v>895</v>
      </c>
      <c r="Q247" s="94">
        <v>8500069555</v>
      </c>
      <c r="R247" s="94">
        <v>5000360123</v>
      </c>
      <c r="S247" s="94"/>
      <c r="T247" s="90" t="s">
        <v>2073</v>
      </c>
      <c r="U247" s="90">
        <v>8500069554</v>
      </c>
      <c r="V247" s="90">
        <v>5000379544</v>
      </c>
      <c r="W247" s="109"/>
      <c r="X247" s="106"/>
      <c r="Y247" s="106"/>
      <c r="Z247" s="106"/>
      <c r="AA247" s="106">
        <f t="shared" si="11"/>
        <v>0</v>
      </c>
      <c r="AB247" s="106">
        <f t="shared" si="12"/>
        <v>0</v>
      </c>
      <c r="AC247" s="94"/>
      <c r="AD247" s="94"/>
      <c r="AE247" s="94"/>
      <c r="AF247" s="94"/>
      <c r="AG247" s="94"/>
      <c r="AH247" s="263"/>
    </row>
    <row r="248" spans="1:34" ht="26.25" customHeight="1">
      <c r="A248" s="45"/>
      <c r="B248" s="121"/>
      <c r="C248" s="192"/>
      <c r="D248" s="192"/>
      <c r="E248" s="253">
        <v>10</v>
      </c>
      <c r="F248" s="218">
        <v>336</v>
      </c>
      <c r="G248" s="219">
        <f t="shared" si="14"/>
        <v>3360</v>
      </c>
      <c r="H248" s="227" t="s">
        <v>146</v>
      </c>
      <c r="I248" s="128" t="s">
        <v>895</v>
      </c>
      <c r="J248" s="74"/>
      <c r="K248" s="74">
        <v>6</v>
      </c>
      <c r="L248" s="156"/>
      <c r="M248" s="90"/>
      <c r="N248" s="90">
        <v>32</v>
      </c>
      <c r="O248" s="90"/>
      <c r="P248" s="94" t="s">
        <v>895</v>
      </c>
      <c r="Q248" s="94">
        <v>8500069557</v>
      </c>
      <c r="R248" s="94">
        <v>5000360125</v>
      </c>
      <c r="S248" s="94"/>
      <c r="T248" s="90" t="s">
        <v>2073</v>
      </c>
      <c r="U248" s="90">
        <v>8500069556</v>
      </c>
      <c r="V248" s="90">
        <v>5000379545</v>
      </c>
      <c r="W248" s="109"/>
      <c r="X248" s="106"/>
      <c r="Y248" s="106"/>
      <c r="Z248" s="106"/>
      <c r="AA248" s="106">
        <f t="shared" si="11"/>
        <v>0</v>
      </c>
      <c r="AB248" s="106">
        <f t="shared" si="12"/>
        <v>0</v>
      </c>
      <c r="AC248" s="94"/>
      <c r="AD248" s="94"/>
      <c r="AE248" s="94"/>
      <c r="AF248" s="94"/>
      <c r="AG248" s="94"/>
      <c r="AH248" s="263"/>
    </row>
    <row r="249" spans="1:34" ht="26.25" customHeight="1">
      <c r="A249" s="90" t="s">
        <v>316</v>
      </c>
      <c r="B249" s="88">
        <v>6000029661</v>
      </c>
      <c r="C249" s="2" t="s">
        <v>2789</v>
      </c>
      <c r="D249" s="192"/>
      <c r="E249" s="94">
        <v>10</v>
      </c>
      <c r="F249" s="74">
        <v>285</v>
      </c>
      <c r="G249" s="45">
        <f t="shared" si="14"/>
        <v>2850</v>
      </c>
      <c r="H249" s="119" t="s">
        <v>37</v>
      </c>
      <c r="I249" s="128">
        <v>45376</v>
      </c>
      <c r="J249" s="74">
        <v>285</v>
      </c>
      <c r="K249" s="74">
        <f>6+1</f>
        <v>7</v>
      </c>
      <c r="L249" s="156">
        <v>45381</v>
      </c>
      <c r="M249" s="90">
        <v>2850</v>
      </c>
      <c r="N249" s="90">
        <v>15</v>
      </c>
      <c r="O249" s="90"/>
      <c r="P249" s="94" t="s">
        <v>160</v>
      </c>
      <c r="Q249" s="94">
        <v>8500069561</v>
      </c>
      <c r="R249" s="94">
        <v>5000359754</v>
      </c>
      <c r="S249" s="94"/>
      <c r="T249" s="90" t="s">
        <v>152</v>
      </c>
      <c r="U249" s="90">
        <v>8500069560</v>
      </c>
      <c r="V249" s="90">
        <v>5000379053</v>
      </c>
      <c r="W249" s="109" t="s">
        <v>3697</v>
      </c>
      <c r="X249" s="106">
        <f>100+185-17+17</f>
        <v>285</v>
      </c>
      <c r="Y249" s="106">
        <f>1000+1850-170+170</f>
        <v>2850</v>
      </c>
      <c r="Z249" s="106" t="s">
        <v>1810</v>
      </c>
      <c r="AA249" s="106">
        <f t="shared" si="11"/>
        <v>0</v>
      </c>
      <c r="AB249" s="106">
        <f t="shared" si="12"/>
        <v>0</v>
      </c>
      <c r="AC249" s="94" t="s">
        <v>3678</v>
      </c>
      <c r="AD249" s="94"/>
      <c r="AE249" s="94"/>
      <c r="AF249" s="94"/>
      <c r="AG249" s="94"/>
      <c r="AH249" s="263"/>
    </row>
    <row r="250" spans="1:34" ht="26.25" customHeight="1">
      <c r="A250" s="45"/>
      <c r="B250" s="121"/>
      <c r="C250" s="192"/>
      <c r="D250" s="192"/>
      <c r="E250" s="94">
        <v>10</v>
      </c>
      <c r="F250" s="74">
        <v>50</v>
      </c>
      <c r="G250" s="45">
        <f t="shared" si="14"/>
        <v>500</v>
      </c>
      <c r="H250" s="119" t="s">
        <v>146</v>
      </c>
      <c r="I250" s="128">
        <v>45376</v>
      </c>
      <c r="J250" s="74">
        <v>50</v>
      </c>
      <c r="K250" s="74">
        <f>3+5</f>
        <v>8</v>
      </c>
      <c r="L250" s="156">
        <v>45381</v>
      </c>
      <c r="M250" s="90">
        <v>500</v>
      </c>
      <c r="N250" s="90">
        <v>3</v>
      </c>
      <c r="O250" s="90"/>
      <c r="P250" s="94" t="s">
        <v>160</v>
      </c>
      <c r="Q250" s="94">
        <v>8500069563</v>
      </c>
      <c r="R250" s="94">
        <v>5000359755</v>
      </c>
      <c r="S250" s="94"/>
      <c r="T250" s="90" t="s">
        <v>152</v>
      </c>
      <c r="U250" s="90">
        <v>8500069562</v>
      </c>
      <c r="V250" s="90">
        <v>5000379057</v>
      </c>
      <c r="W250" s="109">
        <v>45415</v>
      </c>
      <c r="X250" s="106">
        <v>50</v>
      </c>
      <c r="Y250" s="106">
        <v>500</v>
      </c>
      <c r="Z250" s="106" t="s">
        <v>800</v>
      </c>
      <c r="AA250" s="106">
        <f t="shared" si="11"/>
        <v>0</v>
      </c>
      <c r="AB250" s="106">
        <f t="shared" si="12"/>
        <v>0</v>
      </c>
      <c r="AC250" s="94"/>
      <c r="AD250" s="94"/>
      <c r="AE250" s="94"/>
      <c r="AF250" s="94"/>
      <c r="AG250" s="94"/>
      <c r="AH250" s="263"/>
    </row>
    <row r="251" spans="1:34" ht="26.25" customHeight="1">
      <c r="A251" s="90" t="s">
        <v>240</v>
      </c>
      <c r="B251" s="88">
        <v>6000029235</v>
      </c>
      <c r="C251" s="2" t="s">
        <v>895</v>
      </c>
      <c r="D251" s="192"/>
      <c r="E251" s="94"/>
      <c r="F251" s="74"/>
      <c r="G251" s="45"/>
      <c r="H251" s="119"/>
      <c r="I251" s="94" t="s">
        <v>895</v>
      </c>
      <c r="J251" s="74"/>
      <c r="K251" s="74"/>
      <c r="L251" s="156"/>
      <c r="M251" s="90"/>
      <c r="N251" s="90"/>
      <c r="O251" s="90"/>
      <c r="P251" s="94" t="s">
        <v>895</v>
      </c>
      <c r="Q251" s="94">
        <v>8500068761</v>
      </c>
      <c r="R251" s="94">
        <v>5000370561</v>
      </c>
      <c r="S251" s="94"/>
      <c r="T251" s="90" t="s">
        <v>2073</v>
      </c>
      <c r="U251" s="90">
        <v>8500068760</v>
      </c>
      <c r="V251" s="90">
        <v>5000369700</v>
      </c>
      <c r="W251" s="105"/>
      <c r="X251" s="106"/>
      <c r="Y251" s="106"/>
      <c r="Z251" s="106"/>
      <c r="AA251" s="106">
        <f t="shared" si="11"/>
        <v>0</v>
      </c>
      <c r="AB251" s="106">
        <f t="shared" si="12"/>
        <v>0</v>
      </c>
      <c r="AC251" s="94"/>
      <c r="AD251" s="94"/>
      <c r="AE251" s="94"/>
      <c r="AF251" s="94"/>
      <c r="AG251" s="94"/>
      <c r="AH251" s="263"/>
    </row>
    <row r="252" spans="1:34" ht="26.25" customHeight="1">
      <c r="A252" s="90" t="s">
        <v>240</v>
      </c>
      <c r="B252" s="88">
        <v>6000029571</v>
      </c>
      <c r="C252" s="2" t="s">
        <v>895</v>
      </c>
      <c r="D252" s="192"/>
      <c r="E252" s="94"/>
      <c r="F252" s="74"/>
      <c r="G252" s="45"/>
      <c r="H252" s="119"/>
      <c r="I252" s="94" t="s">
        <v>895</v>
      </c>
      <c r="J252" s="74"/>
      <c r="K252" s="74"/>
      <c r="L252" s="156"/>
      <c r="M252" s="90"/>
      <c r="N252" s="90"/>
      <c r="O252" s="90"/>
      <c r="P252" s="94" t="s">
        <v>895</v>
      </c>
      <c r="Q252" s="94"/>
      <c r="R252" s="94"/>
      <c r="S252" s="94"/>
      <c r="T252" s="90" t="s">
        <v>2073</v>
      </c>
      <c r="U252" s="90">
        <v>8500069576</v>
      </c>
      <c r="V252" s="90">
        <v>5000369702</v>
      </c>
      <c r="W252" s="105"/>
      <c r="X252" s="106"/>
      <c r="Y252" s="106"/>
      <c r="Z252" s="106"/>
      <c r="AA252" s="106">
        <f t="shared" si="11"/>
        <v>0</v>
      </c>
      <c r="AB252" s="106">
        <f t="shared" si="12"/>
        <v>0</v>
      </c>
      <c r="AC252" s="94"/>
      <c r="AD252" s="94"/>
      <c r="AE252" s="94"/>
      <c r="AF252" s="94"/>
      <c r="AG252" s="94"/>
      <c r="AH252" s="263"/>
    </row>
    <row r="253" spans="1:34" ht="26.25" customHeight="1">
      <c r="A253" s="90" t="s">
        <v>1367</v>
      </c>
      <c r="B253" s="88">
        <v>6000028853</v>
      </c>
      <c r="C253" s="2" t="s">
        <v>1368</v>
      </c>
      <c r="D253" s="192">
        <v>6000028853</v>
      </c>
      <c r="E253" s="94">
        <v>10</v>
      </c>
      <c r="F253" s="74">
        <v>300</v>
      </c>
      <c r="G253" s="45">
        <f t="shared" si="14"/>
        <v>3000</v>
      </c>
      <c r="H253" s="119" t="s">
        <v>27</v>
      </c>
      <c r="I253" s="128">
        <v>45416</v>
      </c>
      <c r="J253" s="74">
        <v>110</v>
      </c>
      <c r="K253" s="74">
        <v>2</v>
      </c>
      <c r="L253" s="344">
        <v>45416</v>
      </c>
      <c r="M253" s="90">
        <v>1100</v>
      </c>
      <c r="N253" s="90">
        <v>28</v>
      </c>
      <c r="O253" s="90"/>
      <c r="P253" s="94" t="s">
        <v>1666</v>
      </c>
      <c r="Q253" s="94">
        <v>8500069157</v>
      </c>
      <c r="R253" s="94">
        <v>5000393564</v>
      </c>
      <c r="S253" s="94"/>
      <c r="T253" s="90" t="s">
        <v>1666</v>
      </c>
      <c r="U253" s="90">
        <v>8500069256</v>
      </c>
      <c r="V253" s="90">
        <v>5000379177</v>
      </c>
      <c r="W253" s="109">
        <v>45416</v>
      </c>
      <c r="X253" s="106">
        <v>110</v>
      </c>
      <c r="Y253" s="106">
        <v>1100</v>
      </c>
      <c r="Z253" s="106" t="s">
        <v>800</v>
      </c>
      <c r="AA253" s="106">
        <f t="shared" si="11"/>
        <v>0</v>
      </c>
      <c r="AB253" s="106">
        <f t="shared" si="12"/>
        <v>0</v>
      </c>
      <c r="AC253" s="94"/>
      <c r="AD253" s="94"/>
      <c r="AE253" s="94"/>
      <c r="AF253" s="94"/>
      <c r="AG253" s="94"/>
      <c r="AH253" s="263"/>
    </row>
    <row r="254" spans="1:34" ht="26.25" customHeight="1">
      <c r="A254" s="90"/>
      <c r="B254" s="88"/>
      <c r="C254" s="2"/>
      <c r="D254" s="119"/>
      <c r="E254" s="94">
        <v>10</v>
      </c>
      <c r="F254" s="74">
        <v>420</v>
      </c>
      <c r="G254" s="45">
        <f t="shared" si="14"/>
        <v>4200</v>
      </c>
      <c r="H254" s="119" t="s">
        <v>46</v>
      </c>
      <c r="I254" s="128">
        <v>45379</v>
      </c>
      <c r="J254" s="74">
        <v>420</v>
      </c>
      <c r="K254" s="74">
        <v>5</v>
      </c>
      <c r="L254" s="344">
        <v>45405</v>
      </c>
      <c r="M254" s="90">
        <v>4200</v>
      </c>
      <c r="N254" s="90">
        <v>42</v>
      </c>
      <c r="O254" s="90" t="s">
        <v>899</v>
      </c>
      <c r="P254" s="94" t="s">
        <v>160</v>
      </c>
      <c r="Q254" s="94">
        <v>8500069157</v>
      </c>
      <c r="R254" s="94">
        <v>5000370421</v>
      </c>
      <c r="S254" s="94"/>
      <c r="T254" s="90" t="s">
        <v>1666</v>
      </c>
      <c r="U254" s="90">
        <v>8500069256</v>
      </c>
      <c r="V254" s="90">
        <v>5000379177</v>
      </c>
      <c r="W254" s="109">
        <v>45408</v>
      </c>
      <c r="X254" s="106">
        <v>420</v>
      </c>
      <c r="Y254" s="106">
        <v>4200</v>
      </c>
      <c r="Z254" s="106" t="s">
        <v>2006</v>
      </c>
      <c r="AA254" s="106">
        <f t="shared" si="11"/>
        <v>0</v>
      </c>
      <c r="AB254" s="106">
        <f t="shared" si="12"/>
        <v>0</v>
      </c>
      <c r="AC254" s="94" t="s">
        <v>3405</v>
      </c>
      <c r="AD254" s="94"/>
      <c r="AE254" s="94"/>
      <c r="AF254" s="94"/>
      <c r="AG254" s="94"/>
      <c r="AH254" s="263"/>
    </row>
    <row r="255" spans="1:34" ht="26.25" customHeight="1">
      <c r="A255" s="90"/>
      <c r="B255" s="88"/>
      <c r="C255" s="2"/>
      <c r="D255" s="192"/>
      <c r="E255" s="94">
        <v>10</v>
      </c>
      <c r="F255" s="74">
        <v>330</v>
      </c>
      <c r="G255" s="45">
        <f t="shared" si="14"/>
        <v>3300</v>
      </c>
      <c r="H255" s="119" t="s">
        <v>37</v>
      </c>
      <c r="I255" s="128">
        <v>45391</v>
      </c>
      <c r="J255" s="74">
        <v>330</v>
      </c>
      <c r="K255" s="74">
        <v>10</v>
      </c>
      <c r="L255" s="156">
        <v>45379</v>
      </c>
      <c r="M255" s="90">
        <v>3300</v>
      </c>
      <c r="N255" s="90">
        <v>33</v>
      </c>
      <c r="O255" s="90"/>
      <c r="P255" s="94" t="s">
        <v>160</v>
      </c>
      <c r="Q255" s="94">
        <v>8500069157</v>
      </c>
      <c r="R255" s="94">
        <v>5000427848</v>
      </c>
      <c r="S255" s="94"/>
      <c r="T255" s="90" t="s">
        <v>1558</v>
      </c>
      <c r="U255" s="90">
        <v>8500069156</v>
      </c>
      <c r="V255" s="90">
        <v>5000373726</v>
      </c>
      <c r="W255" s="109">
        <v>45409</v>
      </c>
      <c r="X255" s="106">
        <v>330</v>
      </c>
      <c r="Y255" s="106">
        <v>3300</v>
      </c>
      <c r="Z255" s="106" t="s">
        <v>927</v>
      </c>
      <c r="AA255" s="106">
        <f t="shared" si="11"/>
        <v>0</v>
      </c>
      <c r="AB255" s="106">
        <f t="shared" si="12"/>
        <v>0</v>
      </c>
      <c r="AC255" s="94"/>
      <c r="AD255" s="94"/>
      <c r="AE255" s="94"/>
      <c r="AF255" s="94"/>
      <c r="AG255" s="94"/>
      <c r="AH255" s="263"/>
    </row>
    <row r="256" spans="1:34" ht="26.25" customHeight="1">
      <c r="A256" s="90" t="s">
        <v>1539</v>
      </c>
      <c r="B256" s="88">
        <v>6000027728</v>
      </c>
      <c r="C256" s="2" t="s">
        <v>1540</v>
      </c>
      <c r="D256" s="192">
        <v>6000027728</v>
      </c>
      <c r="E256" s="94">
        <v>10</v>
      </c>
      <c r="F256" s="218">
        <v>400</v>
      </c>
      <c r="G256" s="219">
        <f t="shared" si="14"/>
        <v>4000</v>
      </c>
      <c r="H256" s="227" t="s">
        <v>27</v>
      </c>
      <c r="I256" s="128" t="s">
        <v>895</v>
      </c>
      <c r="J256" s="74"/>
      <c r="K256" s="74"/>
      <c r="L256" s="156"/>
      <c r="M256" s="90"/>
      <c r="N256" s="90"/>
      <c r="O256" s="90"/>
      <c r="P256" s="128" t="s">
        <v>895</v>
      </c>
      <c r="Q256" s="94">
        <v>8500069031</v>
      </c>
      <c r="R256" s="94">
        <v>5000495563</v>
      </c>
      <c r="S256" s="94"/>
      <c r="T256" s="90" t="s">
        <v>2073</v>
      </c>
      <c r="U256" s="90">
        <v>8500069030</v>
      </c>
      <c r="V256" s="90">
        <v>5000355593</v>
      </c>
      <c r="W256" s="109"/>
      <c r="X256" s="106"/>
      <c r="Y256" s="106"/>
      <c r="Z256" s="106"/>
      <c r="AA256" s="106">
        <f t="shared" si="11"/>
        <v>0</v>
      </c>
      <c r="AB256" s="106">
        <f t="shared" si="12"/>
        <v>0</v>
      </c>
      <c r="AC256" s="94" t="s">
        <v>3404</v>
      </c>
      <c r="AD256" s="94" t="s">
        <v>3570</v>
      </c>
      <c r="AE256" s="94"/>
      <c r="AF256" s="94"/>
      <c r="AG256" s="94"/>
      <c r="AH256" s="263"/>
    </row>
    <row r="257" spans="1:34" ht="26.25" customHeight="1">
      <c r="A257" s="90"/>
      <c r="B257" s="121"/>
      <c r="C257" s="192"/>
      <c r="D257" s="192"/>
      <c r="E257" s="94">
        <v>10</v>
      </c>
      <c r="F257" s="74">
        <v>1600</v>
      </c>
      <c r="G257" s="45">
        <f t="shared" si="14"/>
        <v>16000</v>
      </c>
      <c r="H257" s="119" t="s">
        <v>46</v>
      </c>
      <c r="I257" s="128" t="s">
        <v>3428</v>
      </c>
      <c r="J257" s="74">
        <f>850+750</f>
        <v>1600</v>
      </c>
      <c r="K257" s="74">
        <v>16</v>
      </c>
      <c r="L257" s="156">
        <v>45373</v>
      </c>
      <c r="M257" s="90">
        <v>16000</v>
      </c>
      <c r="N257" s="90">
        <v>170</v>
      </c>
      <c r="O257" s="90"/>
      <c r="P257" s="94" t="s">
        <v>1666</v>
      </c>
      <c r="Q257" s="94">
        <v>8500069031</v>
      </c>
      <c r="R257" s="94">
        <v>5000495563</v>
      </c>
      <c r="S257" s="94"/>
      <c r="T257" s="90" t="s">
        <v>87</v>
      </c>
      <c r="U257" s="90">
        <v>8500069030</v>
      </c>
      <c r="V257" s="90">
        <v>5000342993</v>
      </c>
      <c r="W257" s="109" t="s">
        <v>3447</v>
      </c>
      <c r="X257" s="106">
        <f>750+250+600</f>
        <v>1600</v>
      </c>
      <c r="Y257" s="106">
        <f>7500+2500+6000</f>
        <v>16000</v>
      </c>
      <c r="Z257" s="106" t="s">
        <v>3448</v>
      </c>
      <c r="AA257" s="106">
        <f t="shared" si="11"/>
        <v>0</v>
      </c>
      <c r="AB257" s="106">
        <f t="shared" si="12"/>
        <v>0</v>
      </c>
      <c r="AC257" s="94" t="s">
        <v>3410</v>
      </c>
      <c r="AD257" s="94" t="s">
        <v>3427</v>
      </c>
      <c r="AE257" s="94"/>
      <c r="AF257" s="94"/>
      <c r="AG257" s="94"/>
      <c r="AH257" s="263"/>
    </row>
    <row r="258" spans="1:34" ht="27" customHeight="1">
      <c r="A258" s="90"/>
      <c r="B258" s="121"/>
      <c r="C258" s="192"/>
      <c r="D258" s="192"/>
      <c r="E258" s="94">
        <v>10</v>
      </c>
      <c r="F258" s="74">
        <v>1700</v>
      </c>
      <c r="G258" s="45">
        <f t="shared" si="14"/>
        <v>17000</v>
      </c>
      <c r="H258" s="119" t="s">
        <v>37</v>
      </c>
      <c r="I258" s="128">
        <v>45386</v>
      </c>
      <c r="J258" s="74">
        <v>1700</v>
      </c>
      <c r="K258" s="74">
        <v>17</v>
      </c>
      <c r="L258" s="156">
        <v>45373</v>
      </c>
      <c r="M258" s="90">
        <v>17000</v>
      </c>
      <c r="N258" s="90">
        <v>180</v>
      </c>
      <c r="O258" s="90"/>
      <c r="P258" s="94" t="s">
        <v>1558</v>
      </c>
      <c r="Q258" s="94">
        <v>8500069031</v>
      </c>
      <c r="R258" s="94">
        <v>5000402995</v>
      </c>
      <c r="S258" s="94"/>
      <c r="T258" s="90" t="s">
        <v>87</v>
      </c>
      <c r="U258" s="90">
        <v>8500069030</v>
      </c>
      <c r="V258" s="90">
        <v>5000342993</v>
      </c>
      <c r="W258" s="109" t="s">
        <v>3449</v>
      </c>
      <c r="X258" s="106">
        <f>130+1570</f>
        <v>1700</v>
      </c>
      <c r="Y258" s="106">
        <f>1300+15700</f>
        <v>17000</v>
      </c>
      <c r="Z258" s="106" t="s">
        <v>1429</v>
      </c>
      <c r="AA258" s="106">
        <f t="shared" si="11"/>
        <v>0</v>
      </c>
      <c r="AB258" s="106">
        <f t="shared" si="12"/>
        <v>0</v>
      </c>
      <c r="AC258" s="94"/>
      <c r="AD258" s="94"/>
      <c r="AE258" s="94"/>
      <c r="AF258" s="94"/>
      <c r="AG258" s="94"/>
      <c r="AH258" s="263"/>
    </row>
    <row r="259" spans="1:34" ht="26.25" customHeight="1">
      <c r="A259" s="90"/>
      <c r="B259" s="121"/>
      <c r="C259" s="557" t="s">
        <v>3164</v>
      </c>
      <c r="D259" s="558"/>
      <c r="E259" s="94">
        <v>10</v>
      </c>
      <c r="F259" s="74">
        <v>800</v>
      </c>
      <c r="G259" s="45">
        <f t="shared" si="14"/>
        <v>8000</v>
      </c>
      <c r="H259" s="119" t="s">
        <v>146</v>
      </c>
      <c r="I259" s="128">
        <v>45386</v>
      </c>
      <c r="J259" s="74">
        <v>800</v>
      </c>
      <c r="K259" s="74">
        <v>8</v>
      </c>
      <c r="L259" s="156">
        <v>45372</v>
      </c>
      <c r="M259" s="90">
        <v>8000</v>
      </c>
      <c r="N259" s="90">
        <v>90</v>
      </c>
      <c r="O259" s="90"/>
      <c r="P259" s="94" t="s">
        <v>1558</v>
      </c>
      <c r="Q259" s="94">
        <v>8500069031</v>
      </c>
      <c r="R259" s="94">
        <v>5000402995</v>
      </c>
      <c r="S259" s="94"/>
      <c r="T259" s="90" t="s">
        <v>87</v>
      </c>
      <c r="U259" s="90">
        <v>8500069030</v>
      </c>
      <c r="V259" s="90">
        <v>5000338511</v>
      </c>
      <c r="W259" s="109" t="s">
        <v>3515</v>
      </c>
      <c r="X259" s="106">
        <f>575+225</f>
        <v>800</v>
      </c>
      <c r="Y259" s="106">
        <f>5750+2250</f>
        <v>8000</v>
      </c>
      <c r="Z259" s="106" t="s">
        <v>3516</v>
      </c>
      <c r="AA259" s="106">
        <f t="shared" si="11"/>
        <v>0</v>
      </c>
      <c r="AB259" s="106">
        <f t="shared" si="12"/>
        <v>0</v>
      </c>
      <c r="AC259" s="94"/>
      <c r="AD259" s="94"/>
      <c r="AE259" s="94"/>
      <c r="AF259" s="94"/>
      <c r="AG259" s="94"/>
      <c r="AH259" s="263"/>
    </row>
    <row r="260" spans="1:34" ht="26.25" customHeight="1">
      <c r="A260" s="90" t="s">
        <v>1539</v>
      </c>
      <c r="B260" s="121">
        <v>6000027730</v>
      </c>
      <c r="C260" s="2" t="s">
        <v>1541</v>
      </c>
      <c r="D260" s="121">
        <v>6000027730</v>
      </c>
      <c r="E260" s="94">
        <v>10</v>
      </c>
      <c r="F260" s="74">
        <v>420</v>
      </c>
      <c r="G260" s="45">
        <f t="shared" si="14"/>
        <v>4200</v>
      </c>
      <c r="H260" s="119" t="s">
        <v>27</v>
      </c>
      <c r="I260" s="128">
        <v>45372</v>
      </c>
      <c r="J260" s="74">
        <v>420</v>
      </c>
      <c r="K260" s="74">
        <v>4</v>
      </c>
      <c r="L260" s="156">
        <v>45373</v>
      </c>
      <c r="M260" s="90">
        <v>4200</v>
      </c>
      <c r="N260" s="90">
        <v>42</v>
      </c>
      <c r="O260" s="90" t="s">
        <v>735</v>
      </c>
      <c r="P260" s="94" t="s">
        <v>1558</v>
      </c>
      <c r="Q260" s="94">
        <v>8500069024</v>
      </c>
      <c r="R260" s="94">
        <v>5000338024</v>
      </c>
      <c r="S260" s="74">
        <v>420</v>
      </c>
      <c r="T260" s="90" t="s">
        <v>87</v>
      </c>
      <c r="U260" s="90">
        <v>8500069023</v>
      </c>
      <c r="V260" s="90">
        <v>5000337413</v>
      </c>
      <c r="W260" s="109" t="s">
        <v>3349</v>
      </c>
      <c r="X260" s="106">
        <v>420</v>
      </c>
      <c r="Y260" s="106">
        <v>4200</v>
      </c>
      <c r="Z260" s="106" t="s">
        <v>1513</v>
      </c>
      <c r="AA260" s="106">
        <f t="shared" si="11"/>
        <v>0</v>
      </c>
      <c r="AB260" s="106">
        <f t="shared" si="12"/>
        <v>0</v>
      </c>
      <c r="AC260" s="94"/>
      <c r="AD260" s="94"/>
      <c r="AE260" s="94"/>
      <c r="AF260" s="94"/>
      <c r="AG260" s="94"/>
      <c r="AH260" s="263"/>
    </row>
    <row r="261" spans="1:34" ht="26.25" customHeight="1">
      <c r="A261" s="45"/>
      <c r="B261" s="121"/>
      <c r="C261" s="192"/>
      <c r="D261" s="192"/>
      <c r="E261" s="94">
        <v>10</v>
      </c>
      <c r="F261" s="74">
        <v>1560</v>
      </c>
      <c r="G261" s="45">
        <f t="shared" si="14"/>
        <v>15600</v>
      </c>
      <c r="H261" s="119" t="s">
        <v>46</v>
      </c>
      <c r="I261" s="128">
        <v>45372</v>
      </c>
      <c r="J261" s="74">
        <v>1560</v>
      </c>
      <c r="K261" s="74">
        <v>15</v>
      </c>
      <c r="L261" s="156">
        <v>45372</v>
      </c>
      <c r="M261" s="90">
        <v>15600</v>
      </c>
      <c r="N261" s="90">
        <v>156</v>
      </c>
      <c r="O261" s="90"/>
      <c r="P261" s="94" t="s">
        <v>1558</v>
      </c>
      <c r="Q261" s="94">
        <v>8500069024</v>
      </c>
      <c r="R261" s="94">
        <v>5000338024</v>
      </c>
      <c r="S261" s="74">
        <v>1560</v>
      </c>
      <c r="T261" s="90" t="s">
        <v>87</v>
      </c>
      <c r="U261" s="90">
        <v>8500069023</v>
      </c>
      <c r="V261" s="90">
        <v>5000337413</v>
      </c>
      <c r="W261" s="109">
        <v>45402</v>
      </c>
      <c r="X261" s="106">
        <v>1560</v>
      </c>
      <c r="Y261" s="106">
        <v>15600</v>
      </c>
      <c r="Z261" s="106" t="s">
        <v>267</v>
      </c>
      <c r="AA261" s="106">
        <f t="shared" si="11"/>
        <v>0</v>
      </c>
      <c r="AB261" s="106">
        <f t="shared" si="12"/>
        <v>0</v>
      </c>
      <c r="AC261" s="94"/>
      <c r="AD261" s="94"/>
      <c r="AE261" s="94"/>
      <c r="AF261" s="94"/>
      <c r="AG261" s="94"/>
      <c r="AH261" s="263"/>
    </row>
    <row r="262" spans="1:34" ht="26.25" customHeight="1">
      <c r="A262" s="45"/>
      <c r="B262" s="121"/>
      <c r="C262" s="192"/>
      <c r="D262" s="192"/>
      <c r="E262" s="94">
        <v>10</v>
      </c>
      <c r="F262" s="74">
        <v>1430</v>
      </c>
      <c r="G262" s="45">
        <f t="shared" si="14"/>
        <v>14300</v>
      </c>
      <c r="H262" s="119" t="s">
        <v>37</v>
      </c>
      <c r="I262" s="128">
        <v>45372</v>
      </c>
      <c r="J262" s="74">
        <v>1430</v>
      </c>
      <c r="K262" s="74">
        <v>14</v>
      </c>
      <c r="L262" s="156">
        <v>45378</v>
      </c>
      <c r="M262" s="90">
        <v>14300</v>
      </c>
      <c r="N262" s="90">
        <v>143</v>
      </c>
      <c r="O262" s="90"/>
      <c r="P262" s="94" t="s">
        <v>1558</v>
      </c>
      <c r="Q262" s="94">
        <v>8500069024</v>
      </c>
      <c r="R262" s="94">
        <v>5000338024</v>
      </c>
      <c r="S262" s="74">
        <v>1430</v>
      </c>
      <c r="T262" s="90" t="s">
        <v>87</v>
      </c>
      <c r="U262" s="90">
        <v>8500069023</v>
      </c>
      <c r="V262" s="90">
        <v>5000366502</v>
      </c>
      <c r="W262" s="109" t="s">
        <v>3339</v>
      </c>
      <c r="X262" s="106">
        <f>1290+140</f>
        <v>1430</v>
      </c>
      <c r="Y262" s="106">
        <f>12900+1400</f>
        <v>14300</v>
      </c>
      <c r="Z262" s="106" t="s">
        <v>1654</v>
      </c>
      <c r="AA262" s="106">
        <f t="shared" si="11"/>
        <v>0</v>
      </c>
      <c r="AB262" s="106">
        <f t="shared" si="12"/>
        <v>0</v>
      </c>
      <c r="AC262" s="94"/>
      <c r="AD262" s="94"/>
      <c r="AE262" s="94"/>
      <c r="AF262" s="94"/>
      <c r="AG262" s="94"/>
      <c r="AH262" s="263"/>
    </row>
    <row r="263" spans="1:34" ht="26.25" customHeight="1">
      <c r="A263" s="45"/>
      <c r="B263" s="121"/>
      <c r="C263" s="192"/>
      <c r="D263" s="192"/>
      <c r="E263" s="94">
        <v>10</v>
      </c>
      <c r="F263" s="74">
        <v>1090</v>
      </c>
      <c r="G263" s="45">
        <f t="shared" si="14"/>
        <v>10900</v>
      </c>
      <c r="H263" s="119" t="s">
        <v>146</v>
      </c>
      <c r="I263" s="128">
        <v>45372</v>
      </c>
      <c r="J263" s="74">
        <v>1090</v>
      </c>
      <c r="K263" s="74">
        <v>10</v>
      </c>
      <c r="L263" s="156">
        <v>45373</v>
      </c>
      <c r="M263" s="90">
        <v>10900</v>
      </c>
      <c r="N263" s="90">
        <v>109</v>
      </c>
      <c r="O263" s="90"/>
      <c r="P263" s="94" t="s">
        <v>1558</v>
      </c>
      <c r="Q263" s="94">
        <v>8500069024</v>
      </c>
      <c r="R263" s="94">
        <v>5000338024</v>
      </c>
      <c r="S263" s="74">
        <v>1090</v>
      </c>
      <c r="T263" s="90" t="s">
        <v>87</v>
      </c>
      <c r="U263" s="90">
        <v>8500069023</v>
      </c>
      <c r="V263" s="90">
        <v>5000337413</v>
      </c>
      <c r="W263" s="109">
        <v>45373</v>
      </c>
      <c r="X263" s="106">
        <v>1090</v>
      </c>
      <c r="Y263" s="106">
        <v>10900</v>
      </c>
      <c r="Z263" s="106" t="s">
        <v>798</v>
      </c>
      <c r="AA263" s="106">
        <f t="shared" si="11"/>
        <v>0</v>
      </c>
      <c r="AB263" s="106">
        <f t="shared" si="12"/>
        <v>0</v>
      </c>
      <c r="AC263" s="94"/>
      <c r="AD263" s="94"/>
      <c r="AE263" s="94"/>
      <c r="AF263" s="94"/>
      <c r="AG263" s="94"/>
      <c r="AH263" s="263"/>
    </row>
    <row r="264" spans="1:34" ht="26.25" customHeight="1">
      <c r="A264" s="90" t="s">
        <v>707</v>
      </c>
      <c r="B264" s="121">
        <v>2000001315</v>
      </c>
      <c r="C264" s="2" t="s">
        <v>704</v>
      </c>
      <c r="D264" s="121">
        <v>2000001315</v>
      </c>
      <c r="E264" s="94">
        <v>10</v>
      </c>
      <c r="F264" s="74">
        <v>100</v>
      </c>
      <c r="G264" s="45">
        <f t="shared" si="14"/>
        <v>1000</v>
      </c>
      <c r="H264" s="119" t="s">
        <v>27</v>
      </c>
      <c r="I264" s="128">
        <v>45372</v>
      </c>
      <c r="J264" s="74">
        <v>100</v>
      </c>
      <c r="K264" s="74">
        <f>3+1</f>
        <v>4</v>
      </c>
      <c r="L264" s="156">
        <v>45374</v>
      </c>
      <c r="M264" s="90">
        <v>1000</v>
      </c>
      <c r="N264" s="90">
        <v>5</v>
      </c>
      <c r="O264" s="90"/>
      <c r="P264" s="94" t="s">
        <v>160</v>
      </c>
      <c r="Q264" s="94">
        <v>8500069510</v>
      </c>
      <c r="R264" s="94">
        <v>5000341389</v>
      </c>
      <c r="S264" s="74">
        <v>100</v>
      </c>
      <c r="T264" s="90" t="s">
        <v>152</v>
      </c>
      <c r="U264" s="90">
        <v>8500069509</v>
      </c>
      <c r="V264" s="90">
        <v>5000355254</v>
      </c>
      <c r="W264" s="109">
        <v>45405</v>
      </c>
      <c r="X264" s="106">
        <v>100</v>
      </c>
      <c r="Y264" s="106">
        <v>1000</v>
      </c>
      <c r="Z264" s="106" t="s">
        <v>816</v>
      </c>
      <c r="AA264" s="106">
        <f t="shared" si="11"/>
        <v>0</v>
      </c>
      <c r="AB264" s="106">
        <f t="shared" si="12"/>
        <v>0</v>
      </c>
      <c r="AC264" s="94"/>
      <c r="AD264" s="94"/>
      <c r="AE264" s="94"/>
      <c r="AF264" s="94"/>
      <c r="AG264" s="94"/>
      <c r="AH264" s="263"/>
    </row>
    <row r="265" spans="1:34" ht="26.25" customHeight="1">
      <c r="A265" s="45"/>
      <c r="B265" s="121"/>
      <c r="C265" s="192"/>
      <c r="D265" s="547" t="s">
        <v>3177</v>
      </c>
      <c r="E265" s="94">
        <v>10</v>
      </c>
      <c r="F265" s="74">
        <v>100</v>
      </c>
      <c r="G265" s="45">
        <f t="shared" si="14"/>
        <v>1000</v>
      </c>
      <c r="H265" s="119" t="s">
        <v>46</v>
      </c>
      <c r="I265" s="128">
        <v>45384</v>
      </c>
      <c r="J265" s="74">
        <v>100</v>
      </c>
      <c r="K265" s="74">
        <f>3+4</f>
        <v>7</v>
      </c>
      <c r="L265" s="156">
        <v>45384</v>
      </c>
      <c r="M265" s="90">
        <v>1000</v>
      </c>
      <c r="N265" s="90">
        <v>5</v>
      </c>
      <c r="O265" s="90" t="s">
        <v>3242</v>
      </c>
      <c r="P265" s="94" t="s">
        <v>160</v>
      </c>
      <c r="Q265" s="94">
        <v>8500069510</v>
      </c>
      <c r="R265" s="94">
        <v>5000393478</v>
      </c>
      <c r="S265" s="74">
        <v>100</v>
      </c>
      <c r="T265" s="90" t="s">
        <v>152</v>
      </c>
      <c r="U265" s="90">
        <v>8500069509</v>
      </c>
      <c r="V265" s="90">
        <v>5000393587</v>
      </c>
      <c r="W265" s="109">
        <v>45416</v>
      </c>
      <c r="X265" s="106">
        <v>100</v>
      </c>
      <c r="Y265" s="106">
        <v>1000</v>
      </c>
      <c r="Z265" s="106" t="s">
        <v>800</v>
      </c>
      <c r="AA265" s="106">
        <f t="shared" ref="AA265:AA273" si="15">J265-X265</f>
        <v>0</v>
      </c>
      <c r="AB265" s="106">
        <f t="shared" ref="AB265:AB273" si="16">M265-Y265</f>
        <v>0</v>
      </c>
      <c r="AC265" s="94"/>
      <c r="AD265" s="94"/>
      <c r="AE265" s="94"/>
      <c r="AF265" s="94"/>
      <c r="AG265" s="94"/>
      <c r="AH265" s="263"/>
    </row>
    <row r="266" spans="1:34" ht="26.25" customHeight="1">
      <c r="A266" s="45"/>
      <c r="B266" s="121"/>
      <c r="C266" s="192"/>
      <c r="D266" s="548"/>
      <c r="E266" s="94">
        <v>10</v>
      </c>
      <c r="F266" s="74">
        <v>1100</v>
      </c>
      <c r="G266" s="45">
        <f t="shared" si="14"/>
        <v>11000</v>
      </c>
      <c r="H266" s="119" t="s">
        <v>37</v>
      </c>
      <c r="I266" s="128">
        <v>45372</v>
      </c>
      <c r="J266" s="74">
        <v>1100</v>
      </c>
      <c r="K266" s="74">
        <f>7+18</f>
        <v>25</v>
      </c>
      <c r="L266" s="156">
        <v>45384</v>
      </c>
      <c r="M266" s="90">
        <v>11000</v>
      </c>
      <c r="N266" s="90">
        <f>55+100</f>
        <v>155</v>
      </c>
      <c r="O266" s="90"/>
      <c r="P266" s="94" t="s">
        <v>160</v>
      </c>
      <c r="Q266" s="94">
        <v>8500069510</v>
      </c>
      <c r="R266" s="94">
        <v>5000341389</v>
      </c>
      <c r="S266" s="74">
        <v>1100</v>
      </c>
      <c r="T266" s="90" t="s">
        <v>152</v>
      </c>
      <c r="U266" s="90">
        <v>8500069509</v>
      </c>
      <c r="V266" s="90">
        <v>5000393587</v>
      </c>
      <c r="W266" s="109">
        <v>45404</v>
      </c>
      <c r="X266" s="106">
        <v>1100</v>
      </c>
      <c r="Y266" s="106">
        <v>11000</v>
      </c>
      <c r="Z266" s="106" t="s">
        <v>1841</v>
      </c>
      <c r="AA266" s="106">
        <f t="shared" si="15"/>
        <v>0</v>
      </c>
      <c r="AB266" s="106">
        <f t="shared" si="16"/>
        <v>0</v>
      </c>
      <c r="AC266" s="94"/>
      <c r="AD266" s="94"/>
      <c r="AE266" s="94"/>
      <c r="AF266" s="94"/>
      <c r="AG266" s="94"/>
      <c r="AH266" s="263"/>
    </row>
    <row r="267" spans="1:34" ht="26.25" customHeight="1">
      <c r="A267" s="90" t="s">
        <v>1670</v>
      </c>
      <c r="B267" s="121">
        <v>6000029861</v>
      </c>
      <c r="C267" s="2" t="s">
        <v>1672</v>
      </c>
      <c r="D267" s="121">
        <v>1071998</v>
      </c>
      <c r="E267" s="94">
        <v>10</v>
      </c>
      <c r="F267" s="74">
        <v>300</v>
      </c>
      <c r="G267" s="45">
        <f t="shared" si="14"/>
        <v>3000</v>
      </c>
      <c r="H267" s="119" t="s">
        <v>27</v>
      </c>
      <c r="I267" s="128">
        <v>45378</v>
      </c>
      <c r="J267" s="74">
        <v>300</v>
      </c>
      <c r="K267" s="74">
        <v>3</v>
      </c>
      <c r="L267" s="156">
        <v>45380</v>
      </c>
      <c r="M267" s="90">
        <v>3000</v>
      </c>
      <c r="N267" s="90">
        <v>30</v>
      </c>
      <c r="O267" s="90" t="s">
        <v>891</v>
      </c>
      <c r="P267" s="94" t="s">
        <v>28</v>
      </c>
      <c r="Q267" s="94">
        <v>8500069842</v>
      </c>
      <c r="R267" s="94">
        <v>5000369273</v>
      </c>
      <c r="S267" s="94"/>
      <c r="T267" s="90" t="s">
        <v>1557</v>
      </c>
      <c r="U267" s="90">
        <v>8500069841</v>
      </c>
      <c r="V267" s="90">
        <v>5000374398</v>
      </c>
      <c r="W267" s="109">
        <v>45388</v>
      </c>
      <c r="X267" s="106">
        <v>300</v>
      </c>
      <c r="Y267" s="106">
        <v>3000</v>
      </c>
      <c r="Z267" s="106" t="s">
        <v>3274</v>
      </c>
      <c r="AA267" s="106">
        <f t="shared" si="15"/>
        <v>0</v>
      </c>
      <c r="AB267" s="106">
        <f t="shared" si="16"/>
        <v>0</v>
      </c>
      <c r="AC267" s="94"/>
      <c r="AD267" s="94"/>
      <c r="AE267" s="94"/>
      <c r="AF267" s="94"/>
      <c r="AG267" s="94"/>
      <c r="AH267" s="263"/>
    </row>
    <row r="268" spans="1:34" ht="26.25" customHeight="1">
      <c r="A268" s="90" t="s">
        <v>1670</v>
      </c>
      <c r="B268" s="121">
        <v>6000029861</v>
      </c>
      <c r="C268" s="2" t="s">
        <v>3194</v>
      </c>
      <c r="D268" s="121" t="s">
        <v>3211</v>
      </c>
      <c r="E268" s="94">
        <v>10</v>
      </c>
      <c r="F268" s="218">
        <v>100</v>
      </c>
      <c r="G268" s="219">
        <f t="shared" si="14"/>
        <v>1000</v>
      </c>
      <c r="H268" s="227" t="s">
        <v>365</v>
      </c>
      <c r="I268" s="128">
        <v>45419</v>
      </c>
      <c r="J268" s="74">
        <v>35</v>
      </c>
      <c r="K268" s="74"/>
      <c r="L268" s="156">
        <v>45419</v>
      </c>
      <c r="M268" s="90">
        <v>350</v>
      </c>
      <c r="N268" s="90"/>
      <c r="O268" s="90"/>
      <c r="P268" s="94" t="s">
        <v>1643</v>
      </c>
      <c r="Q268" s="94">
        <v>8500069844</v>
      </c>
      <c r="R268" s="94">
        <v>5000370593</v>
      </c>
      <c r="S268" s="94"/>
      <c r="T268" s="90" t="s">
        <v>1666</v>
      </c>
      <c r="U268" s="90">
        <v>8500069911</v>
      </c>
      <c r="V268" s="90">
        <v>5000379251</v>
      </c>
      <c r="W268" s="109">
        <v>45420</v>
      </c>
      <c r="X268" s="106">
        <v>35</v>
      </c>
      <c r="Y268" s="106">
        <v>350</v>
      </c>
      <c r="Z268" s="106" t="s">
        <v>800</v>
      </c>
      <c r="AA268" s="106">
        <f t="shared" si="15"/>
        <v>0</v>
      </c>
      <c r="AB268" s="106">
        <f t="shared" si="16"/>
        <v>0</v>
      </c>
      <c r="AC268" s="94"/>
      <c r="AD268" s="94"/>
      <c r="AE268" s="94"/>
      <c r="AF268" s="94"/>
      <c r="AG268" s="94"/>
      <c r="AH268" s="263"/>
    </row>
    <row r="269" spans="1:34" ht="26.25" customHeight="1">
      <c r="A269" s="90" t="s">
        <v>1670</v>
      </c>
      <c r="B269" s="121">
        <v>6000029861</v>
      </c>
      <c r="C269" s="2" t="s">
        <v>1671</v>
      </c>
      <c r="D269" s="121"/>
      <c r="E269" s="94">
        <v>10</v>
      </c>
      <c r="F269" s="74">
        <v>50</v>
      </c>
      <c r="G269" s="45">
        <f t="shared" si="14"/>
        <v>500</v>
      </c>
      <c r="H269" s="119" t="s">
        <v>27</v>
      </c>
      <c r="I269" s="128">
        <v>45378</v>
      </c>
      <c r="J269" s="74">
        <v>50</v>
      </c>
      <c r="K269" s="74">
        <f>1+2</f>
        <v>3</v>
      </c>
      <c r="L269" s="156">
        <v>45380</v>
      </c>
      <c r="M269" s="90">
        <v>500</v>
      </c>
      <c r="N269" s="90">
        <v>5</v>
      </c>
      <c r="O269" s="90" t="s">
        <v>1548</v>
      </c>
      <c r="P269" s="94" t="s">
        <v>28</v>
      </c>
      <c r="Q269" s="94">
        <v>8500069846</v>
      </c>
      <c r="R269" s="94">
        <v>5000369272</v>
      </c>
      <c r="S269" s="94"/>
      <c r="T269" s="90" t="s">
        <v>1557</v>
      </c>
      <c r="U269" s="90">
        <v>8500069845</v>
      </c>
      <c r="V269" s="90">
        <v>5000374405</v>
      </c>
      <c r="W269" s="109">
        <v>45419</v>
      </c>
      <c r="X269" s="106">
        <v>50</v>
      </c>
      <c r="Y269" s="106">
        <v>500</v>
      </c>
      <c r="Z269" s="106" t="s">
        <v>800</v>
      </c>
      <c r="AA269" s="106">
        <f t="shared" si="15"/>
        <v>0</v>
      </c>
      <c r="AB269" s="106">
        <f t="shared" si="16"/>
        <v>0</v>
      </c>
      <c r="AC269" s="94"/>
      <c r="AD269" s="94"/>
      <c r="AE269" s="94"/>
      <c r="AF269" s="94"/>
      <c r="AG269" s="94"/>
      <c r="AH269" s="263"/>
    </row>
    <row r="270" spans="1:34" ht="26.25" customHeight="1">
      <c r="A270" s="90"/>
      <c r="B270" s="121"/>
      <c r="C270" s="2"/>
      <c r="D270" s="121"/>
      <c r="E270" s="94">
        <v>10</v>
      </c>
      <c r="F270" s="74">
        <v>700</v>
      </c>
      <c r="G270" s="45">
        <f t="shared" si="14"/>
        <v>7000</v>
      </c>
      <c r="H270" s="119" t="s">
        <v>46</v>
      </c>
      <c r="I270" s="128">
        <v>45378</v>
      </c>
      <c r="J270" s="74">
        <v>700</v>
      </c>
      <c r="K270" s="74">
        <v>7</v>
      </c>
      <c r="L270" s="156">
        <v>45380</v>
      </c>
      <c r="M270" s="90">
        <v>7000</v>
      </c>
      <c r="N270" s="90">
        <v>70</v>
      </c>
      <c r="O270" s="90" t="s">
        <v>1614</v>
      </c>
      <c r="P270" s="94" t="s">
        <v>28</v>
      </c>
      <c r="Q270" s="94">
        <v>8500069846</v>
      </c>
      <c r="R270" s="94">
        <v>5000369272</v>
      </c>
      <c r="S270" s="74">
        <v>700</v>
      </c>
      <c r="T270" s="90" t="s">
        <v>1557</v>
      </c>
      <c r="U270" s="90">
        <v>8500069845</v>
      </c>
      <c r="V270" s="90">
        <v>5000374405</v>
      </c>
      <c r="W270" s="109">
        <v>45409</v>
      </c>
      <c r="X270" s="106">
        <v>700</v>
      </c>
      <c r="Y270" s="106">
        <v>7000</v>
      </c>
      <c r="Z270" s="106" t="s">
        <v>758</v>
      </c>
      <c r="AA270" s="106">
        <f t="shared" si="15"/>
        <v>0</v>
      </c>
      <c r="AB270" s="106">
        <f t="shared" si="16"/>
        <v>0</v>
      </c>
      <c r="AC270" s="94"/>
      <c r="AD270" s="94"/>
      <c r="AE270" s="94"/>
      <c r="AF270" s="94"/>
      <c r="AG270" s="94"/>
      <c r="AH270" s="263"/>
    </row>
    <row r="271" spans="1:34" ht="26.25" customHeight="1">
      <c r="A271" s="90"/>
      <c r="B271" s="121"/>
      <c r="C271" s="2"/>
      <c r="D271" s="121"/>
      <c r="E271" s="94">
        <v>10</v>
      </c>
      <c r="F271" s="74">
        <v>950</v>
      </c>
      <c r="G271" s="45">
        <f t="shared" si="14"/>
        <v>9500</v>
      </c>
      <c r="H271" s="119" t="s">
        <v>37</v>
      </c>
      <c r="I271" s="128">
        <v>45378</v>
      </c>
      <c r="J271" s="74">
        <v>950</v>
      </c>
      <c r="K271" s="74">
        <v>10</v>
      </c>
      <c r="L271" s="156">
        <v>45380</v>
      </c>
      <c r="M271" s="90">
        <v>9500</v>
      </c>
      <c r="N271" s="90">
        <v>95</v>
      </c>
      <c r="O271" s="90" t="s">
        <v>1389</v>
      </c>
      <c r="P271" s="94" t="s">
        <v>28</v>
      </c>
      <c r="Q271" s="94">
        <v>8500069846</v>
      </c>
      <c r="R271" s="94">
        <v>5000369272</v>
      </c>
      <c r="S271" s="74">
        <v>950</v>
      </c>
      <c r="T271" s="90" t="s">
        <v>1557</v>
      </c>
      <c r="U271" s="90">
        <v>8500069845</v>
      </c>
      <c r="V271" s="90">
        <v>5000374405</v>
      </c>
      <c r="W271" s="109">
        <v>45409</v>
      </c>
      <c r="X271" s="106">
        <v>950</v>
      </c>
      <c r="Y271" s="106">
        <v>9500</v>
      </c>
      <c r="Z271" s="106" t="s">
        <v>755</v>
      </c>
      <c r="AA271" s="106">
        <f t="shared" si="15"/>
        <v>0</v>
      </c>
      <c r="AB271" s="106">
        <f t="shared" si="16"/>
        <v>0</v>
      </c>
      <c r="AC271" s="94"/>
      <c r="AD271" s="94"/>
      <c r="AE271" s="94"/>
      <c r="AF271" s="94"/>
      <c r="AG271" s="94"/>
      <c r="AH271" s="263"/>
    </row>
    <row r="272" spans="1:34" ht="26.25" customHeight="1">
      <c r="A272" s="90"/>
      <c r="B272" s="121"/>
      <c r="C272" s="2"/>
      <c r="D272" s="251" t="s">
        <v>3195</v>
      </c>
      <c r="E272" s="94">
        <v>10</v>
      </c>
      <c r="F272" s="74">
        <v>800</v>
      </c>
      <c r="G272" s="45">
        <f t="shared" si="14"/>
        <v>8000</v>
      </c>
      <c r="H272" s="119" t="s">
        <v>146</v>
      </c>
      <c r="I272" s="128">
        <v>45419</v>
      </c>
      <c r="J272" s="158">
        <v>300</v>
      </c>
      <c r="K272" s="74">
        <v>7</v>
      </c>
      <c r="L272" s="156">
        <v>45419</v>
      </c>
      <c r="M272" s="90">
        <v>3000</v>
      </c>
      <c r="N272" s="90">
        <v>74</v>
      </c>
      <c r="O272" s="90"/>
      <c r="P272" s="94" t="s">
        <v>1765</v>
      </c>
      <c r="Q272" s="94">
        <v>8500069846</v>
      </c>
      <c r="R272" s="94">
        <v>5000370594</v>
      </c>
      <c r="S272" s="94"/>
      <c r="T272" s="90" t="s">
        <v>1666</v>
      </c>
      <c r="U272" s="90">
        <v>8500069845</v>
      </c>
      <c r="V272" s="90">
        <v>5000379250</v>
      </c>
      <c r="W272" s="109">
        <v>45420</v>
      </c>
      <c r="X272" s="106">
        <v>300</v>
      </c>
      <c r="Y272" s="106">
        <v>3000</v>
      </c>
      <c r="Z272" s="106" t="s">
        <v>759</v>
      </c>
      <c r="AA272" s="106">
        <f t="shared" si="15"/>
        <v>0</v>
      </c>
      <c r="AB272" s="106">
        <f t="shared" si="16"/>
        <v>0</v>
      </c>
      <c r="AC272" s="94"/>
      <c r="AD272" s="94"/>
      <c r="AE272" s="94"/>
      <c r="AF272" s="94"/>
      <c r="AG272" s="94"/>
      <c r="AH272" s="263"/>
    </row>
    <row r="273" spans="1:34" ht="26.25" customHeight="1">
      <c r="A273" s="90" t="s">
        <v>1670</v>
      </c>
      <c r="B273" s="121">
        <v>6000029861</v>
      </c>
      <c r="C273" s="2" t="s">
        <v>1674</v>
      </c>
      <c r="D273" s="121"/>
      <c r="E273" s="94">
        <v>10</v>
      </c>
      <c r="F273" s="74">
        <v>100</v>
      </c>
      <c r="G273" s="45">
        <f t="shared" si="14"/>
        <v>1000</v>
      </c>
      <c r="H273" s="119" t="s">
        <v>46</v>
      </c>
      <c r="I273" s="128">
        <v>45378</v>
      </c>
      <c r="J273" s="74">
        <v>100</v>
      </c>
      <c r="K273" s="74">
        <f>1+1</f>
        <v>2</v>
      </c>
      <c r="L273" s="156">
        <v>45380</v>
      </c>
      <c r="M273" s="90">
        <v>1000</v>
      </c>
      <c r="N273" s="90">
        <v>10</v>
      </c>
      <c r="O273" s="90" t="s">
        <v>1890</v>
      </c>
      <c r="P273" s="94" t="s">
        <v>28</v>
      </c>
      <c r="Q273" s="94">
        <v>8500069848</v>
      </c>
      <c r="R273" s="94">
        <v>5000369227</v>
      </c>
      <c r="S273" s="94"/>
      <c r="T273" s="90" t="s">
        <v>1557</v>
      </c>
      <c r="U273" s="90">
        <v>8500069847</v>
      </c>
      <c r="V273" s="90">
        <v>5000374424</v>
      </c>
      <c r="W273" s="109">
        <v>45386</v>
      </c>
      <c r="X273" s="106">
        <v>100</v>
      </c>
      <c r="Y273" s="106">
        <v>1000</v>
      </c>
      <c r="Z273" s="106" t="s">
        <v>1460</v>
      </c>
      <c r="AA273" s="106">
        <f t="shared" si="15"/>
        <v>0</v>
      </c>
      <c r="AB273" s="106">
        <f t="shared" si="16"/>
        <v>0</v>
      </c>
      <c r="AC273" s="94"/>
      <c r="AD273" s="94"/>
      <c r="AE273" s="94"/>
      <c r="AF273" s="94"/>
      <c r="AG273" s="94"/>
      <c r="AH273" s="263"/>
    </row>
    <row r="274" spans="1:34" ht="26.25" customHeight="1">
      <c r="A274" s="90"/>
      <c r="B274" s="121"/>
      <c r="C274" s="2"/>
      <c r="D274" s="121"/>
      <c r="E274" s="253">
        <v>10</v>
      </c>
      <c r="F274" s="218">
        <v>100</v>
      </c>
      <c r="G274" s="219">
        <f t="shared" si="14"/>
        <v>1000</v>
      </c>
      <c r="H274" s="227" t="s">
        <v>37</v>
      </c>
      <c r="I274" s="128" t="s">
        <v>895</v>
      </c>
      <c r="J274" s="74"/>
      <c r="K274" s="74"/>
      <c r="L274" s="156" t="s">
        <v>2073</v>
      </c>
      <c r="M274" s="90"/>
      <c r="N274" s="90">
        <v>7</v>
      </c>
      <c r="O274" s="90"/>
      <c r="P274" s="94" t="s">
        <v>895</v>
      </c>
      <c r="Q274" s="94">
        <v>8500069848</v>
      </c>
      <c r="R274" s="94">
        <v>5000370592</v>
      </c>
      <c r="S274" s="94"/>
      <c r="T274" s="90" t="s">
        <v>2073</v>
      </c>
      <c r="U274" s="90">
        <v>8500069847</v>
      </c>
      <c r="V274" s="90">
        <v>5000379178</v>
      </c>
      <c r="W274" s="109"/>
      <c r="X274" s="106"/>
      <c r="Y274" s="106"/>
      <c r="Z274" s="106"/>
      <c r="AA274" s="106">
        <f t="shared" ref="AA274:AA334" si="17">J274-X274</f>
        <v>0</v>
      </c>
      <c r="AB274" s="106">
        <f t="shared" ref="AB274:AB334" si="18">M274-Y274</f>
        <v>0</v>
      </c>
      <c r="AC274" s="94"/>
      <c r="AD274" s="94"/>
      <c r="AE274" s="94"/>
      <c r="AF274" s="94"/>
      <c r="AG274" s="94"/>
      <c r="AH274" s="263"/>
    </row>
    <row r="275" spans="1:34" ht="26.25" customHeight="1">
      <c r="A275" s="90" t="s">
        <v>1670</v>
      </c>
      <c r="B275" s="121">
        <v>6000029862</v>
      </c>
      <c r="C275" s="2" t="s">
        <v>1672</v>
      </c>
      <c r="D275" s="121">
        <v>1071276</v>
      </c>
      <c r="E275" s="94">
        <v>10</v>
      </c>
      <c r="F275" s="74">
        <v>100</v>
      </c>
      <c r="G275" s="45">
        <f t="shared" si="14"/>
        <v>1000</v>
      </c>
      <c r="H275" s="119" t="s">
        <v>46</v>
      </c>
      <c r="I275" s="128">
        <v>45378</v>
      </c>
      <c r="J275" s="74">
        <v>100</v>
      </c>
      <c r="K275" s="74">
        <v>1</v>
      </c>
      <c r="L275" s="156">
        <v>45380</v>
      </c>
      <c r="M275" s="90">
        <v>1000</v>
      </c>
      <c r="N275" s="90">
        <v>10</v>
      </c>
      <c r="O275" s="90" t="s">
        <v>1387</v>
      </c>
      <c r="P275" s="94" t="s">
        <v>28</v>
      </c>
      <c r="Q275" s="94">
        <v>8500069852</v>
      </c>
      <c r="R275" s="94">
        <v>5000369270</v>
      </c>
      <c r="S275" s="74">
        <v>100</v>
      </c>
      <c r="T275" s="90" t="s">
        <v>1557</v>
      </c>
      <c r="U275" s="90">
        <v>8500069851</v>
      </c>
      <c r="V275" s="90">
        <v>5000374441</v>
      </c>
      <c r="W275" s="109">
        <v>45395</v>
      </c>
      <c r="X275" s="106">
        <v>100</v>
      </c>
      <c r="Y275" s="106">
        <v>1000</v>
      </c>
      <c r="Z275" s="106" t="s">
        <v>267</v>
      </c>
      <c r="AA275" s="106">
        <f t="shared" si="17"/>
        <v>0</v>
      </c>
      <c r="AB275" s="106">
        <f t="shared" si="18"/>
        <v>0</v>
      </c>
      <c r="AC275" s="94"/>
      <c r="AD275" s="94"/>
      <c r="AE275" s="94"/>
      <c r="AF275" s="94"/>
      <c r="AG275" s="94"/>
      <c r="AH275" s="263"/>
    </row>
    <row r="276" spans="1:34" ht="26.25" customHeight="1">
      <c r="A276" s="90"/>
      <c r="B276" s="121"/>
      <c r="C276" s="2"/>
      <c r="D276" s="121"/>
      <c r="E276" s="94">
        <v>10</v>
      </c>
      <c r="F276" s="74">
        <v>800</v>
      </c>
      <c r="G276" s="45">
        <f t="shared" si="14"/>
        <v>8000</v>
      </c>
      <c r="H276" s="119" t="s">
        <v>37</v>
      </c>
      <c r="I276" s="128">
        <v>45378</v>
      </c>
      <c r="J276" s="74">
        <v>800</v>
      </c>
      <c r="K276" s="74">
        <f>8+2</f>
        <v>10</v>
      </c>
      <c r="L276" s="156">
        <v>45380</v>
      </c>
      <c r="M276" s="90">
        <v>8000</v>
      </c>
      <c r="N276" s="90">
        <v>80</v>
      </c>
      <c r="O276" s="90" t="s">
        <v>1593</v>
      </c>
      <c r="P276" s="94" t="s">
        <v>28</v>
      </c>
      <c r="Q276" s="94">
        <v>8500069852</v>
      </c>
      <c r="R276" s="94">
        <v>5000365907</v>
      </c>
      <c r="S276" s="74">
        <v>800</v>
      </c>
      <c r="T276" s="90" t="s">
        <v>1557</v>
      </c>
      <c r="U276" s="90">
        <v>8500069851</v>
      </c>
      <c r="V276" s="90">
        <v>5000374441</v>
      </c>
      <c r="W276" s="109">
        <v>45418</v>
      </c>
      <c r="X276" s="106">
        <v>800</v>
      </c>
      <c r="Y276" s="106">
        <v>8000</v>
      </c>
      <c r="Z276" s="106" t="s">
        <v>755</v>
      </c>
      <c r="AA276" s="106">
        <f t="shared" si="17"/>
        <v>0</v>
      </c>
      <c r="AB276" s="106">
        <f t="shared" si="18"/>
        <v>0</v>
      </c>
      <c r="AC276" s="94"/>
      <c r="AD276" s="94"/>
      <c r="AE276" s="94"/>
      <c r="AF276" s="94"/>
      <c r="AG276" s="94"/>
      <c r="AH276" s="263"/>
    </row>
    <row r="277" spans="1:34" ht="26.25" customHeight="1">
      <c r="A277" s="90"/>
      <c r="B277" s="121"/>
      <c r="C277" s="2"/>
      <c r="D277" s="121"/>
      <c r="E277" s="94">
        <v>10</v>
      </c>
      <c r="F277" s="74">
        <v>500</v>
      </c>
      <c r="G277" s="45">
        <f t="shared" si="14"/>
        <v>5000</v>
      </c>
      <c r="H277" s="119" t="s">
        <v>146</v>
      </c>
      <c r="I277" s="128">
        <v>45378</v>
      </c>
      <c r="J277" s="74">
        <v>500</v>
      </c>
      <c r="K277" s="74">
        <f>5+2</f>
        <v>7</v>
      </c>
      <c r="L277" s="156">
        <v>45380</v>
      </c>
      <c r="M277" s="90">
        <v>5000</v>
      </c>
      <c r="N277" s="90">
        <v>50</v>
      </c>
      <c r="O277" s="90" t="s">
        <v>2447</v>
      </c>
      <c r="P277" s="94" t="s">
        <v>28</v>
      </c>
      <c r="Q277" s="94">
        <v>8500069852</v>
      </c>
      <c r="R277" s="94">
        <v>5000369270</v>
      </c>
      <c r="S277" s="74">
        <v>500</v>
      </c>
      <c r="T277" s="90" t="s">
        <v>1557</v>
      </c>
      <c r="U277" s="90">
        <v>8500069851</v>
      </c>
      <c r="V277" s="90">
        <v>5000374441</v>
      </c>
      <c r="W277" s="109">
        <v>45416</v>
      </c>
      <c r="X277" s="106">
        <v>500</v>
      </c>
      <c r="Y277" s="106">
        <v>5000</v>
      </c>
      <c r="Z277" s="106" t="s">
        <v>759</v>
      </c>
      <c r="AA277" s="106">
        <f t="shared" si="17"/>
        <v>0</v>
      </c>
      <c r="AB277" s="106">
        <f t="shared" si="18"/>
        <v>0</v>
      </c>
      <c r="AC277" s="94"/>
      <c r="AD277" s="94"/>
      <c r="AE277" s="94"/>
      <c r="AF277" s="94"/>
      <c r="AG277" s="94"/>
      <c r="AH277" s="263"/>
    </row>
    <row r="278" spans="1:34" ht="26.25" customHeight="1">
      <c r="A278" s="90" t="s">
        <v>1670</v>
      </c>
      <c r="B278" s="121">
        <v>6000029862</v>
      </c>
      <c r="C278" s="2" t="s">
        <v>1671</v>
      </c>
      <c r="D278" s="121"/>
      <c r="E278" s="94">
        <v>10</v>
      </c>
      <c r="F278" s="74">
        <v>1000</v>
      </c>
      <c r="G278" s="45">
        <f t="shared" si="14"/>
        <v>10000</v>
      </c>
      <c r="H278" s="119" t="s">
        <v>46</v>
      </c>
      <c r="I278" s="128">
        <v>45378</v>
      </c>
      <c r="J278" s="74">
        <v>1000</v>
      </c>
      <c r="K278" s="74">
        <v>10</v>
      </c>
      <c r="L278" s="156">
        <v>45380</v>
      </c>
      <c r="M278" s="90">
        <v>10000</v>
      </c>
      <c r="N278" s="90">
        <v>100</v>
      </c>
      <c r="O278" s="90" t="s">
        <v>845</v>
      </c>
      <c r="P278" s="94" t="s">
        <v>28</v>
      </c>
      <c r="Q278" s="94">
        <v>8500069854</v>
      </c>
      <c r="R278" s="94">
        <v>5000369229</v>
      </c>
      <c r="S278" s="74">
        <v>1000</v>
      </c>
      <c r="T278" s="90" t="s">
        <v>1557</v>
      </c>
      <c r="U278" s="90">
        <v>8500069853</v>
      </c>
      <c r="V278" s="90">
        <v>5000375654</v>
      </c>
      <c r="W278" s="109">
        <v>45412</v>
      </c>
      <c r="X278" s="105">
        <v>1000</v>
      </c>
      <c r="Y278" s="106">
        <v>10000</v>
      </c>
      <c r="Z278" s="106" t="s">
        <v>758</v>
      </c>
      <c r="AA278" s="106">
        <f>J278-X278</f>
        <v>0</v>
      </c>
      <c r="AB278" s="106">
        <f>M278-Y278</f>
        <v>0</v>
      </c>
      <c r="AC278" s="94"/>
      <c r="AD278" s="94"/>
      <c r="AE278" s="94"/>
      <c r="AF278" s="94"/>
      <c r="AG278" s="94"/>
      <c r="AH278" s="263"/>
    </row>
    <row r="279" spans="1:34" ht="26.25" customHeight="1">
      <c r="A279" s="90"/>
      <c r="B279" s="121"/>
      <c r="C279" s="2"/>
      <c r="D279" s="121"/>
      <c r="E279" s="94">
        <v>10</v>
      </c>
      <c r="F279" s="74">
        <v>700</v>
      </c>
      <c r="G279" s="45">
        <f t="shared" si="14"/>
        <v>7000</v>
      </c>
      <c r="H279" s="119" t="s">
        <v>146</v>
      </c>
      <c r="I279" s="128">
        <v>45378</v>
      </c>
      <c r="J279" s="74">
        <v>700</v>
      </c>
      <c r="K279" s="74">
        <f>7+2</f>
        <v>9</v>
      </c>
      <c r="L279" s="156">
        <v>45380</v>
      </c>
      <c r="M279" s="90">
        <v>7000</v>
      </c>
      <c r="N279" s="90">
        <v>70</v>
      </c>
      <c r="O279" s="90" t="s">
        <v>1569</v>
      </c>
      <c r="P279" s="94" t="s">
        <v>28</v>
      </c>
      <c r="Q279" s="94">
        <v>8500069854</v>
      </c>
      <c r="R279" s="94">
        <v>5000369229</v>
      </c>
      <c r="S279" s="74">
        <v>700</v>
      </c>
      <c r="T279" s="90" t="s">
        <v>1557</v>
      </c>
      <c r="U279" s="90">
        <v>8500069853</v>
      </c>
      <c r="V279" s="90">
        <v>5000375654</v>
      </c>
      <c r="W279" s="109">
        <v>45420</v>
      </c>
      <c r="X279" s="106">
        <v>700</v>
      </c>
      <c r="Y279" s="106">
        <v>7000</v>
      </c>
      <c r="Z279" s="106" t="s">
        <v>759</v>
      </c>
      <c r="AA279" s="106">
        <f t="shared" si="17"/>
        <v>0</v>
      </c>
      <c r="AB279" s="106">
        <f t="shared" si="18"/>
        <v>0</v>
      </c>
      <c r="AC279" s="94"/>
      <c r="AD279" s="94"/>
      <c r="AE279" s="94"/>
      <c r="AF279" s="94"/>
      <c r="AG279" s="94"/>
      <c r="AH279" s="263"/>
    </row>
    <row r="280" spans="1:34" ht="27" customHeight="1">
      <c r="A280" s="246" t="s">
        <v>1670</v>
      </c>
      <c r="B280" s="251">
        <v>6000029862</v>
      </c>
      <c r="C280" s="245" t="s">
        <v>1674</v>
      </c>
      <c r="D280" s="251"/>
      <c r="E280" s="94">
        <v>10</v>
      </c>
      <c r="F280" s="192">
        <v>100</v>
      </c>
      <c r="G280" s="45">
        <f t="shared" si="14"/>
        <v>1000</v>
      </c>
      <c r="H280" s="119" t="s">
        <v>146</v>
      </c>
      <c r="I280" s="128" t="s">
        <v>895</v>
      </c>
      <c r="J280" s="192"/>
      <c r="K280" s="74"/>
      <c r="L280" s="156"/>
      <c r="M280" s="90"/>
      <c r="N280" s="90"/>
      <c r="O280" s="90"/>
      <c r="P280" s="94" t="s">
        <v>895</v>
      </c>
      <c r="Q280" s="94">
        <v>8500069856</v>
      </c>
      <c r="R280" s="94">
        <v>5000370591</v>
      </c>
      <c r="S280" s="94"/>
      <c r="T280" s="90" t="s">
        <v>2073</v>
      </c>
      <c r="U280" s="90">
        <v>8500069855</v>
      </c>
      <c r="V280" s="90">
        <v>5000379179</v>
      </c>
      <c r="W280" s="109"/>
      <c r="X280" s="106"/>
      <c r="Y280" s="106"/>
      <c r="Z280" s="106"/>
      <c r="AA280" s="106">
        <f t="shared" si="17"/>
        <v>0</v>
      </c>
      <c r="AB280" s="106">
        <f t="shared" si="18"/>
        <v>0</v>
      </c>
      <c r="AC280" s="94"/>
      <c r="AD280" s="94"/>
      <c r="AE280" s="94"/>
      <c r="AF280" s="94"/>
      <c r="AG280" s="94"/>
      <c r="AH280" s="263"/>
    </row>
    <row r="281" spans="1:34" ht="26.25" customHeight="1">
      <c r="A281" s="90" t="s">
        <v>707</v>
      </c>
      <c r="B281" s="121">
        <v>2000001313</v>
      </c>
      <c r="C281" s="2" t="s">
        <v>3204</v>
      </c>
      <c r="D281" s="121">
        <v>2000001313</v>
      </c>
      <c r="E281" s="94">
        <v>10</v>
      </c>
      <c r="F281" s="192">
        <v>2000</v>
      </c>
      <c r="G281" s="45">
        <f t="shared" si="14"/>
        <v>20000</v>
      </c>
      <c r="H281" s="119" t="s">
        <v>27</v>
      </c>
      <c r="I281" s="128">
        <v>45378</v>
      </c>
      <c r="J281" s="359">
        <v>2000</v>
      </c>
      <c r="K281" s="74">
        <v>22</v>
      </c>
      <c r="L281" s="156">
        <v>45379</v>
      </c>
      <c r="M281" s="90">
        <v>20000</v>
      </c>
      <c r="N281" s="90">
        <v>200</v>
      </c>
      <c r="O281" s="90"/>
      <c r="P281" s="94" t="s">
        <v>28</v>
      </c>
      <c r="Q281" s="94">
        <v>8500069531</v>
      </c>
      <c r="R281" s="94">
        <v>5000365901</v>
      </c>
      <c r="S281" s="359">
        <v>2000</v>
      </c>
      <c r="T281" s="90" t="s">
        <v>1558</v>
      </c>
      <c r="U281" s="90">
        <v>8500069529</v>
      </c>
      <c r="V281" s="90">
        <v>5000370755</v>
      </c>
      <c r="W281" s="109">
        <v>45409</v>
      </c>
      <c r="X281" s="106">
        <v>2000</v>
      </c>
      <c r="Y281" s="106">
        <v>20000</v>
      </c>
      <c r="Z281" s="106" t="s">
        <v>1840</v>
      </c>
      <c r="AA281" s="106">
        <f t="shared" si="17"/>
        <v>0</v>
      </c>
      <c r="AB281" s="106">
        <f t="shared" si="18"/>
        <v>0</v>
      </c>
      <c r="AC281" s="94"/>
      <c r="AD281" s="94"/>
      <c r="AE281" s="94"/>
      <c r="AF281" s="94"/>
      <c r="AG281" s="94"/>
      <c r="AH281" s="263"/>
    </row>
    <row r="282" spans="1:34" ht="26.25" customHeight="1">
      <c r="A282" s="90"/>
      <c r="B282" s="121"/>
      <c r="C282" s="2"/>
      <c r="D282" s="121"/>
      <c r="E282" s="94">
        <v>10</v>
      </c>
      <c r="F282" s="192">
        <v>800</v>
      </c>
      <c r="G282" s="45">
        <f t="shared" si="14"/>
        <v>8000</v>
      </c>
      <c r="H282" s="119" t="s">
        <v>46</v>
      </c>
      <c r="I282" s="128">
        <v>45378</v>
      </c>
      <c r="J282" s="359">
        <v>800</v>
      </c>
      <c r="K282" s="74">
        <v>10</v>
      </c>
      <c r="L282" s="156">
        <v>45379</v>
      </c>
      <c r="M282" s="90">
        <v>8000</v>
      </c>
      <c r="N282" s="90">
        <v>80</v>
      </c>
      <c r="O282" s="90" t="s">
        <v>1591</v>
      </c>
      <c r="P282" s="94" t="s">
        <v>28</v>
      </c>
      <c r="Q282" s="94">
        <v>8500069531</v>
      </c>
      <c r="R282" s="94">
        <v>5000365901</v>
      </c>
      <c r="S282" s="359">
        <v>800</v>
      </c>
      <c r="T282" s="90" t="s">
        <v>1558</v>
      </c>
      <c r="U282" s="90">
        <v>8500069529</v>
      </c>
      <c r="V282" s="90">
        <v>5000370755</v>
      </c>
      <c r="W282" s="109">
        <v>45415</v>
      </c>
      <c r="X282" s="106">
        <v>800</v>
      </c>
      <c r="Y282" s="106">
        <v>8000</v>
      </c>
      <c r="Z282" s="106" t="s">
        <v>1841</v>
      </c>
      <c r="AA282" s="106">
        <f t="shared" si="17"/>
        <v>0</v>
      </c>
      <c r="AB282" s="106">
        <f t="shared" si="18"/>
        <v>0</v>
      </c>
      <c r="AC282" s="94"/>
      <c r="AD282" s="94"/>
      <c r="AE282" s="94"/>
      <c r="AF282" s="94"/>
      <c r="AG282" s="94"/>
      <c r="AH282" s="263"/>
    </row>
    <row r="283" spans="1:34" ht="26.25" customHeight="1">
      <c r="A283" s="90"/>
      <c r="B283" s="121"/>
      <c r="C283" s="2"/>
      <c r="D283" s="121"/>
      <c r="E283" s="94">
        <v>10</v>
      </c>
      <c r="F283" s="192">
        <v>500</v>
      </c>
      <c r="G283" s="45">
        <f t="shared" si="14"/>
        <v>5000</v>
      </c>
      <c r="H283" s="119" t="s">
        <v>37</v>
      </c>
      <c r="I283" s="128">
        <v>45385</v>
      </c>
      <c r="J283" s="359">
        <v>500</v>
      </c>
      <c r="K283" s="74">
        <v>6</v>
      </c>
      <c r="L283" s="156">
        <v>45379</v>
      </c>
      <c r="M283" s="90">
        <v>5000</v>
      </c>
      <c r="N283" s="90">
        <v>50</v>
      </c>
      <c r="O283" s="90" t="s">
        <v>1614</v>
      </c>
      <c r="P283" s="94" t="s">
        <v>28</v>
      </c>
      <c r="Q283" s="94">
        <v>8500069531</v>
      </c>
      <c r="R283" s="53">
        <v>5000402542</v>
      </c>
      <c r="S283" s="359">
        <v>500</v>
      </c>
      <c r="T283" s="90" t="s">
        <v>1558</v>
      </c>
      <c r="U283" s="90">
        <v>8500069529</v>
      </c>
      <c r="V283" s="90">
        <v>5000370755</v>
      </c>
      <c r="W283" s="109">
        <v>45411</v>
      </c>
      <c r="X283" s="106">
        <v>500</v>
      </c>
      <c r="Y283" s="106">
        <v>5000</v>
      </c>
      <c r="Z283" s="106" t="s">
        <v>3465</v>
      </c>
      <c r="AA283" s="106">
        <f t="shared" si="17"/>
        <v>0</v>
      </c>
      <c r="AB283" s="106">
        <f t="shared" si="18"/>
        <v>0</v>
      </c>
      <c r="AC283" s="94"/>
      <c r="AD283" s="94"/>
      <c r="AE283" s="94"/>
      <c r="AF283" s="94"/>
      <c r="AG283" s="94"/>
      <c r="AH283" s="263"/>
    </row>
    <row r="284" spans="1:34" ht="26.25" customHeight="1">
      <c r="A284" s="90" t="s">
        <v>707</v>
      </c>
      <c r="B284" s="121">
        <v>2000001314</v>
      </c>
      <c r="C284" s="2" t="s">
        <v>3204</v>
      </c>
      <c r="D284" s="121">
        <v>2000001314</v>
      </c>
      <c r="E284" s="94">
        <v>10</v>
      </c>
      <c r="F284" s="192">
        <v>2000</v>
      </c>
      <c r="G284" s="45">
        <f t="shared" ref="G284:G297" si="19">E284*F284</f>
        <v>20000</v>
      </c>
      <c r="H284" s="119" t="s">
        <v>27</v>
      </c>
      <c r="I284" s="128">
        <v>45385</v>
      </c>
      <c r="J284" s="359">
        <v>2000</v>
      </c>
      <c r="K284" s="74">
        <v>20</v>
      </c>
      <c r="L284" s="156">
        <v>45380</v>
      </c>
      <c r="M284" s="90">
        <v>20000</v>
      </c>
      <c r="N284" s="90">
        <v>200</v>
      </c>
      <c r="O284" s="90"/>
      <c r="P284" s="94" t="s">
        <v>28</v>
      </c>
      <c r="Q284" s="94">
        <v>8500069528</v>
      </c>
      <c r="R284" s="94">
        <v>5000402566</v>
      </c>
      <c r="S284" s="359">
        <v>2000</v>
      </c>
      <c r="T284" s="90" t="s">
        <v>1558</v>
      </c>
      <c r="U284" s="90">
        <v>8500069525</v>
      </c>
      <c r="V284" s="90">
        <v>5000374328</v>
      </c>
      <c r="W284" s="109">
        <v>45419</v>
      </c>
      <c r="X284" s="106">
        <v>2000</v>
      </c>
      <c r="Y284" s="106">
        <v>20000</v>
      </c>
      <c r="Z284" s="106" t="s">
        <v>2991</v>
      </c>
      <c r="AA284" s="106">
        <f t="shared" si="17"/>
        <v>0</v>
      </c>
      <c r="AB284" s="106">
        <f t="shared" si="18"/>
        <v>0</v>
      </c>
      <c r="AC284" s="94" t="s">
        <v>3752</v>
      </c>
      <c r="AD284" s="94"/>
      <c r="AE284" s="94"/>
      <c r="AF284" s="94"/>
      <c r="AG284" s="94"/>
      <c r="AH284" s="263"/>
    </row>
    <row r="285" spans="1:34" ht="26.25" customHeight="1">
      <c r="A285" s="90"/>
      <c r="B285" s="121"/>
      <c r="C285" s="2"/>
      <c r="D285" s="121"/>
      <c r="E285" s="94">
        <v>10</v>
      </c>
      <c r="F285" s="192">
        <v>800</v>
      </c>
      <c r="G285" s="45">
        <f t="shared" si="19"/>
        <v>8000</v>
      </c>
      <c r="H285" s="119" t="s">
        <v>46</v>
      </c>
      <c r="I285" s="128">
        <v>45385</v>
      </c>
      <c r="J285" s="359">
        <v>800</v>
      </c>
      <c r="K285" s="74">
        <v>15</v>
      </c>
      <c r="L285" s="156">
        <v>45380</v>
      </c>
      <c r="M285" s="90">
        <v>8000</v>
      </c>
      <c r="N285" s="90">
        <v>80</v>
      </c>
      <c r="O285" s="90" t="s">
        <v>2205</v>
      </c>
      <c r="P285" s="94" t="s">
        <v>28</v>
      </c>
      <c r="Q285" s="94">
        <v>8500069528</v>
      </c>
      <c r="R285" s="94">
        <v>5000402566</v>
      </c>
      <c r="S285" s="359">
        <v>800</v>
      </c>
      <c r="T285" s="90" t="s">
        <v>1558</v>
      </c>
      <c r="U285" s="90">
        <v>8500069525</v>
      </c>
      <c r="V285" s="90">
        <v>5000374328</v>
      </c>
      <c r="W285" s="109">
        <v>45422</v>
      </c>
      <c r="X285" s="106">
        <v>800</v>
      </c>
      <c r="Y285" s="106">
        <v>8000</v>
      </c>
      <c r="Z285" s="106" t="s">
        <v>3465</v>
      </c>
      <c r="AA285" s="106">
        <f t="shared" si="17"/>
        <v>0</v>
      </c>
      <c r="AB285" s="106">
        <f t="shared" si="18"/>
        <v>0</v>
      </c>
      <c r="AC285" s="94"/>
      <c r="AD285" s="94"/>
      <c r="AE285" s="94"/>
      <c r="AF285" s="94"/>
      <c r="AG285" s="94"/>
      <c r="AH285" s="263"/>
    </row>
    <row r="286" spans="1:34" ht="26.25" customHeight="1">
      <c r="A286" s="90"/>
      <c r="B286" s="121"/>
      <c r="C286" s="2"/>
      <c r="D286" s="121"/>
      <c r="E286" s="94">
        <v>10</v>
      </c>
      <c r="F286" s="192">
        <v>500</v>
      </c>
      <c r="G286" s="45">
        <f t="shared" si="19"/>
        <v>5000</v>
      </c>
      <c r="H286" s="119" t="s">
        <v>37</v>
      </c>
      <c r="I286" s="128">
        <v>45385</v>
      </c>
      <c r="J286" s="359">
        <v>500</v>
      </c>
      <c r="K286" s="74">
        <v>5</v>
      </c>
      <c r="L286" s="156">
        <v>45380</v>
      </c>
      <c r="M286" s="90">
        <v>5000</v>
      </c>
      <c r="N286" s="90">
        <v>50</v>
      </c>
      <c r="O286" s="90" t="s">
        <v>1641</v>
      </c>
      <c r="P286" s="94" t="s">
        <v>28</v>
      </c>
      <c r="Q286" s="94">
        <v>8500069528</v>
      </c>
      <c r="R286" s="94">
        <v>5000402566</v>
      </c>
      <c r="S286" s="359">
        <v>500</v>
      </c>
      <c r="T286" s="90" t="s">
        <v>1558</v>
      </c>
      <c r="U286" s="90">
        <v>8500069525</v>
      </c>
      <c r="V286" s="90">
        <v>5000374328</v>
      </c>
      <c r="W286" s="109">
        <v>45411</v>
      </c>
      <c r="X286" s="106">
        <v>500</v>
      </c>
      <c r="Y286" s="106">
        <v>5000</v>
      </c>
      <c r="Z286" s="106" t="s">
        <v>3465</v>
      </c>
      <c r="AA286" s="106">
        <f t="shared" si="17"/>
        <v>0</v>
      </c>
      <c r="AB286" s="106">
        <f t="shared" si="18"/>
        <v>0</v>
      </c>
      <c r="AC286" s="94"/>
      <c r="AD286" s="94"/>
      <c r="AE286" s="94"/>
      <c r="AF286" s="94"/>
      <c r="AG286" s="94"/>
      <c r="AH286" s="263"/>
    </row>
    <row r="287" spans="1:34" ht="26.25" customHeight="1">
      <c r="A287" s="90" t="s">
        <v>707</v>
      </c>
      <c r="B287" s="121">
        <v>2000001316</v>
      </c>
      <c r="C287" s="2" t="s">
        <v>3204</v>
      </c>
      <c r="D287" s="121">
        <v>2000001316</v>
      </c>
      <c r="E287" s="192">
        <v>10</v>
      </c>
      <c r="F287" s="192">
        <v>200</v>
      </c>
      <c r="G287" s="45">
        <f t="shared" si="19"/>
        <v>2000</v>
      </c>
      <c r="H287" s="119" t="s">
        <v>27</v>
      </c>
      <c r="I287" s="128">
        <v>45378</v>
      </c>
      <c r="J287" s="94">
        <v>200</v>
      </c>
      <c r="K287" s="74">
        <v>2</v>
      </c>
      <c r="L287" s="156">
        <v>45379</v>
      </c>
      <c r="M287" s="90">
        <v>2000</v>
      </c>
      <c r="N287" s="90">
        <v>20</v>
      </c>
      <c r="O287" s="90" t="s">
        <v>2109</v>
      </c>
      <c r="P287" s="94" t="s">
        <v>28</v>
      </c>
      <c r="Q287" s="94">
        <v>8500069704</v>
      </c>
      <c r="R287" s="94">
        <v>5000365903</v>
      </c>
      <c r="S287" s="94"/>
      <c r="T287" s="90" t="s">
        <v>1558</v>
      </c>
      <c r="U287" s="90">
        <v>8500069703</v>
      </c>
      <c r="V287" s="90">
        <v>5000370758</v>
      </c>
      <c r="W287" s="109">
        <v>45385</v>
      </c>
      <c r="X287" s="106">
        <v>200</v>
      </c>
      <c r="Y287" s="106">
        <v>2000</v>
      </c>
      <c r="Z287" s="106" t="s">
        <v>800</v>
      </c>
      <c r="AA287" s="106">
        <f t="shared" si="17"/>
        <v>0</v>
      </c>
      <c r="AB287" s="106">
        <f t="shared" si="18"/>
        <v>0</v>
      </c>
      <c r="AC287" s="94"/>
      <c r="AD287" s="94"/>
      <c r="AE287" s="94"/>
      <c r="AF287" s="94"/>
      <c r="AG287" s="94"/>
      <c r="AH287" s="263"/>
    </row>
    <row r="288" spans="1:34" ht="26.25" customHeight="1">
      <c r="A288" s="90" t="s">
        <v>707</v>
      </c>
      <c r="B288" s="121">
        <v>2000001309</v>
      </c>
      <c r="C288" s="2" t="s">
        <v>3204</v>
      </c>
      <c r="D288" s="121">
        <v>2000001309</v>
      </c>
      <c r="E288" s="192">
        <v>10</v>
      </c>
      <c r="F288" s="192">
        <v>130</v>
      </c>
      <c r="G288" s="45">
        <f t="shared" si="19"/>
        <v>1300</v>
      </c>
      <c r="H288" s="119" t="s">
        <v>243</v>
      </c>
      <c r="I288" s="128">
        <v>45380</v>
      </c>
      <c r="J288" s="359">
        <v>130</v>
      </c>
      <c r="K288" s="74">
        <v>8</v>
      </c>
      <c r="L288" s="156">
        <v>45378</v>
      </c>
      <c r="M288" s="90">
        <v>1300</v>
      </c>
      <c r="N288" s="90">
        <v>13</v>
      </c>
      <c r="O288" s="90"/>
      <c r="P288" s="94" t="s">
        <v>28</v>
      </c>
      <c r="Q288" s="94">
        <v>8500069517</v>
      </c>
      <c r="R288" s="94">
        <v>5000378481</v>
      </c>
      <c r="S288" s="359">
        <v>130</v>
      </c>
      <c r="T288" s="90" t="s">
        <v>1558</v>
      </c>
      <c r="U288" s="90">
        <v>8500069514</v>
      </c>
      <c r="V288" s="90">
        <v>5000369531</v>
      </c>
      <c r="W288" s="109">
        <v>45407</v>
      </c>
      <c r="X288" s="106">
        <v>130</v>
      </c>
      <c r="Y288" s="106">
        <v>1300</v>
      </c>
      <c r="Z288" s="106" t="s">
        <v>800</v>
      </c>
      <c r="AA288" s="106">
        <f t="shared" si="17"/>
        <v>0</v>
      </c>
      <c r="AB288" s="106">
        <f t="shared" si="18"/>
        <v>0</v>
      </c>
      <c r="AC288" s="94"/>
      <c r="AD288" s="94"/>
      <c r="AE288" s="94"/>
      <c r="AF288" s="94"/>
      <c r="AG288" s="94"/>
      <c r="AH288" s="263"/>
    </row>
    <row r="289" spans="1:34" ht="26.25" customHeight="1">
      <c r="A289" s="90"/>
      <c r="B289" s="224"/>
      <c r="C289" s="2"/>
      <c r="D289" s="121"/>
      <c r="E289" s="192">
        <v>10</v>
      </c>
      <c r="F289" s="192">
        <v>1370</v>
      </c>
      <c r="G289" s="45">
        <f t="shared" si="19"/>
        <v>13700</v>
      </c>
      <c r="H289" s="119" t="s">
        <v>27</v>
      </c>
      <c r="I289" s="128">
        <v>45380</v>
      </c>
      <c r="J289" s="359">
        <v>1370</v>
      </c>
      <c r="K289" s="74">
        <v>21</v>
      </c>
      <c r="L289" s="156">
        <v>45378</v>
      </c>
      <c r="M289" s="90">
        <v>13700</v>
      </c>
      <c r="N289" s="90">
        <v>137</v>
      </c>
      <c r="O289" s="90"/>
      <c r="P289" s="94" t="s">
        <v>28</v>
      </c>
      <c r="Q289" s="94">
        <v>8500069517</v>
      </c>
      <c r="R289" s="94">
        <v>5000378481</v>
      </c>
      <c r="S289" s="359">
        <v>1370</v>
      </c>
      <c r="T289" s="90" t="s">
        <v>1558</v>
      </c>
      <c r="U289" s="90">
        <v>8500069514</v>
      </c>
      <c r="V289" s="90">
        <v>5000369531</v>
      </c>
      <c r="W289" s="109">
        <v>45406</v>
      </c>
      <c r="X289" s="106">
        <v>1370</v>
      </c>
      <c r="Y289" s="106">
        <v>13700</v>
      </c>
      <c r="Z289" s="106" t="s">
        <v>1840</v>
      </c>
      <c r="AA289" s="106">
        <f t="shared" si="17"/>
        <v>0</v>
      </c>
      <c r="AB289" s="106">
        <f t="shared" si="18"/>
        <v>0</v>
      </c>
      <c r="AC289" s="94"/>
      <c r="AD289" s="94"/>
      <c r="AE289" s="94"/>
      <c r="AF289" s="94"/>
      <c r="AG289" s="94"/>
      <c r="AH289" s="263"/>
    </row>
    <row r="290" spans="1:34" ht="26.25" customHeight="1">
      <c r="A290" s="90"/>
      <c r="B290" s="224"/>
      <c r="C290" s="2"/>
      <c r="D290" s="121"/>
      <c r="E290" s="192">
        <v>10</v>
      </c>
      <c r="F290" s="192">
        <v>900</v>
      </c>
      <c r="G290" s="45">
        <f t="shared" si="19"/>
        <v>9000</v>
      </c>
      <c r="H290" s="119" t="s">
        <v>46</v>
      </c>
      <c r="I290" s="128">
        <v>45380</v>
      </c>
      <c r="J290" s="359">
        <v>900</v>
      </c>
      <c r="K290" s="74">
        <v>14</v>
      </c>
      <c r="L290" s="156">
        <v>45378</v>
      </c>
      <c r="M290" s="90">
        <v>9000</v>
      </c>
      <c r="N290" s="90">
        <v>90</v>
      </c>
      <c r="O290" s="90"/>
      <c r="P290" s="94" t="s">
        <v>28</v>
      </c>
      <c r="Q290" s="94">
        <v>8500069517</v>
      </c>
      <c r="R290" s="94">
        <v>5000378481</v>
      </c>
      <c r="S290" s="359">
        <v>900</v>
      </c>
      <c r="T290" s="90" t="s">
        <v>1558</v>
      </c>
      <c r="U290" s="90">
        <v>8500069514</v>
      </c>
      <c r="V290" s="90">
        <v>5000369531</v>
      </c>
      <c r="W290" s="109" t="s">
        <v>3536</v>
      </c>
      <c r="X290" s="106">
        <f>200+500+200</f>
        <v>900</v>
      </c>
      <c r="Y290" s="106">
        <f>2000+5000+2000</f>
        <v>9000</v>
      </c>
      <c r="Z290" s="106" t="s">
        <v>3537</v>
      </c>
      <c r="AA290" s="106">
        <f t="shared" si="17"/>
        <v>0</v>
      </c>
      <c r="AB290" s="106">
        <f t="shared" si="18"/>
        <v>0</v>
      </c>
      <c r="AC290" s="94"/>
      <c r="AD290" s="94"/>
      <c r="AE290" s="94"/>
      <c r="AF290" s="94"/>
      <c r="AG290" s="94"/>
      <c r="AH290" s="263"/>
    </row>
    <row r="291" spans="1:34" ht="26.25" customHeight="1">
      <c r="A291" s="90"/>
      <c r="B291" s="224"/>
      <c r="C291" s="2"/>
      <c r="D291" s="121"/>
      <c r="E291" s="192">
        <v>10</v>
      </c>
      <c r="F291" s="192">
        <v>500</v>
      </c>
      <c r="G291" s="45">
        <f t="shared" si="19"/>
        <v>5000</v>
      </c>
      <c r="H291" s="119" t="s">
        <v>37</v>
      </c>
      <c r="I291" s="128">
        <v>45380</v>
      </c>
      <c r="J291" s="359">
        <v>500</v>
      </c>
      <c r="K291" s="74">
        <v>10</v>
      </c>
      <c r="L291" s="156">
        <v>45378</v>
      </c>
      <c r="M291" s="90">
        <v>5000</v>
      </c>
      <c r="N291" s="90">
        <v>50</v>
      </c>
      <c r="O291" s="90"/>
      <c r="P291" s="94" t="s">
        <v>28</v>
      </c>
      <c r="Q291" s="94">
        <v>8500069517</v>
      </c>
      <c r="R291" s="94">
        <v>5000378481</v>
      </c>
      <c r="S291" s="359">
        <v>500</v>
      </c>
      <c r="T291" s="90" t="s">
        <v>1558</v>
      </c>
      <c r="U291" s="90">
        <v>8500069514</v>
      </c>
      <c r="V291" s="90">
        <v>5000369531</v>
      </c>
      <c r="W291" s="109">
        <v>45409</v>
      </c>
      <c r="X291" s="106">
        <v>500</v>
      </c>
      <c r="Y291" s="106">
        <v>5000</v>
      </c>
      <c r="Z291" s="106" t="s">
        <v>1841</v>
      </c>
      <c r="AA291" s="106">
        <f t="shared" si="17"/>
        <v>0</v>
      </c>
      <c r="AB291" s="106">
        <f t="shared" si="18"/>
        <v>0</v>
      </c>
      <c r="AC291" s="94"/>
      <c r="AD291" s="94"/>
      <c r="AE291" s="94"/>
      <c r="AF291" s="94"/>
      <c r="AG291" s="94"/>
      <c r="AH291" s="263"/>
    </row>
    <row r="292" spans="1:34" ht="26.25" customHeight="1">
      <c r="A292" s="90"/>
      <c r="B292" s="224"/>
      <c r="C292" s="2"/>
      <c r="D292" s="121"/>
      <c r="E292" s="192">
        <v>10</v>
      </c>
      <c r="F292" s="192">
        <v>3</v>
      </c>
      <c r="G292" s="45">
        <f t="shared" si="19"/>
        <v>30</v>
      </c>
      <c r="H292" s="119" t="s">
        <v>243</v>
      </c>
      <c r="I292" s="128">
        <v>45380</v>
      </c>
      <c r="J292" s="359">
        <v>3</v>
      </c>
      <c r="K292" s="74"/>
      <c r="L292" s="156">
        <v>45378</v>
      </c>
      <c r="M292" s="90">
        <v>30</v>
      </c>
      <c r="N292" s="90"/>
      <c r="O292" s="90"/>
      <c r="P292" s="94" t="s">
        <v>28</v>
      </c>
      <c r="Q292" s="94">
        <v>8500069522</v>
      </c>
      <c r="R292" s="94">
        <v>5000378482</v>
      </c>
      <c r="S292" s="359">
        <v>3</v>
      </c>
      <c r="T292" s="90" t="s">
        <v>1558</v>
      </c>
      <c r="U292" s="90">
        <v>8500069520</v>
      </c>
      <c r="V292" s="90">
        <v>5000369532</v>
      </c>
      <c r="W292" s="105"/>
      <c r="X292" s="106">
        <v>3</v>
      </c>
      <c r="Y292" s="106">
        <v>30</v>
      </c>
      <c r="Z292" s="106"/>
      <c r="AA292" s="106">
        <f t="shared" si="17"/>
        <v>0</v>
      </c>
      <c r="AB292" s="106">
        <f t="shared" si="18"/>
        <v>0</v>
      </c>
      <c r="AC292" s="94"/>
      <c r="AD292" s="94"/>
      <c r="AE292" s="94"/>
      <c r="AF292" s="94"/>
      <c r="AG292" s="94"/>
      <c r="AH292" s="263"/>
    </row>
    <row r="293" spans="1:34" ht="26.25" customHeight="1">
      <c r="A293" s="90"/>
      <c r="B293" s="224"/>
      <c r="C293" s="2"/>
      <c r="D293" s="121"/>
      <c r="E293" s="192">
        <v>10</v>
      </c>
      <c r="F293" s="192">
        <v>107</v>
      </c>
      <c r="G293" s="45">
        <f t="shared" si="19"/>
        <v>1070</v>
      </c>
      <c r="H293" s="119" t="s">
        <v>27</v>
      </c>
      <c r="I293" s="128">
        <v>45380</v>
      </c>
      <c r="J293" s="359">
        <v>107</v>
      </c>
      <c r="K293" s="74">
        <v>3</v>
      </c>
      <c r="L293" s="156">
        <v>45378</v>
      </c>
      <c r="M293" s="90">
        <v>1070</v>
      </c>
      <c r="N293" s="90">
        <v>11</v>
      </c>
      <c r="O293" s="90"/>
      <c r="P293" s="94" t="s">
        <v>28</v>
      </c>
      <c r="Q293" s="94">
        <v>8500069522</v>
      </c>
      <c r="R293" s="94">
        <v>5000378482</v>
      </c>
      <c r="S293" s="359">
        <v>107</v>
      </c>
      <c r="T293" s="90" t="s">
        <v>1558</v>
      </c>
      <c r="U293" s="90">
        <v>8500069520</v>
      </c>
      <c r="V293" s="90">
        <v>5000369532</v>
      </c>
      <c r="W293" s="105"/>
      <c r="X293" s="106">
        <v>107</v>
      </c>
      <c r="Y293" s="106">
        <v>1070</v>
      </c>
      <c r="Z293" s="106"/>
      <c r="AA293" s="106">
        <f t="shared" si="17"/>
        <v>0</v>
      </c>
      <c r="AB293" s="106">
        <f t="shared" si="18"/>
        <v>0</v>
      </c>
      <c r="AC293" s="94"/>
      <c r="AD293" s="94"/>
      <c r="AE293" s="94"/>
      <c r="AF293" s="94"/>
      <c r="AG293" s="94"/>
      <c r="AH293" s="263"/>
    </row>
    <row r="294" spans="1:34" ht="26.25" customHeight="1">
      <c r="A294" s="90"/>
      <c r="B294" s="224"/>
      <c r="C294" s="2"/>
      <c r="D294" s="121"/>
      <c r="E294" s="192">
        <v>10</v>
      </c>
      <c r="F294" s="192">
        <v>50</v>
      </c>
      <c r="G294" s="45">
        <f t="shared" si="19"/>
        <v>500</v>
      </c>
      <c r="H294" s="119" t="s">
        <v>46</v>
      </c>
      <c r="I294" s="128">
        <v>45380</v>
      </c>
      <c r="J294" s="359">
        <v>50</v>
      </c>
      <c r="K294" s="74"/>
      <c r="L294" s="156">
        <v>45378</v>
      </c>
      <c r="M294" s="90">
        <v>500</v>
      </c>
      <c r="N294" s="90">
        <v>5</v>
      </c>
      <c r="O294" s="90"/>
      <c r="P294" s="94" t="s">
        <v>28</v>
      </c>
      <c r="Q294" s="94">
        <v>8500069522</v>
      </c>
      <c r="R294" s="94">
        <v>5000378482</v>
      </c>
      <c r="S294" s="359">
        <v>50</v>
      </c>
      <c r="T294" s="90" t="s">
        <v>1558</v>
      </c>
      <c r="U294" s="90">
        <v>8500069520</v>
      </c>
      <c r="V294" s="90">
        <v>5000369532</v>
      </c>
      <c r="W294" s="105"/>
      <c r="X294" s="106">
        <v>50</v>
      </c>
      <c r="Y294" s="106">
        <v>500</v>
      </c>
      <c r="Z294" s="106"/>
      <c r="AA294" s="106">
        <f t="shared" si="17"/>
        <v>0</v>
      </c>
      <c r="AB294" s="106">
        <f t="shared" si="18"/>
        <v>0</v>
      </c>
      <c r="AC294" s="94"/>
      <c r="AD294" s="94"/>
      <c r="AE294" s="94"/>
      <c r="AF294" s="94"/>
      <c r="AG294" s="94"/>
      <c r="AH294" s="263"/>
    </row>
    <row r="295" spans="1:34" ht="26.25" customHeight="1">
      <c r="A295" s="90"/>
      <c r="B295" s="224"/>
      <c r="C295" s="2"/>
      <c r="D295" s="121"/>
      <c r="E295" s="192">
        <v>10</v>
      </c>
      <c r="F295" s="192">
        <v>30</v>
      </c>
      <c r="G295" s="45">
        <f t="shared" si="19"/>
        <v>300</v>
      </c>
      <c r="H295" s="119" t="s">
        <v>37</v>
      </c>
      <c r="I295" s="128" t="s">
        <v>3280</v>
      </c>
      <c r="J295" s="359">
        <f>27+3</f>
        <v>30</v>
      </c>
      <c r="K295" s="74">
        <v>3</v>
      </c>
      <c r="L295" s="156">
        <v>45378</v>
      </c>
      <c r="M295" s="90">
        <v>300</v>
      </c>
      <c r="N295" s="90">
        <v>3</v>
      </c>
      <c r="O295" s="90"/>
      <c r="P295" s="94" t="s">
        <v>28</v>
      </c>
      <c r="Q295" s="94">
        <v>8500069522</v>
      </c>
      <c r="R295" s="53" t="s">
        <v>3281</v>
      </c>
      <c r="S295" s="359">
        <f>27+3</f>
        <v>30</v>
      </c>
      <c r="T295" s="90" t="s">
        <v>1558</v>
      </c>
      <c r="U295" s="90">
        <v>8500069520</v>
      </c>
      <c r="V295" s="90">
        <v>5000369532</v>
      </c>
      <c r="W295" s="105"/>
      <c r="X295" s="106">
        <v>30</v>
      </c>
      <c r="Y295" s="106">
        <v>300</v>
      </c>
      <c r="Z295" s="106"/>
      <c r="AA295" s="106">
        <f t="shared" si="17"/>
        <v>0</v>
      </c>
      <c r="AB295" s="106">
        <f t="shared" si="18"/>
        <v>0</v>
      </c>
      <c r="AC295" s="94"/>
      <c r="AD295" s="94"/>
      <c r="AE295" s="94"/>
      <c r="AF295" s="94"/>
      <c r="AG295" s="94"/>
      <c r="AH295" s="263"/>
    </row>
    <row r="296" spans="1:34" ht="26.25" customHeight="1">
      <c r="A296" s="90" t="s">
        <v>707</v>
      </c>
      <c r="B296" s="121">
        <v>2000001312</v>
      </c>
      <c r="C296" s="2" t="s">
        <v>3209</v>
      </c>
      <c r="D296" s="121">
        <v>2000001312</v>
      </c>
      <c r="E296" s="192">
        <v>10</v>
      </c>
      <c r="F296" s="74">
        <v>360</v>
      </c>
      <c r="G296" s="45">
        <f t="shared" si="19"/>
        <v>3600</v>
      </c>
      <c r="H296" s="119" t="s">
        <v>46</v>
      </c>
      <c r="I296" s="128">
        <v>45379</v>
      </c>
      <c r="J296" s="74">
        <v>360</v>
      </c>
      <c r="K296" s="74">
        <f>8+4</f>
        <v>12</v>
      </c>
      <c r="L296" s="156">
        <v>45379</v>
      </c>
      <c r="M296" s="90">
        <v>3600</v>
      </c>
      <c r="N296" s="90">
        <v>36</v>
      </c>
      <c r="O296" s="90" t="s">
        <v>1880</v>
      </c>
      <c r="P296" s="94" t="s">
        <v>160</v>
      </c>
      <c r="Q296" s="94">
        <v>8500069390</v>
      </c>
      <c r="R296" s="94">
        <v>5000370423</v>
      </c>
      <c r="S296" s="74">
        <v>360</v>
      </c>
      <c r="T296" s="90" t="s">
        <v>1558</v>
      </c>
      <c r="U296" s="90">
        <v>8500069389</v>
      </c>
      <c r="V296" s="90">
        <v>5000373720</v>
      </c>
      <c r="W296" s="109">
        <v>45387</v>
      </c>
      <c r="X296" s="106">
        <v>360</v>
      </c>
      <c r="Y296" s="106">
        <v>3600</v>
      </c>
      <c r="Z296" s="106" t="s">
        <v>800</v>
      </c>
      <c r="AA296" s="106">
        <f t="shared" si="17"/>
        <v>0</v>
      </c>
      <c r="AB296" s="106">
        <f t="shared" si="18"/>
        <v>0</v>
      </c>
      <c r="AC296" s="94"/>
      <c r="AD296" s="94"/>
      <c r="AE296" s="94"/>
      <c r="AF296" s="94"/>
      <c r="AG296" s="94"/>
      <c r="AH296" s="263"/>
    </row>
    <row r="297" spans="1:34" ht="26.25" customHeight="1">
      <c r="A297" s="90" t="s">
        <v>707</v>
      </c>
      <c r="B297" s="121">
        <v>2000001308</v>
      </c>
      <c r="C297" s="2" t="s">
        <v>3240</v>
      </c>
      <c r="D297" s="121" t="s">
        <v>3241</v>
      </c>
      <c r="E297" s="192">
        <v>10</v>
      </c>
      <c r="F297" s="74">
        <v>1100</v>
      </c>
      <c r="G297" s="45">
        <f t="shared" si="19"/>
        <v>11000</v>
      </c>
      <c r="H297" s="119" t="s">
        <v>27</v>
      </c>
      <c r="I297" s="128">
        <v>45385</v>
      </c>
      <c r="J297" s="74">
        <v>1100</v>
      </c>
      <c r="K297" s="74">
        <v>13</v>
      </c>
      <c r="L297" s="156">
        <v>45384</v>
      </c>
      <c r="M297" s="90">
        <v>11000</v>
      </c>
      <c r="N297" s="90">
        <v>55</v>
      </c>
      <c r="O297" s="90" t="s">
        <v>3242</v>
      </c>
      <c r="P297" s="94" t="s">
        <v>28</v>
      </c>
      <c r="Q297" s="94">
        <v>8500069165</v>
      </c>
      <c r="R297" s="94">
        <v>5000402445</v>
      </c>
      <c r="S297" s="94"/>
      <c r="T297" s="90" t="s">
        <v>152</v>
      </c>
      <c r="U297" s="90">
        <v>8500069164</v>
      </c>
      <c r="V297" s="90">
        <v>5000393584</v>
      </c>
      <c r="W297" s="109">
        <v>45420</v>
      </c>
      <c r="X297" s="106">
        <v>1100</v>
      </c>
      <c r="Y297" s="106">
        <v>11000</v>
      </c>
      <c r="Z297" s="106" t="s">
        <v>1980</v>
      </c>
      <c r="AA297" s="106">
        <f t="shared" si="17"/>
        <v>0</v>
      </c>
      <c r="AB297" s="106">
        <f t="shared" si="18"/>
        <v>0</v>
      </c>
      <c r="AC297" s="94"/>
      <c r="AD297" s="94"/>
      <c r="AE297" s="94"/>
      <c r="AF297" s="94"/>
      <c r="AG297" s="94"/>
      <c r="AH297" s="263"/>
    </row>
    <row r="298" spans="1:34" ht="26.25" customHeight="1">
      <c r="A298" s="45"/>
      <c r="B298" s="121"/>
      <c r="C298" s="192"/>
      <c r="D298" s="192"/>
      <c r="E298" s="192"/>
      <c r="F298" s="74"/>
      <c r="G298" s="45"/>
      <c r="H298" s="119"/>
      <c r="I298" s="128"/>
      <c r="J298" s="74"/>
      <c r="K298" s="74"/>
      <c r="L298" s="156"/>
      <c r="M298" s="90"/>
      <c r="N298" s="90"/>
      <c r="O298" s="90"/>
      <c r="P298" s="94"/>
      <c r="Q298" s="94"/>
      <c r="R298" s="94"/>
      <c r="S298" s="94"/>
      <c r="T298" s="90"/>
      <c r="U298" s="90"/>
      <c r="V298" s="90"/>
      <c r="W298" s="109"/>
      <c r="X298" s="106"/>
      <c r="Y298" s="106"/>
      <c r="Z298" s="106"/>
      <c r="AA298" s="106">
        <f t="shared" si="17"/>
        <v>0</v>
      </c>
      <c r="AB298" s="106">
        <f t="shared" si="18"/>
        <v>0</v>
      </c>
      <c r="AC298" s="94"/>
      <c r="AD298" s="94"/>
      <c r="AE298" s="94"/>
      <c r="AF298" s="94"/>
      <c r="AG298" s="94"/>
      <c r="AH298" s="263"/>
    </row>
    <row r="299" spans="1:34" ht="26.25" customHeight="1">
      <c r="A299" s="45"/>
      <c r="B299" s="290"/>
      <c r="C299" s="192"/>
      <c r="D299" s="192"/>
      <c r="E299" s="192"/>
      <c r="F299" s="74"/>
      <c r="G299" s="45"/>
      <c r="H299" s="119"/>
      <c r="I299" s="128"/>
      <c r="J299" s="74"/>
      <c r="K299" s="74"/>
      <c r="L299" s="156"/>
      <c r="M299" s="90"/>
      <c r="N299" s="90"/>
      <c r="O299" s="90"/>
      <c r="P299" s="94"/>
      <c r="Q299" s="94"/>
      <c r="R299" s="94"/>
      <c r="S299" s="94"/>
      <c r="T299" s="90"/>
      <c r="U299" s="90"/>
      <c r="V299" s="90"/>
      <c r="W299" s="109"/>
      <c r="X299" s="106"/>
      <c r="Y299" s="106"/>
      <c r="Z299" s="106"/>
      <c r="AA299" s="106">
        <f t="shared" si="17"/>
        <v>0</v>
      </c>
      <c r="AB299" s="106">
        <f t="shared" si="18"/>
        <v>0</v>
      </c>
      <c r="AC299" s="94"/>
      <c r="AD299" s="94"/>
      <c r="AE299" s="94"/>
      <c r="AF299" s="94"/>
      <c r="AG299" s="94"/>
      <c r="AH299" s="263"/>
    </row>
    <row r="300" spans="1:34" ht="26.25" customHeight="1">
      <c r="A300" s="45"/>
      <c r="B300" s="290"/>
      <c r="C300" s="192"/>
      <c r="D300" s="192"/>
      <c r="E300" s="192"/>
      <c r="F300" s="74"/>
      <c r="G300" s="45"/>
      <c r="H300" s="119"/>
      <c r="I300" s="128"/>
      <c r="J300" s="74"/>
      <c r="K300" s="74"/>
      <c r="L300" s="156"/>
      <c r="M300" s="90"/>
      <c r="N300" s="90"/>
      <c r="O300" s="90"/>
      <c r="P300" s="94"/>
      <c r="Q300" s="94"/>
      <c r="R300" s="94"/>
      <c r="S300" s="94"/>
      <c r="T300" s="90"/>
      <c r="U300" s="90"/>
      <c r="V300" s="90"/>
      <c r="W300" s="109"/>
      <c r="X300" s="106"/>
      <c r="Y300" s="106"/>
      <c r="Z300" s="106"/>
      <c r="AA300" s="106">
        <f t="shared" si="17"/>
        <v>0</v>
      </c>
      <c r="AB300" s="106">
        <f t="shared" si="18"/>
        <v>0</v>
      </c>
      <c r="AC300" s="94"/>
      <c r="AD300" s="94"/>
      <c r="AE300" s="94"/>
      <c r="AF300" s="94"/>
      <c r="AG300" s="94"/>
      <c r="AH300" s="263"/>
    </row>
    <row r="301" spans="1:34" ht="26.25" customHeight="1">
      <c r="A301" s="45"/>
      <c r="B301" s="290"/>
      <c r="C301" s="192"/>
      <c r="D301" s="192"/>
      <c r="E301" s="192"/>
      <c r="F301" s="74"/>
      <c r="G301" s="45"/>
      <c r="H301" s="119"/>
      <c r="I301" s="128"/>
      <c r="J301" s="74"/>
      <c r="K301" s="74"/>
      <c r="L301" s="156"/>
      <c r="M301" s="90"/>
      <c r="N301" s="90"/>
      <c r="O301" s="90"/>
      <c r="P301" s="94"/>
      <c r="Q301" s="94"/>
      <c r="R301" s="94"/>
      <c r="S301" s="94"/>
      <c r="T301" s="90"/>
      <c r="U301" s="90"/>
      <c r="V301" s="90"/>
      <c r="W301" s="109"/>
      <c r="X301" s="106"/>
      <c r="Y301" s="106"/>
      <c r="Z301" s="106"/>
      <c r="AA301" s="106">
        <f t="shared" si="17"/>
        <v>0</v>
      </c>
      <c r="AB301" s="106">
        <f t="shared" si="18"/>
        <v>0</v>
      </c>
      <c r="AC301" s="94"/>
      <c r="AD301" s="94"/>
      <c r="AE301" s="94"/>
      <c r="AF301" s="94"/>
      <c r="AG301" s="94"/>
      <c r="AH301" s="263"/>
    </row>
    <row r="302" spans="1:34" ht="26.25" customHeight="1">
      <c r="A302" s="260"/>
      <c r="B302" s="121"/>
      <c r="C302" s="192"/>
      <c r="D302" s="192"/>
      <c r="E302" s="94"/>
      <c r="F302" s="74"/>
      <c r="G302" s="45"/>
      <c r="H302" s="119"/>
      <c r="I302" s="128"/>
      <c r="J302" s="158"/>
      <c r="K302" s="74"/>
      <c r="L302" s="156"/>
      <c r="M302" s="90"/>
      <c r="N302" s="90"/>
      <c r="O302" s="90"/>
      <c r="P302" s="74"/>
      <c r="Q302" s="94"/>
      <c r="R302" s="94"/>
      <c r="S302" s="94"/>
      <c r="T302" s="90"/>
      <c r="U302" s="90"/>
      <c r="V302" s="90"/>
      <c r="W302" s="105"/>
      <c r="X302" s="106"/>
      <c r="Y302" s="106"/>
      <c r="Z302" s="106"/>
      <c r="AA302" s="106">
        <f t="shared" si="17"/>
        <v>0</v>
      </c>
      <c r="AB302" s="106">
        <f t="shared" si="18"/>
        <v>0</v>
      </c>
      <c r="AC302" s="94"/>
      <c r="AD302" s="94"/>
      <c r="AE302" s="94"/>
      <c r="AF302" s="94"/>
      <c r="AG302" s="94"/>
      <c r="AH302" s="263"/>
    </row>
    <row r="303" spans="1:34" ht="23.25" customHeight="1">
      <c r="A303" s="45"/>
      <c r="B303" s="121"/>
      <c r="C303" s="192"/>
      <c r="D303" s="192"/>
      <c r="E303" s="94"/>
      <c r="F303" s="74"/>
      <c r="G303" s="45"/>
      <c r="H303" s="119"/>
      <c r="I303" s="128"/>
      <c r="J303" s="74"/>
      <c r="K303" s="74"/>
      <c r="L303" s="156"/>
      <c r="M303" s="90"/>
      <c r="N303" s="90"/>
      <c r="O303" s="90"/>
      <c r="P303" s="74"/>
      <c r="Q303" s="94"/>
      <c r="R303" s="94"/>
      <c r="S303" s="94"/>
      <c r="T303" s="90"/>
      <c r="U303" s="90"/>
      <c r="V303" s="90"/>
      <c r="W303" s="105"/>
      <c r="X303" s="106"/>
      <c r="Y303" s="106"/>
      <c r="Z303" s="106"/>
      <c r="AA303" s="106">
        <f t="shared" si="17"/>
        <v>0</v>
      </c>
      <c r="AB303" s="106">
        <f t="shared" si="18"/>
        <v>0</v>
      </c>
      <c r="AC303" s="94"/>
      <c r="AD303" s="94"/>
      <c r="AE303" s="94"/>
      <c r="AF303" s="94"/>
      <c r="AG303" s="94"/>
      <c r="AH303" s="263"/>
    </row>
    <row r="304" spans="1:34" ht="26.25" customHeight="1">
      <c r="A304" s="45"/>
      <c r="B304" s="121"/>
      <c r="C304" s="192"/>
      <c r="D304" s="192"/>
      <c r="E304" s="94"/>
      <c r="F304" s="74"/>
      <c r="G304" s="45"/>
      <c r="H304" s="119"/>
      <c r="I304" s="128"/>
      <c r="J304" s="74"/>
      <c r="K304" s="74"/>
      <c r="L304" s="156"/>
      <c r="M304" s="90"/>
      <c r="N304" s="90"/>
      <c r="O304" s="90"/>
      <c r="P304" s="74"/>
      <c r="Q304" s="94"/>
      <c r="R304" s="94"/>
      <c r="S304" s="94"/>
      <c r="T304" s="90"/>
      <c r="U304" s="90"/>
      <c r="V304" s="90"/>
      <c r="W304" s="105"/>
      <c r="X304" s="106"/>
      <c r="Y304" s="106"/>
      <c r="Z304" s="106"/>
      <c r="AA304" s="106">
        <f t="shared" si="17"/>
        <v>0</v>
      </c>
      <c r="AB304" s="106">
        <f t="shared" si="18"/>
        <v>0</v>
      </c>
      <c r="AC304" s="94"/>
      <c r="AD304" s="94"/>
      <c r="AE304" s="94"/>
      <c r="AF304" s="94"/>
      <c r="AG304" s="94"/>
      <c r="AH304" s="263"/>
    </row>
    <row r="305" spans="1:34" ht="26.25" customHeight="1">
      <c r="A305" s="260"/>
      <c r="B305" s="121"/>
      <c r="C305" s="192"/>
      <c r="D305" s="192"/>
      <c r="E305" s="94"/>
      <c r="F305" s="74"/>
      <c r="G305" s="45"/>
      <c r="H305" s="119"/>
      <c r="I305" s="128"/>
      <c r="J305" s="74"/>
      <c r="K305" s="74"/>
      <c r="L305" s="156"/>
      <c r="M305" s="90"/>
      <c r="N305" s="90"/>
      <c r="O305" s="90"/>
      <c r="P305" s="74"/>
      <c r="Q305" s="94"/>
      <c r="R305" s="94"/>
      <c r="S305" s="94"/>
      <c r="T305" s="90"/>
      <c r="U305" s="90"/>
      <c r="V305" s="90"/>
      <c r="W305" s="109"/>
      <c r="X305" s="106"/>
      <c r="Y305" s="106"/>
      <c r="Z305" s="106"/>
      <c r="AA305" s="106">
        <f t="shared" si="17"/>
        <v>0</v>
      </c>
      <c r="AB305" s="106">
        <f t="shared" si="18"/>
        <v>0</v>
      </c>
      <c r="AC305" s="94"/>
      <c r="AD305" s="94"/>
      <c r="AE305" s="94"/>
      <c r="AF305" s="94"/>
      <c r="AG305" s="94"/>
      <c r="AH305" s="263"/>
    </row>
    <row r="306" spans="1:34" ht="26.25" customHeight="1">
      <c r="A306" s="45"/>
      <c r="B306" s="121"/>
      <c r="C306" s="192"/>
      <c r="D306" s="192"/>
      <c r="E306" s="94"/>
      <c r="F306" s="74"/>
      <c r="G306" s="45"/>
      <c r="H306" s="119"/>
      <c r="I306" s="128"/>
      <c r="J306" s="74"/>
      <c r="K306" s="74"/>
      <c r="L306" s="156"/>
      <c r="M306" s="90"/>
      <c r="N306" s="90"/>
      <c r="O306" s="90"/>
      <c r="P306" s="74"/>
      <c r="Q306" s="94"/>
      <c r="R306" s="94"/>
      <c r="S306" s="94"/>
      <c r="T306" s="90"/>
      <c r="U306" s="90"/>
      <c r="V306" s="90"/>
      <c r="W306" s="109"/>
      <c r="X306" s="106"/>
      <c r="Y306" s="106"/>
      <c r="Z306" s="106"/>
      <c r="AA306" s="106">
        <f t="shared" si="17"/>
        <v>0</v>
      </c>
      <c r="AB306" s="106">
        <f t="shared" si="18"/>
        <v>0</v>
      </c>
      <c r="AC306" s="94"/>
      <c r="AD306" s="94"/>
      <c r="AE306" s="94"/>
      <c r="AF306" s="94"/>
      <c r="AG306" s="94"/>
      <c r="AH306" s="263"/>
    </row>
    <row r="307" spans="1:34" ht="26.25" customHeight="1">
      <c r="A307" s="45"/>
      <c r="B307" s="121"/>
      <c r="C307" s="192"/>
      <c r="D307" s="192"/>
      <c r="E307" s="94"/>
      <c r="F307" s="74"/>
      <c r="G307" s="45"/>
      <c r="H307" s="119"/>
      <c r="I307" s="128"/>
      <c r="J307" s="74"/>
      <c r="K307" s="74"/>
      <c r="L307" s="156"/>
      <c r="M307" s="90"/>
      <c r="N307" s="90"/>
      <c r="O307" s="90"/>
      <c r="P307" s="74"/>
      <c r="Q307" s="94"/>
      <c r="R307" s="94"/>
      <c r="S307" s="94"/>
      <c r="T307" s="90"/>
      <c r="U307" s="90"/>
      <c r="V307" s="90"/>
      <c r="W307" s="109"/>
      <c r="X307" s="106"/>
      <c r="Y307" s="106"/>
      <c r="Z307" s="106"/>
      <c r="AA307" s="106">
        <f t="shared" si="17"/>
        <v>0</v>
      </c>
      <c r="AB307" s="106">
        <f t="shared" si="18"/>
        <v>0</v>
      </c>
      <c r="AC307" s="94"/>
      <c r="AD307" s="94"/>
      <c r="AE307" s="94"/>
      <c r="AF307" s="94"/>
      <c r="AG307" s="94"/>
      <c r="AH307" s="263"/>
    </row>
    <row r="308" spans="1:34" ht="26.25" customHeight="1">
      <c r="A308" s="45"/>
      <c r="B308" s="121"/>
      <c r="C308" s="192"/>
      <c r="D308" s="192"/>
      <c r="E308" s="94"/>
      <c r="F308" s="74"/>
      <c r="G308" s="45"/>
      <c r="H308" s="119"/>
      <c r="I308" s="128"/>
      <c r="J308" s="74"/>
      <c r="K308" s="74"/>
      <c r="L308" s="156"/>
      <c r="M308" s="90"/>
      <c r="N308" s="90"/>
      <c r="O308" s="90"/>
      <c r="P308" s="74"/>
      <c r="Q308" s="94"/>
      <c r="R308" s="94"/>
      <c r="S308" s="94"/>
      <c r="T308" s="90"/>
      <c r="U308" s="90"/>
      <c r="V308" s="90"/>
      <c r="W308" s="105"/>
      <c r="X308" s="106"/>
      <c r="Y308" s="106"/>
      <c r="Z308" s="106"/>
      <c r="AA308" s="106">
        <f t="shared" si="17"/>
        <v>0</v>
      </c>
      <c r="AB308" s="106">
        <f t="shared" si="18"/>
        <v>0</v>
      </c>
      <c r="AC308" s="94"/>
      <c r="AD308" s="94"/>
      <c r="AE308" s="94"/>
      <c r="AF308" s="94"/>
      <c r="AG308" s="94"/>
      <c r="AH308" s="263"/>
    </row>
    <row r="309" spans="1:34" ht="43.5" customHeight="1">
      <c r="A309" s="45"/>
      <c r="B309" s="121"/>
      <c r="C309" s="192"/>
      <c r="D309" s="192"/>
      <c r="E309" s="94"/>
      <c r="F309" s="74"/>
      <c r="G309" s="45"/>
      <c r="H309" s="119"/>
      <c r="I309" s="128"/>
      <c r="J309" s="74"/>
      <c r="K309" s="74"/>
      <c r="L309" s="162"/>
      <c r="M309" s="90"/>
      <c r="N309" s="90"/>
      <c r="O309" s="90"/>
      <c r="P309" s="94"/>
      <c r="Q309" s="94"/>
      <c r="R309" s="94"/>
      <c r="S309" s="94"/>
      <c r="T309" s="90"/>
      <c r="U309" s="90"/>
      <c r="V309" s="90"/>
      <c r="W309" s="105"/>
      <c r="X309" s="106"/>
      <c r="Y309" s="106"/>
      <c r="Z309" s="106"/>
      <c r="AA309" s="106">
        <f t="shared" si="17"/>
        <v>0</v>
      </c>
      <c r="AB309" s="106">
        <f t="shared" si="18"/>
        <v>0</v>
      </c>
      <c r="AC309" s="94"/>
      <c r="AD309" s="94"/>
      <c r="AE309" s="94"/>
      <c r="AF309" s="94"/>
      <c r="AG309" s="94"/>
      <c r="AH309" s="263"/>
    </row>
    <row r="310" spans="1:34" ht="43.5" customHeight="1">
      <c r="A310" s="45"/>
      <c r="B310" s="121"/>
      <c r="C310" s="192"/>
      <c r="D310" s="192"/>
      <c r="E310" s="94"/>
      <c r="F310" s="74"/>
      <c r="G310" s="45"/>
      <c r="H310" s="119"/>
      <c r="I310" s="128"/>
      <c r="J310" s="74"/>
      <c r="K310" s="74"/>
      <c r="L310" s="162"/>
      <c r="M310" s="90"/>
      <c r="N310" s="90"/>
      <c r="O310" s="90"/>
      <c r="P310" s="94"/>
      <c r="Q310" s="94"/>
      <c r="R310" s="94"/>
      <c r="S310" s="94"/>
      <c r="T310" s="90"/>
      <c r="U310" s="90"/>
      <c r="V310" s="90"/>
      <c r="W310" s="109"/>
      <c r="X310" s="106"/>
      <c r="Y310" s="106"/>
      <c r="Z310" s="106"/>
      <c r="AA310" s="106">
        <f t="shared" si="17"/>
        <v>0</v>
      </c>
      <c r="AB310" s="106">
        <f t="shared" si="18"/>
        <v>0</v>
      </c>
      <c r="AC310" s="111"/>
      <c r="AD310" s="94"/>
      <c r="AE310" s="94"/>
      <c r="AF310" s="94"/>
      <c r="AG310" s="94"/>
      <c r="AH310" s="263"/>
    </row>
    <row r="311" spans="1:34" ht="43.5" customHeight="1">
      <c r="A311" s="45"/>
      <c r="B311" s="121"/>
      <c r="C311" s="192"/>
      <c r="D311" s="192"/>
      <c r="E311" s="94"/>
      <c r="F311" s="74"/>
      <c r="G311" s="45"/>
      <c r="H311" s="119"/>
      <c r="I311" s="128"/>
      <c r="J311" s="74"/>
      <c r="K311" s="74"/>
      <c r="L311" s="162"/>
      <c r="M311" s="90"/>
      <c r="N311" s="90"/>
      <c r="O311" s="90"/>
      <c r="P311" s="94"/>
      <c r="Q311" s="94"/>
      <c r="R311" s="94"/>
      <c r="S311" s="94"/>
      <c r="T311" s="90"/>
      <c r="U311" s="90"/>
      <c r="V311" s="90"/>
      <c r="W311" s="109"/>
      <c r="X311" s="106"/>
      <c r="Y311" s="106"/>
      <c r="Z311" s="106"/>
      <c r="AA311" s="106">
        <f t="shared" si="17"/>
        <v>0</v>
      </c>
      <c r="AB311" s="106">
        <f t="shared" si="18"/>
        <v>0</v>
      </c>
      <c r="AC311" s="94"/>
      <c r="AD311" s="94"/>
      <c r="AE311" s="94"/>
      <c r="AF311" s="94"/>
      <c r="AG311" s="94"/>
      <c r="AH311" s="263"/>
    </row>
    <row r="312" spans="1:34" ht="26.25" customHeight="1">
      <c r="A312" s="260"/>
      <c r="B312" s="121"/>
      <c r="C312" s="192"/>
      <c r="D312" s="192"/>
      <c r="E312" s="94"/>
      <c r="F312" s="74"/>
      <c r="G312" s="45"/>
      <c r="H312" s="119"/>
      <c r="I312" s="128"/>
      <c r="J312" s="74"/>
      <c r="K312" s="74"/>
      <c r="L312" s="156"/>
      <c r="M312" s="90"/>
      <c r="N312" s="90"/>
      <c r="O312" s="90"/>
      <c r="P312" s="74"/>
      <c r="Q312" s="94"/>
      <c r="R312" s="94"/>
      <c r="S312" s="94"/>
      <c r="T312" s="90"/>
      <c r="U312" s="90"/>
      <c r="V312" s="90"/>
      <c r="W312" s="109"/>
      <c r="X312" s="106"/>
      <c r="Y312" s="106"/>
      <c r="Z312" s="106"/>
      <c r="AA312" s="106">
        <f t="shared" si="17"/>
        <v>0</v>
      </c>
      <c r="AB312" s="106">
        <f t="shared" si="18"/>
        <v>0</v>
      </c>
      <c r="AC312" s="94"/>
      <c r="AD312" s="94"/>
      <c r="AE312" s="94"/>
      <c r="AF312" s="94"/>
      <c r="AG312" s="94"/>
      <c r="AH312" s="263"/>
    </row>
    <row r="313" spans="1:34" ht="26.25" customHeight="1">
      <c r="A313" s="260"/>
      <c r="B313" s="121"/>
      <c r="C313" s="192"/>
      <c r="D313" s="192"/>
      <c r="E313" s="94"/>
      <c r="F313" s="74"/>
      <c r="G313" s="45"/>
      <c r="H313" s="119"/>
      <c r="I313" s="128"/>
      <c r="J313" s="74"/>
      <c r="K313" s="74"/>
      <c r="L313" s="156"/>
      <c r="M313" s="90"/>
      <c r="N313" s="90"/>
      <c r="O313" s="90"/>
      <c r="P313" s="74"/>
      <c r="Q313" s="94"/>
      <c r="R313" s="94"/>
      <c r="S313" s="94"/>
      <c r="T313" s="90"/>
      <c r="U313" s="90"/>
      <c r="V313" s="90"/>
      <c r="W313" s="109"/>
      <c r="X313" s="106"/>
      <c r="Y313" s="106"/>
      <c r="Z313" s="106"/>
      <c r="AA313" s="106">
        <f t="shared" si="17"/>
        <v>0</v>
      </c>
      <c r="AB313" s="106">
        <f t="shared" si="18"/>
        <v>0</v>
      </c>
      <c r="AC313" s="94"/>
      <c r="AD313" s="94"/>
      <c r="AE313" s="94"/>
      <c r="AF313" s="94"/>
      <c r="AG313" s="94"/>
      <c r="AH313" s="263"/>
    </row>
    <row r="314" spans="1:34" ht="26.25" customHeight="1">
      <c r="A314" s="260"/>
      <c r="B314" s="121"/>
      <c r="C314" s="192"/>
      <c r="D314" s="192"/>
      <c r="E314" s="94"/>
      <c r="F314" s="74"/>
      <c r="G314" s="45"/>
      <c r="H314" s="119"/>
      <c r="I314" s="128"/>
      <c r="J314" s="74"/>
      <c r="K314" s="74"/>
      <c r="L314" s="156"/>
      <c r="M314" s="90"/>
      <c r="N314" s="90"/>
      <c r="O314" s="90"/>
      <c r="P314" s="74"/>
      <c r="Q314" s="94"/>
      <c r="R314" s="94"/>
      <c r="S314" s="94"/>
      <c r="T314" s="90"/>
      <c r="U314" s="90"/>
      <c r="V314" s="90"/>
      <c r="W314" s="109"/>
      <c r="X314" s="106"/>
      <c r="Y314" s="106"/>
      <c r="Z314" s="106"/>
      <c r="AA314" s="106">
        <f t="shared" si="17"/>
        <v>0</v>
      </c>
      <c r="AB314" s="106">
        <f t="shared" si="18"/>
        <v>0</v>
      </c>
      <c r="AC314" s="94"/>
      <c r="AD314" s="94"/>
      <c r="AE314" s="94"/>
      <c r="AF314" s="94"/>
      <c r="AG314" s="94"/>
      <c r="AH314" s="263"/>
    </row>
    <row r="315" spans="1:34" ht="26.25" customHeight="1">
      <c r="A315" s="45"/>
      <c r="B315" s="121"/>
      <c r="C315" s="192"/>
      <c r="D315" s="192"/>
      <c r="E315" s="94"/>
      <c r="F315" s="74"/>
      <c r="G315" s="45"/>
      <c r="H315" s="119"/>
      <c r="I315" s="128"/>
      <c r="J315" s="74"/>
      <c r="K315" s="74"/>
      <c r="L315" s="156"/>
      <c r="M315" s="90"/>
      <c r="N315" s="90"/>
      <c r="O315" s="90"/>
      <c r="P315" s="74"/>
      <c r="Q315" s="94"/>
      <c r="R315" s="94"/>
      <c r="S315" s="94"/>
      <c r="T315" s="90"/>
      <c r="U315" s="90"/>
      <c r="V315" s="90"/>
      <c r="W315" s="109"/>
      <c r="X315" s="106"/>
      <c r="Y315" s="106"/>
      <c r="Z315" s="106"/>
      <c r="AA315" s="106">
        <f t="shared" si="17"/>
        <v>0</v>
      </c>
      <c r="AB315" s="106">
        <f t="shared" si="18"/>
        <v>0</v>
      </c>
      <c r="AC315" s="94"/>
      <c r="AD315" s="94"/>
      <c r="AE315" s="94"/>
      <c r="AF315" s="94"/>
      <c r="AG315" s="94"/>
      <c r="AH315" s="263"/>
    </row>
    <row r="316" spans="1:34" ht="26.25" customHeight="1">
      <c r="A316" s="45"/>
      <c r="B316" s="121"/>
      <c r="C316" s="192"/>
      <c r="D316" s="192"/>
      <c r="E316" s="94"/>
      <c r="F316" s="74"/>
      <c r="G316" s="45"/>
      <c r="H316" s="119"/>
      <c r="I316" s="128"/>
      <c r="J316" s="74"/>
      <c r="K316" s="74"/>
      <c r="L316" s="162"/>
      <c r="M316" s="90"/>
      <c r="N316" s="90"/>
      <c r="O316" s="90"/>
      <c r="P316" s="94"/>
      <c r="Q316" s="94"/>
      <c r="R316" s="94"/>
      <c r="S316" s="94"/>
      <c r="T316" s="90"/>
      <c r="U316" s="90"/>
      <c r="V316" s="90"/>
      <c r="W316" s="109"/>
      <c r="X316" s="106"/>
      <c r="Y316" s="106"/>
      <c r="Z316" s="106"/>
      <c r="AA316" s="106">
        <f t="shared" si="17"/>
        <v>0</v>
      </c>
      <c r="AB316" s="106">
        <f t="shared" si="18"/>
        <v>0</v>
      </c>
      <c r="AC316" s="94"/>
      <c r="AD316" s="94"/>
      <c r="AE316" s="94"/>
      <c r="AF316" s="94"/>
      <c r="AG316" s="94"/>
      <c r="AH316" s="263"/>
    </row>
    <row r="317" spans="1:34" ht="26.25" customHeight="1">
      <c r="A317" s="45"/>
      <c r="B317" s="121"/>
      <c r="C317" s="192"/>
      <c r="D317" s="192"/>
      <c r="E317" s="94"/>
      <c r="F317" s="74"/>
      <c r="G317" s="45"/>
      <c r="H317" s="119"/>
      <c r="I317" s="128"/>
      <c r="J317" s="74"/>
      <c r="K317" s="74"/>
      <c r="L317" s="162"/>
      <c r="M317" s="90"/>
      <c r="N317" s="90"/>
      <c r="O317" s="90"/>
      <c r="P317" s="94"/>
      <c r="Q317" s="94"/>
      <c r="R317" s="94"/>
      <c r="S317" s="94"/>
      <c r="T317" s="90"/>
      <c r="U317" s="90"/>
      <c r="V317" s="90"/>
      <c r="W317" s="109"/>
      <c r="X317" s="106"/>
      <c r="Y317" s="106"/>
      <c r="Z317" s="106"/>
      <c r="AA317" s="106">
        <f t="shared" si="17"/>
        <v>0</v>
      </c>
      <c r="AB317" s="106">
        <f t="shared" si="18"/>
        <v>0</v>
      </c>
      <c r="AC317" s="94"/>
      <c r="AD317" s="94"/>
      <c r="AE317" s="94"/>
      <c r="AF317" s="94"/>
      <c r="AG317" s="94"/>
      <c r="AH317" s="263"/>
    </row>
    <row r="318" spans="1:34" ht="26.25" customHeight="1">
      <c r="A318" s="45"/>
      <c r="B318" s="121"/>
      <c r="C318" s="192"/>
      <c r="D318" s="192"/>
      <c r="E318" s="94"/>
      <c r="F318" s="74"/>
      <c r="G318" s="45"/>
      <c r="H318" s="119"/>
      <c r="I318" s="128"/>
      <c r="J318" s="74"/>
      <c r="K318" s="74"/>
      <c r="L318" s="162"/>
      <c r="M318" s="90"/>
      <c r="N318" s="90"/>
      <c r="O318" s="90"/>
      <c r="P318" s="94"/>
      <c r="Q318" s="94"/>
      <c r="R318" s="94"/>
      <c r="S318" s="94"/>
      <c r="T318" s="90"/>
      <c r="U318" s="90"/>
      <c r="V318" s="90"/>
      <c r="W318" s="109"/>
      <c r="X318" s="106"/>
      <c r="Y318" s="106"/>
      <c r="Z318" s="106"/>
      <c r="AA318" s="106">
        <f t="shared" si="17"/>
        <v>0</v>
      </c>
      <c r="AB318" s="106">
        <f t="shared" si="18"/>
        <v>0</v>
      </c>
      <c r="AC318" s="94"/>
      <c r="AD318" s="94"/>
      <c r="AE318" s="94"/>
      <c r="AF318" s="94"/>
      <c r="AG318" s="94"/>
      <c r="AH318" s="263"/>
    </row>
    <row r="319" spans="1:34" ht="26.25" customHeight="1">
      <c r="A319" s="45"/>
      <c r="B319" s="121"/>
      <c r="C319" s="192"/>
      <c r="D319" s="192"/>
      <c r="E319" s="94"/>
      <c r="F319" s="74"/>
      <c r="G319" s="45"/>
      <c r="H319" s="119"/>
      <c r="I319" s="128"/>
      <c r="J319" s="158"/>
      <c r="K319" s="74"/>
      <c r="L319" s="156"/>
      <c r="M319" s="90"/>
      <c r="N319" s="90"/>
      <c r="O319" s="90"/>
      <c r="P319" s="94"/>
      <c r="Q319" s="94"/>
      <c r="R319" s="94"/>
      <c r="S319" s="94"/>
      <c r="T319" s="90"/>
      <c r="U319" s="90"/>
      <c r="V319" s="90"/>
      <c r="W319" s="109"/>
      <c r="X319" s="106"/>
      <c r="Y319" s="106"/>
      <c r="Z319" s="106"/>
      <c r="AA319" s="106">
        <f t="shared" si="17"/>
        <v>0</v>
      </c>
      <c r="AB319" s="106">
        <f t="shared" si="18"/>
        <v>0</v>
      </c>
      <c r="AC319" s="94"/>
      <c r="AD319" s="94"/>
      <c r="AE319" s="94"/>
      <c r="AF319" s="94"/>
      <c r="AG319" s="94"/>
      <c r="AH319" s="263"/>
    </row>
    <row r="320" spans="1:34" ht="26.25" customHeight="1">
      <c r="A320" s="45"/>
      <c r="B320" s="121"/>
      <c r="C320" s="192"/>
      <c r="D320" s="192"/>
      <c r="E320" s="94"/>
      <c r="F320" s="74"/>
      <c r="G320" s="45"/>
      <c r="H320" s="119"/>
      <c r="I320" s="128"/>
      <c r="J320" s="158"/>
      <c r="K320" s="74"/>
      <c r="L320" s="156"/>
      <c r="M320" s="90"/>
      <c r="N320" s="90"/>
      <c r="O320" s="90"/>
      <c r="P320" s="94"/>
      <c r="Q320" s="94"/>
      <c r="R320" s="94"/>
      <c r="S320" s="94"/>
      <c r="T320" s="90"/>
      <c r="U320" s="90"/>
      <c r="V320" s="90"/>
      <c r="W320" s="105"/>
      <c r="X320" s="106"/>
      <c r="Y320" s="106"/>
      <c r="Z320" s="106"/>
      <c r="AA320" s="106">
        <f t="shared" si="17"/>
        <v>0</v>
      </c>
      <c r="AB320" s="106">
        <f t="shared" si="18"/>
        <v>0</v>
      </c>
      <c r="AC320" s="94"/>
      <c r="AD320" s="94"/>
      <c r="AE320" s="94"/>
      <c r="AF320" s="94"/>
      <c r="AG320" s="94"/>
      <c r="AH320" s="263"/>
    </row>
    <row r="321" spans="1:34" ht="26.25" customHeight="1">
      <c r="A321" s="45"/>
      <c r="B321" s="121"/>
      <c r="C321" s="192"/>
      <c r="D321" s="192"/>
      <c r="E321" s="94"/>
      <c r="F321" s="74"/>
      <c r="G321" s="45"/>
      <c r="H321" s="119"/>
      <c r="I321" s="128"/>
      <c r="J321" s="158"/>
      <c r="K321" s="74"/>
      <c r="L321" s="156"/>
      <c r="M321" s="90"/>
      <c r="N321" s="90"/>
      <c r="O321" s="90"/>
      <c r="P321" s="94"/>
      <c r="Q321" s="94"/>
      <c r="R321" s="94"/>
      <c r="S321" s="94"/>
      <c r="T321" s="90"/>
      <c r="U321" s="90"/>
      <c r="V321" s="90"/>
      <c r="W321" s="105"/>
      <c r="X321" s="106"/>
      <c r="Y321" s="106"/>
      <c r="Z321" s="106"/>
      <c r="AA321" s="106">
        <f t="shared" si="17"/>
        <v>0</v>
      </c>
      <c r="AB321" s="106">
        <f t="shared" si="18"/>
        <v>0</v>
      </c>
      <c r="AC321" s="94"/>
      <c r="AD321" s="94"/>
      <c r="AE321" s="94"/>
      <c r="AF321" s="94"/>
      <c r="AG321" s="94"/>
      <c r="AH321" s="263"/>
    </row>
    <row r="322" spans="1:34" ht="26.25" customHeight="1">
      <c r="A322" s="45"/>
      <c r="B322" s="121"/>
      <c r="C322" s="192"/>
      <c r="D322" s="192"/>
      <c r="E322" s="94"/>
      <c r="F322" s="74"/>
      <c r="G322" s="45"/>
      <c r="H322" s="119"/>
      <c r="I322" s="128"/>
      <c r="J322" s="74"/>
      <c r="K322" s="74"/>
      <c r="L322" s="156"/>
      <c r="M322" s="90"/>
      <c r="N322" s="90"/>
      <c r="O322" s="90"/>
      <c r="P322" s="94"/>
      <c r="Q322" s="94"/>
      <c r="R322" s="94"/>
      <c r="S322" s="94"/>
      <c r="T322" s="90"/>
      <c r="U322" s="90"/>
      <c r="V322" s="90"/>
      <c r="W322" s="105"/>
      <c r="X322" s="106"/>
      <c r="Y322" s="106"/>
      <c r="Z322" s="106"/>
      <c r="AA322" s="106">
        <f t="shared" si="17"/>
        <v>0</v>
      </c>
      <c r="AB322" s="106">
        <f t="shared" si="18"/>
        <v>0</v>
      </c>
      <c r="AC322" s="94"/>
      <c r="AD322" s="94"/>
      <c r="AE322" s="94"/>
      <c r="AF322" s="94"/>
      <c r="AG322" s="94"/>
      <c r="AH322" s="263"/>
    </row>
    <row r="323" spans="1:34" ht="26.25" customHeight="1">
      <c r="A323" s="45"/>
      <c r="B323" s="121"/>
      <c r="C323" s="192"/>
      <c r="D323" s="192"/>
      <c r="E323" s="94"/>
      <c r="F323" s="74"/>
      <c r="G323" s="45"/>
      <c r="H323" s="119"/>
      <c r="I323" s="128"/>
      <c r="J323" s="74"/>
      <c r="K323" s="74"/>
      <c r="L323" s="156"/>
      <c r="M323" s="90"/>
      <c r="N323" s="90"/>
      <c r="O323" s="90"/>
      <c r="P323" s="94"/>
      <c r="Q323" s="94"/>
      <c r="R323" s="94"/>
      <c r="S323" s="94"/>
      <c r="T323" s="90"/>
      <c r="U323" s="90"/>
      <c r="V323" s="90"/>
      <c r="W323" s="105"/>
      <c r="X323" s="106"/>
      <c r="Y323" s="106"/>
      <c r="Z323" s="106"/>
      <c r="AA323" s="106">
        <f t="shared" si="17"/>
        <v>0</v>
      </c>
      <c r="AB323" s="106">
        <f t="shared" si="18"/>
        <v>0</v>
      </c>
      <c r="AC323" s="94"/>
      <c r="AD323" s="94"/>
      <c r="AE323" s="94"/>
      <c r="AF323" s="94"/>
      <c r="AG323" s="94"/>
      <c r="AH323" s="263"/>
    </row>
    <row r="324" spans="1:34" ht="26.25" customHeight="1">
      <c r="A324" s="45"/>
      <c r="B324" s="121"/>
      <c r="C324" s="192"/>
      <c r="D324" s="192"/>
      <c r="E324" s="94"/>
      <c r="F324" s="74"/>
      <c r="G324" s="45"/>
      <c r="H324" s="119"/>
      <c r="I324" s="128"/>
      <c r="J324" s="74"/>
      <c r="K324" s="74"/>
      <c r="L324" s="156"/>
      <c r="M324" s="90"/>
      <c r="N324" s="90"/>
      <c r="O324" s="90"/>
      <c r="P324" s="94"/>
      <c r="Q324" s="94"/>
      <c r="R324" s="94"/>
      <c r="S324" s="94"/>
      <c r="T324" s="90"/>
      <c r="U324" s="90"/>
      <c r="V324" s="90"/>
      <c r="W324" s="105"/>
      <c r="X324" s="106"/>
      <c r="Y324" s="106"/>
      <c r="Z324" s="106"/>
      <c r="AA324" s="106">
        <f t="shared" si="17"/>
        <v>0</v>
      </c>
      <c r="AB324" s="106">
        <f t="shared" si="18"/>
        <v>0</v>
      </c>
      <c r="AC324" s="94"/>
      <c r="AD324" s="94"/>
      <c r="AE324" s="94"/>
      <c r="AF324" s="94"/>
      <c r="AG324" s="94"/>
      <c r="AH324" s="263"/>
    </row>
    <row r="325" spans="1:34" ht="26.25" customHeight="1">
      <c r="A325" s="45"/>
      <c r="B325" s="121"/>
      <c r="C325" s="192"/>
      <c r="D325" s="192"/>
      <c r="E325" s="94"/>
      <c r="F325" s="74"/>
      <c r="G325" s="45"/>
      <c r="H325" s="119"/>
      <c r="I325" s="128"/>
      <c r="J325" s="74"/>
      <c r="K325" s="74"/>
      <c r="L325" s="156"/>
      <c r="M325" s="90"/>
      <c r="N325" s="90"/>
      <c r="O325" s="90"/>
      <c r="P325" s="94"/>
      <c r="Q325" s="94"/>
      <c r="R325" s="94"/>
      <c r="S325" s="94"/>
      <c r="T325" s="90"/>
      <c r="U325" s="90"/>
      <c r="V325" s="90"/>
      <c r="W325" s="105"/>
      <c r="X325" s="106"/>
      <c r="Y325" s="106"/>
      <c r="Z325" s="106"/>
      <c r="AA325" s="106">
        <f t="shared" si="17"/>
        <v>0</v>
      </c>
      <c r="AB325" s="106">
        <f t="shared" si="18"/>
        <v>0</v>
      </c>
      <c r="AC325" s="94"/>
      <c r="AD325" s="94"/>
      <c r="AE325" s="94"/>
      <c r="AF325" s="94"/>
      <c r="AG325" s="94"/>
      <c r="AH325" s="263"/>
    </row>
    <row r="326" spans="1:34" ht="26.25" customHeight="1">
      <c r="A326" s="45"/>
      <c r="B326" s="121"/>
      <c r="C326" s="192"/>
      <c r="D326" s="192"/>
      <c r="E326" s="94"/>
      <c r="F326" s="74"/>
      <c r="G326" s="45"/>
      <c r="H326" s="119"/>
      <c r="I326" s="133"/>
      <c r="J326" s="158"/>
      <c r="K326" s="74"/>
      <c r="L326" s="162"/>
      <c r="M326" s="90"/>
      <c r="N326" s="90"/>
      <c r="O326" s="90"/>
      <c r="P326" s="94"/>
      <c r="Q326" s="94"/>
      <c r="R326" s="94"/>
      <c r="S326" s="94"/>
      <c r="T326" s="90"/>
      <c r="U326" s="90"/>
      <c r="V326" s="90"/>
      <c r="W326" s="109"/>
      <c r="X326" s="106"/>
      <c r="Y326" s="106"/>
      <c r="Z326" s="106"/>
      <c r="AA326" s="106">
        <f t="shared" si="17"/>
        <v>0</v>
      </c>
      <c r="AB326" s="106">
        <f t="shared" si="18"/>
        <v>0</v>
      </c>
      <c r="AC326" s="94"/>
      <c r="AD326" s="94"/>
      <c r="AE326" s="94"/>
      <c r="AF326" s="94"/>
      <c r="AG326" s="94"/>
      <c r="AH326" s="263"/>
    </row>
    <row r="327" spans="1:34" ht="26.25" customHeight="1">
      <c r="A327" s="45"/>
      <c r="B327" s="121"/>
      <c r="C327" s="192"/>
      <c r="D327" s="192"/>
      <c r="E327" s="94"/>
      <c r="F327" s="74"/>
      <c r="G327" s="45"/>
      <c r="H327" s="119"/>
      <c r="I327" s="128"/>
      <c r="J327" s="158"/>
      <c r="K327" s="74"/>
      <c r="L327" s="162"/>
      <c r="M327" s="90"/>
      <c r="N327" s="90"/>
      <c r="O327" s="90"/>
      <c r="P327" s="94"/>
      <c r="Q327" s="94"/>
      <c r="R327" s="94"/>
      <c r="S327" s="94"/>
      <c r="T327" s="90"/>
      <c r="U327" s="90"/>
      <c r="V327" s="90"/>
      <c r="W327" s="109"/>
      <c r="X327" s="106"/>
      <c r="Y327" s="106"/>
      <c r="Z327" s="106"/>
      <c r="AA327" s="106">
        <f t="shared" si="17"/>
        <v>0</v>
      </c>
      <c r="AB327" s="106">
        <f t="shared" si="18"/>
        <v>0</v>
      </c>
      <c r="AC327" s="94"/>
      <c r="AD327" s="94"/>
      <c r="AE327" s="94"/>
      <c r="AF327" s="94"/>
      <c r="AG327" s="94"/>
      <c r="AH327" s="263"/>
    </row>
    <row r="328" spans="1:34" ht="26.25" customHeight="1">
      <c r="A328" s="45"/>
      <c r="B328" s="121"/>
      <c r="C328" s="192"/>
      <c r="D328" s="192"/>
      <c r="E328" s="94"/>
      <c r="F328" s="74"/>
      <c r="G328" s="45"/>
      <c r="H328" s="119"/>
      <c r="I328" s="133"/>
      <c r="J328" s="158"/>
      <c r="K328" s="74"/>
      <c r="L328" s="162"/>
      <c r="M328" s="90"/>
      <c r="N328" s="90"/>
      <c r="O328" s="90"/>
      <c r="P328" s="94"/>
      <c r="Q328" s="94"/>
      <c r="R328" s="94"/>
      <c r="S328" s="94"/>
      <c r="T328" s="90"/>
      <c r="U328" s="90"/>
      <c r="V328" s="90"/>
      <c r="W328" s="109"/>
      <c r="X328" s="106"/>
      <c r="Y328" s="106"/>
      <c r="Z328" s="106"/>
      <c r="AA328" s="106">
        <f t="shared" si="17"/>
        <v>0</v>
      </c>
      <c r="AB328" s="106">
        <f t="shared" si="18"/>
        <v>0</v>
      </c>
      <c r="AC328" s="94"/>
      <c r="AD328" s="94"/>
      <c r="AE328" s="94"/>
      <c r="AF328" s="94"/>
      <c r="AG328" s="94"/>
      <c r="AH328" s="263"/>
    </row>
    <row r="329" spans="1:34" ht="26.25" customHeight="1">
      <c r="A329" s="45"/>
      <c r="B329" s="121"/>
      <c r="C329" s="192"/>
      <c r="D329" s="192"/>
      <c r="E329" s="94"/>
      <c r="F329" s="74"/>
      <c r="G329" s="45"/>
      <c r="H329" s="119"/>
      <c r="I329" s="133"/>
      <c r="J329" s="158"/>
      <c r="K329" s="74"/>
      <c r="L329" s="162"/>
      <c r="M329" s="90"/>
      <c r="N329" s="90"/>
      <c r="O329" s="90"/>
      <c r="P329" s="94"/>
      <c r="Q329" s="94"/>
      <c r="R329" s="94"/>
      <c r="S329" s="94"/>
      <c r="T329" s="90"/>
      <c r="U329" s="90"/>
      <c r="V329" s="90"/>
      <c r="W329" s="105"/>
      <c r="X329" s="106"/>
      <c r="Y329" s="106"/>
      <c r="Z329" s="106"/>
      <c r="AA329" s="106">
        <f t="shared" si="17"/>
        <v>0</v>
      </c>
      <c r="AB329" s="106">
        <f t="shared" si="18"/>
        <v>0</v>
      </c>
      <c r="AC329" s="94"/>
      <c r="AD329" s="94"/>
      <c r="AE329" s="94"/>
      <c r="AF329" s="94"/>
      <c r="AG329" s="94"/>
      <c r="AH329" s="263"/>
    </row>
    <row r="330" spans="1:34" ht="26.25" customHeight="1">
      <c r="A330" s="45"/>
      <c r="B330" s="121"/>
      <c r="C330" s="192"/>
      <c r="D330" s="192"/>
      <c r="E330" s="94"/>
      <c r="F330" s="74"/>
      <c r="G330" s="45"/>
      <c r="H330" s="119"/>
      <c r="I330" s="128"/>
      <c r="J330" s="158"/>
      <c r="K330" s="74"/>
      <c r="L330" s="162"/>
      <c r="M330" s="90"/>
      <c r="N330" s="90"/>
      <c r="O330" s="90"/>
      <c r="P330" s="94"/>
      <c r="Q330" s="94"/>
      <c r="R330" s="94"/>
      <c r="S330" s="94"/>
      <c r="T330" s="90"/>
      <c r="U330" s="90"/>
      <c r="V330" s="90"/>
      <c r="W330" s="105"/>
      <c r="X330" s="106"/>
      <c r="Y330" s="106"/>
      <c r="Z330" s="106"/>
      <c r="AA330" s="106">
        <f t="shared" si="17"/>
        <v>0</v>
      </c>
      <c r="AB330" s="106">
        <f t="shared" si="18"/>
        <v>0</v>
      </c>
      <c r="AC330" s="94"/>
      <c r="AD330" s="94"/>
      <c r="AE330" s="94"/>
      <c r="AF330" s="94"/>
      <c r="AG330" s="94"/>
      <c r="AH330" s="263"/>
    </row>
    <row r="331" spans="1:34" ht="26.25" customHeight="1">
      <c r="A331" s="45"/>
      <c r="B331" s="121"/>
      <c r="C331" s="192"/>
      <c r="D331" s="192"/>
      <c r="E331" s="94"/>
      <c r="F331" s="74"/>
      <c r="G331" s="45"/>
      <c r="H331" s="119"/>
      <c r="I331" s="128"/>
      <c r="J331" s="158"/>
      <c r="K331" s="74"/>
      <c r="L331" s="162"/>
      <c r="M331" s="90"/>
      <c r="N331" s="90"/>
      <c r="O331" s="90"/>
      <c r="P331" s="94"/>
      <c r="Q331" s="94"/>
      <c r="R331" s="94"/>
      <c r="S331" s="94"/>
      <c r="T331" s="90"/>
      <c r="U331" s="90"/>
      <c r="V331" s="90"/>
      <c r="W331" s="105"/>
      <c r="X331" s="106"/>
      <c r="Y331" s="106"/>
      <c r="Z331" s="106"/>
      <c r="AA331" s="106">
        <f t="shared" si="17"/>
        <v>0</v>
      </c>
      <c r="AB331" s="106">
        <f t="shared" si="18"/>
        <v>0</v>
      </c>
      <c r="AC331" s="94"/>
      <c r="AD331" s="94"/>
      <c r="AE331" s="94"/>
      <c r="AF331" s="94"/>
      <c r="AG331" s="94"/>
      <c r="AH331" s="263"/>
    </row>
    <row r="332" spans="1:34" ht="26.25" customHeight="1">
      <c r="A332" s="45"/>
      <c r="B332" s="121"/>
      <c r="C332" s="192"/>
      <c r="D332" s="192"/>
      <c r="E332" s="94"/>
      <c r="F332" s="74"/>
      <c r="G332" s="45"/>
      <c r="H332" s="119"/>
      <c r="I332" s="128"/>
      <c r="J332" s="158"/>
      <c r="K332" s="74"/>
      <c r="L332" s="162"/>
      <c r="M332" s="90"/>
      <c r="N332" s="90"/>
      <c r="O332" s="90"/>
      <c r="P332" s="94"/>
      <c r="Q332" s="94"/>
      <c r="R332" s="94"/>
      <c r="S332" s="94"/>
      <c r="T332" s="90"/>
      <c r="U332" s="90"/>
      <c r="V332" s="90"/>
      <c r="W332" s="105"/>
      <c r="X332" s="106"/>
      <c r="Y332" s="106"/>
      <c r="Z332" s="106"/>
      <c r="AA332" s="106">
        <f t="shared" si="17"/>
        <v>0</v>
      </c>
      <c r="AB332" s="106">
        <f t="shared" si="18"/>
        <v>0</v>
      </c>
      <c r="AC332" s="94"/>
      <c r="AD332" s="94"/>
      <c r="AE332" s="94"/>
      <c r="AF332" s="94"/>
      <c r="AG332" s="94"/>
      <c r="AH332" s="263"/>
    </row>
    <row r="333" spans="1:34" ht="26.25" customHeight="1">
      <c r="A333" s="45"/>
      <c r="B333" s="121"/>
      <c r="C333" s="192"/>
      <c r="D333" s="192"/>
      <c r="E333" s="94"/>
      <c r="F333" s="74"/>
      <c r="G333" s="45"/>
      <c r="H333" s="119"/>
      <c r="I333" s="133"/>
      <c r="J333" s="158"/>
      <c r="K333" s="74"/>
      <c r="L333" s="162"/>
      <c r="M333" s="90"/>
      <c r="N333" s="90"/>
      <c r="O333" s="90"/>
      <c r="P333" s="94"/>
      <c r="Q333" s="94"/>
      <c r="R333" s="94"/>
      <c r="S333" s="94"/>
      <c r="T333" s="90"/>
      <c r="U333" s="90"/>
      <c r="V333" s="90"/>
      <c r="W333" s="105"/>
      <c r="X333" s="106"/>
      <c r="Y333" s="106"/>
      <c r="Z333" s="106"/>
      <c r="AA333" s="106">
        <f t="shared" si="17"/>
        <v>0</v>
      </c>
      <c r="AB333" s="106">
        <f t="shared" si="18"/>
        <v>0</v>
      </c>
      <c r="AC333" s="94"/>
      <c r="AD333" s="94"/>
      <c r="AE333" s="94"/>
      <c r="AF333" s="94"/>
      <c r="AG333" s="94"/>
      <c r="AH333" s="263"/>
    </row>
    <row r="334" spans="1:34" ht="26.25" customHeight="1">
      <c r="A334" s="45"/>
      <c r="B334" s="121"/>
      <c r="C334" s="192"/>
      <c r="D334" s="192"/>
      <c r="E334" s="94"/>
      <c r="F334" s="74"/>
      <c r="G334" s="45"/>
      <c r="H334" s="119"/>
      <c r="I334" s="128"/>
      <c r="J334" s="158"/>
      <c r="K334" s="74"/>
      <c r="L334" s="162"/>
      <c r="M334" s="90"/>
      <c r="N334" s="90"/>
      <c r="O334" s="90"/>
      <c r="P334" s="94"/>
      <c r="Q334" s="94"/>
      <c r="R334" s="94"/>
      <c r="S334" s="94"/>
      <c r="T334" s="90"/>
      <c r="U334" s="90"/>
      <c r="V334" s="90"/>
      <c r="W334" s="105"/>
      <c r="X334" s="106"/>
      <c r="Y334" s="106"/>
      <c r="Z334" s="106"/>
      <c r="AA334" s="106">
        <f t="shared" si="17"/>
        <v>0</v>
      </c>
      <c r="AB334" s="106">
        <f t="shared" si="18"/>
        <v>0</v>
      </c>
      <c r="AC334" s="94"/>
      <c r="AD334" s="94"/>
      <c r="AE334" s="94"/>
      <c r="AF334" s="94"/>
      <c r="AG334" s="94"/>
      <c r="AH334" s="263"/>
    </row>
    <row r="335" spans="1:34" ht="26.25" customHeight="1">
      <c r="A335" s="45"/>
      <c r="B335" s="121"/>
      <c r="C335" s="192"/>
      <c r="D335" s="192"/>
      <c r="E335" s="94"/>
      <c r="F335" s="74"/>
      <c r="G335" s="45"/>
      <c r="H335" s="119"/>
      <c r="I335" s="133"/>
      <c r="J335" s="158"/>
      <c r="K335" s="74"/>
      <c r="L335" s="162"/>
      <c r="M335" s="90"/>
      <c r="N335" s="90"/>
      <c r="O335" s="90"/>
      <c r="P335" s="94"/>
      <c r="Q335" s="94"/>
      <c r="R335" s="94"/>
      <c r="S335" s="94"/>
      <c r="T335" s="90"/>
      <c r="U335" s="90"/>
      <c r="V335" s="90"/>
      <c r="W335" s="105"/>
      <c r="X335" s="106"/>
      <c r="Y335" s="106"/>
      <c r="Z335" s="106"/>
      <c r="AA335" s="106"/>
      <c r="AB335" s="106"/>
      <c r="AC335" s="94"/>
      <c r="AD335" s="94"/>
      <c r="AE335" s="94"/>
      <c r="AF335" s="94"/>
      <c r="AG335" s="94"/>
      <c r="AH335" s="263"/>
    </row>
    <row r="336" spans="1:34" ht="26.25" customHeight="1">
      <c r="A336" s="45"/>
      <c r="B336" s="121"/>
      <c r="C336" s="192"/>
      <c r="D336" s="192"/>
      <c r="E336" s="94"/>
      <c r="F336" s="74"/>
      <c r="G336" s="45"/>
      <c r="H336" s="119"/>
      <c r="I336" s="133"/>
      <c r="J336" s="158"/>
      <c r="K336" s="74"/>
      <c r="L336" s="156"/>
      <c r="M336" s="90"/>
      <c r="N336" s="90"/>
      <c r="O336" s="90"/>
      <c r="P336" s="94"/>
      <c r="Q336" s="94"/>
      <c r="R336" s="94"/>
      <c r="S336" s="94"/>
      <c r="T336" s="90"/>
      <c r="U336" s="90"/>
      <c r="V336" s="90"/>
      <c r="W336" s="105"/>
      <c r="X336" s="106"/>
      <c r="Y336" s="106"/>
      <c r="Z336" s="106"/>
      <c r="AA336" s="106"/>
      <c r="AB336" s="106"/>
      <c r="AC336" s="94"/>
      <c r="AD336" s="94"/>
      <c r="AE336" s="94"/>
      <c r="AF336" s="94"/>
      <c r="AG336" s="94"/>
      <c r="AH336" s="263"/>
    </row>
    <row r="337" spans="1:34" ht="26.25" customHeight="1">
      <c r="A337" s="45"/>
      <c r="B337" s="121"/>
      <c r="C337" s="192"/>
      <c r="D337" s="192"/>
      <c r="E337" s="94"/>
      <c r="F337" s="74"/>
      <c r="G337" s="45"/>
      <c r="H337" s="119"/>
      <c r="I337" s="133"/>
      <c r="J337" s="158"/>
      <c r="K337" s="74"/>
      <c r="L337" s="156"/>
      <c r="M337" s="90"/>
      <c r="N337" s="90"/>
      <c r="O337" s="90"/>
      <c r="P337" s="94"/>
      <c r="Q337" s="94"/>
      <c r="R337" s="94"/>
      <c r="S337" s="94"/>
      <c r="T337" s="90"/>
      <c r="U337" s="90"/>
      <c r="V337" s="90"/>
      <c r="W337" s="105"/>
      <c r="X337" s="106"/>
      <c r="Y337" s="106"/>
      <c r="Z337" s="106"/>
      <c r="AA337" s="106"/>
      <c r="AB337" s="106"/>
      <c r="AC337" s="94"/>
      <c r="AD337" s="94"/>
      <c r="AE337" s="94"/>
      <c r="AF337" s="94"/>
      <c r="AG337" s="94"/>
      <c r="AH337" s="263"/>
    </row>
    <row r="338" spans="1:34" ht="26.25" customHeight="1">
      <c r="A338" s="45"/>
      <c r="B338" s="121"/>
      <c r="C338" s="192"/>
      <c r="D338" s="192"/>
      <c r="E338" s="94"/>
      <c r="F338" s="74"/>
      <c r="G338" s="45"/>
      <c r="H338" s="119"/>
      <c r="I338" s="133"/>
      <c r="J338" s="158"/>
      <c r="K338" s="74"/>
      <c r="L338" s="156"/>
      <c r="M338" s="90"/>
      <c r="N338" s="90"/>
      <c r="O338" s="90"/>
      <c r="P338" s="94"/>
      <c r="Q338" s="94"/>
      <c r="R338" s="94"/>
      <c r="S338" s="94"/>
      <c r="T338" s="90"/>
      <c r="U338" s="90"/>
      <c r="V338" s="90"/>
      <c r="W338" s="105"/>
      <c r="X338" s="106"/>
      <c r="Y338" s="106"/>
      <c r="Z338" s="106"/>
      <c r="AA338" s="106"/>
      <c r="AB338" s="106"/>
      <c r="AC338" s="94"/>
      <c r="AD338" s="94"/>
      <c r="AE338" s="94"/>
      <c r="AF338" s="94"/>
      <c r="AG338" s="94"/>
      <c r="AH338" s="263"/>
    </row>
    <row r="339" spans="1:34" ht="26.25" customHeight="1">
      <c r="A339" s="45"/>
      <c r="B339" s="121"/>
      <c r="C339" s="192"/>
      <c r="D339" s="192"/>
      <c r="E339" s="94"/>
      <c r="F339" s="74"/>
      <c r="G339" s="45"/>
      <c r="H339" s="119"/>
      <c r="I339" s="133"/>
      <c r="J339" s="158"/>
      <c r="K339" s="74"/>
      <c r="L339" s="156"/>
      <c r="M339" s="90"/>
      <c r="N339" s="90"/>
      <c r="O339" s="90"/>
      <c r="P339" s="94"/>
      <c r="Q339" s="94"/>
      <c r="R339" s="94"/>
      <c r="S339" s="94"/>
      <c r="T339" s="90"/>
      <c r="U339" s="90"/>
      <c r="V339" s="90"/>
      <c r="W339" s="105"/>
      <c r="X339" s="106"/>
      <c r="Y339" s="106"/>
      <c r="Z339" s="106"/>
      <c r="AA339" s="106"/>
      <c r="AB339" s="106"/>
      <c r="AC339" s="94"/>
      <c r="AD339" s="94"/>
      <c r="AE339" s="94"/>
      <c r="AF339" s="94"/>
      <c r="AG339" s="94"/>
      <c r="AH339" s="263"/>
    </row>
    <row r="340" spans="1:34" ht="26.25" customHeight="1">
      <c r="A340" s="90"/>
      <c r="B340" s="88"/>
      <c r="C340" s="192"/>
      <c r="D340" s="192"/>
      <c r="E340" s="94"/>
      <c r="F340" s="74"/>
      <c r="G340" s="45"/>
      <c r="H340" s="119"/>
      <c r="I340" s="133"/>
      <c r="J340" s="158"/>
      <c r="K340" s="74"/>
      <c r="L340" s="156"/>
      <c r="M340" s="90"/>
      <c r="N340" s="90"/>
      <c r="O340" s="90"/>
      <c r="P340" s="94"/>
      <c r="Q340" s="94"/>
      <c r="R340" s="94"/>
      <c r="S340" s="94"/>
      <c r="T340" s="90"/>
      <c r="U340" s="90"/>
      <c r="V340" s="90"/>
      <c r="W340" s="105"/>
      <c r="X340" s="106"/>
      <c r="Y340" s="106"/>
      <c r="Z340" s="106"/>
      <c r="AA340" s="106"/>
      <c r="AB340" s="106"/>
      <c r="AC340" s="94"/>
      <c r="AD340" s="94"/>
      <c r="AE340" s="94"/>
      <c r="AF340" s="94"/>
      <c r="AG340" s="94"/>
      <c r="AH340" s="263"/>
    </row>
    <row r="341" spans="1:34" ht="26.25" customHeight="1">
      <c r="A341" s="90"/>
      <c r="B341" s="88"/>
      <c r="C341" s="192"/>
      <c r="D341" s="192"/>
      <c r="E341" s="94"/>
      <c r="F341" s="74"/>
      <c r="G341" s="45"/>
      <c r="H341" s="119"/>
      <c r="I341" s="133"/>
      <c r="J341" s="158"/>
      <c r="K341" s="74"/>
      <c r="L341" s="156"/>
      <c r="M341" s="90"/>
      <c r="N341" s="90"/>
      <c r="O341" s="90"/>
      <c r="P341" s="94"/>
      <c r="Q341" s="94"/>
      <c r="R341" s="94"/>
      <c r="S341" s="94"/>
      <c r="T341" s="90"/>
      <c r="U341" s="90"/>
      <c r="V341" s="90"/>
      <c r="W341" s="105"/>
      <c r="X341" s="106"/>
      <c r="Y341" s="106"/>
      <c r="Z341" s="106"/>
      <c r="AA341" s="106"/>
      <c r="AB341" s="106"/>
      <c r="AC341" s="94"/>
      <c r="AD341" s="94"/>
      <c r="AE341" s="94"/>
      <c r="AF341" s="94"/>
      <c r="AG341" s="94"/>
      <c r="AH341" s="263"/>
    </row>
    <row r="342" spans="1:34" ht="26.25" customHeight="1">
      <c r="A342" s="90"/>
      <c r="B342" s="88"/>
      <c r="C342" s="192"/>
      <c r="D342" s="192"/>
      <c r="E342" s="94"/>
      <c r="F342" s="74"/>
      <c r="G342" s="45"/>
      <c r="H342" s="119"/>
      <c r="I342" s="133"/>
      <c r="J342" s="158"/>
      <c r="K342" s="74"/>
      <c r="L342" s="156"/>
      <c r="M342" s="90"/>
      <c r="N342" s="90"/>
      <c r="O342" s="90"/>
      <c r="P342" s="94"/>
      <c r="Q342" s="94"/>
      <c r="R342" s="94"/>
      <c r="S342" s="94"/>
      <c r="T342" s="90"/>
      <c r="U342" s="90"/>
      <c r="V342" s="90"/>
      <c r="W342" s="109"/>
      <c r="X342" s="106"/>
      <c r="Y342" s="106"/>
      <c r="Z342" s="106"/>
      <c r="AA342" s="106"/>
      <c r="AB342" s="106"/>
      <c r="AC342" s="94"/>
      <c r="AD342" s="94"/>
      <c r="AE342" s="94"/>
      <c r="AF342" s="94"/>
      <c r="AG342" s="94"/>
      <c r="AH342" s="263"/>
    </row>
    <row r="343" spans="1:34" ht="26.25" customHeight="1">
      <c r="A343" s="90"/>
      <c r="B343" s="88"/>
      <c r="C343" s="94"/>
      <c r="D343" s="95"/>
      <c r="E343" s="94"/>
      <c r="F343" s="74"/>
      <c r="G343" s="45"/>
      <c r="H343" s="119"/>
      <c r="I343" s="133"/>
      <c r="J343" s="158"/>
      <c r="K343" s="74"/>
      <c r="L343" s="156"/>
      <c r="M343" s="90"/>
      <c r="N343" s="90"/>
      <c r="O343" s="90"/>
      <c r="P343" s="94"/>
      <c r="Q343" s="94"/>
      <c r="R343" s="94"/>
      <c r="S343" s="94"/>
      <c r="T343" s="90"/>
      <c r="U343" s="90"/>
      <c r="V343" s="90"/>
      <c r="W343" s="105"/>
      <c r="X343" s="106"/>
      <c r="Y343" s="106"/>
      <c r="Z343" s="106"/>
      <c r="AA343" s="106"/>
      <c r="AB343" s="106"/>
      <c r="AC343" s="94"/>
      <c r="AD343" s="94"/>
      <c r="AE343" s="94"/>
      <c r="AF343" s="94"/>
      <c r="AG343" s="94"/>
      <c r="AH343" s="263"/>
    </row>
    <row r="344" spans="1:34" ht="26.25" customHeight="1">
      <c r="A344" s="90"/>
      <c r="B344" s="88"/>
      <c r="C344" s="94"/>
      <c r="D344" s="95"/>
      <c r="E344" s="94"/>
      <c r="F344" s="74"/>
      <c r="G344" s="45"/>
      <c r="H344" s="119"/>
      <c r="I344" s="133"/>
      <c r="J344" s="158"/>
      <c r="K344" s="74"/>
      <c r="L344" s="156"/>
      <c r="M344" s="90"/>
      <c r="N344" s="90"/>
      <c r="O344" s="90"/>
      <c r="P344" s="94"/>
      <c r="Q344" s="94"/>
      <c r="R344" s="94"/>
      <c r="S344" s="94"/>
      <c r="T344" s="90"/>
      <c r="U344" s="90"/>
      <c r="V344" s="90"/>
      <c r="W344" s="109"/>
      <c r="X344" s="106"/>
      <c r="Y344" s="106"/>
      <c r="Z344" s="106"/>
      <c r="AA344" s="106"/>
      <c r="AB344" s="106"/>
      <c r="AC344" s="94"/>
      <c r="AD344" s="94"/>
      <c r="AE344" s="94"/>
      <c r="AF344" s="94"/>
      <c r="AG344" s="94"/>
      <c r="AH344" s="263"/>
    </row>
    <row r="345" spans="1:34" ht="26.25" customHeight="1">
      <c r="A345" s="90"/>
      <c r="B345" s="88"/>
      <c r="C345" s="94"/>
      <c r="D345" s="95"/>
      <c r="E345" s="94"/>
      <c r="F345" s="74"/>
      <c r="G345" s="45"/>
      <c r="H345" s="119"/>
      <c r="I345" s="133"/>
      <c r="J345" s="158"/>
      <c r="K345" s="74"/>
      <c r="L345" s="156"/>
      <c r="M345" s="90"/>
      <c r="N345" s="90"/>
      <c r="O345" s="90"/>
      <c r="P345" s="94"/>
      <c r="Q345" s="94"/>
      <c r="R345" s="94"/>
      <c r="S345" s="94"/>
      <c r="T345" s="90"/>
      <c r="U345" s="90"/>
      <c r="V345" s="90"/>
      <c r="W345" s="105"/>
      <c r="X345" s="106"/>
      <c r="Y345" s="106"/>
      <c r="Z345" s="106"/>
      <c r="AA345" s="106"/>
      <c r="AB345" s="106"/>
      <c r="AC345" s="94"/>
      <c r="AD345" s="94"/>
      <c r="AE345" s="94"/>
      <c r="AF345" s="94"/>
      <c r="AG345" s="94"/>
      <c r="AH345" s="263"/>
    </row>
    <row r="346" spans="1:34" ht="26.25" customHeight="1">
      <c r="A346" s="90"/>
      <c r="B346" s="88"/>
      <c r="C346" s="94"/>
      <c r="D346" s="95"/>
      <c r="E346" s="94"/>
      <c r="F346" s="74"/>
      <c r="G346" s="45"/>
      <c r="H346" s="119"/>
      <c r="I346" s="133"/>
      <c r="J346" s="158"/>
      <c r="K346" s="74"/>
      <c r="L346" s="156"/>
      <c r="M346" s="90"/>
      <c r="N346" s="90"/>
      <c r="O346" s="90"/>
      <c r="P346" s="94"/>
      <c r="Q346" s="94"/>
      <c r="R346" s="94"/>
      <c r="S346" s="94"/>
      <c r="T346" s="90"/>
      <c r="U346" s="90"/>
      <c r="V346" s="90"/>
      <c r="W346" s="105"/>
      <c r="X346" s="106"/>
      <c r="Y346" s="106"/>
      <c r="Z346" s="106"/>
      <c r="AA346" s="106"/>
      <c r="AB346" s="106"/>
      <c r="AC346" s="94"/>
      <c r="AD346" s="94"/>
      <c r="AE346" s="94"/>
      <c r="AF346" s="94"/>
      <c r="AG346" s="94"/>
      <c r="AH346" s="263"/>
    </row>
    <row r="347" spans="1:34" ht="26.25" customHeight="1">
      <c r="A347" s="90"/>
      <c r="B347" s="88"/>
      <c r="C347" s="192"/>
      <c r="D347" s="192"/>
      <c r="E347" s="94"/>
      <c r="F347" s="74"/>
      <c r="G347" s="45"/>
      <c r="H347" s="119"/>
      <c r="I347" s="133"/>
      <c r="J347" s="158"/>
      <c r="K347" s="74"/>
      <c r="L347" s="162"/>
      <c r="M347" s="90"/>
      <c r="N347" s="90"/>
      <c r="O347" s="90"/>
      <c r="P347" s="94"/>
      <c r="Q347" s="94"/>
      <c r="R347" s="94"/>
      <c r="S347" s="94"/>
      <c r="T347" s="90"/>
      <c r="U347" s="90"/>
      <c r="V347" s="90"/>
      <c r="W347" s="105"/>
      <c r="X347" s="106"/>
      <c r="Y347" s="106"/>
      <c r="Z347" s="106"/>
      <c r="AA347" s="106"/>
      <c r="AB347" s="106"/>
      <c r="AC347" s="94"/>
      <c r="AD347" s="94"/>
      <c r="AE347" s="94"/>
      <c r="AF347" s="94"/>
      <c r="AG347" s="94"/>
      <c r="AH347" s="263"/>
    </row>
    <row r="348" spans="1:34" ht="26.25" customHeight="1">
      <c r="A348" s="90"/>
      <c r="B348" s="88"/>
      <c r="C348" s="192"/>
      <c r="D348" s="192"/>
      <c r="E348" s="94"/>
      <c r="F348" s="74"/>
      <c r="G348" s="45"/>
      <c r="H348" s="119"/>
      <c r="I348" s="133"/>
      <c r="J348" s="158"/>
      <c r="K348" s="74"/>
      <c r="L348" s="162"/>
      <c r="M348" s="90"/>
      <c r="N348" s="90"/>
      <c r="O348" s="90"/>
      <c r="P348" s="94"/>
      <c r="Q348" s="94"/>
      <c r="R348" s="94"/>
      <c r="S348" s="94"/>
      <c r="T348" s="90"/>
      <c r="U348" s="90"/>
      <c r="V348" s="90"/>
      <c r="W348" s="105"/>
      <c r="X348" s="106"/>
      <c r="Y348" s="106"/>
      <c r="Z348" s="106"/>
      <c r="AA348" s="106"/>
      <c r="AB348" s="106"/>
      <c r="AC348" s="94"/>
      <c r="AD348" s="94"/>
      <c r="AE348" s="94"/>
      <c r="AF348" s="94"/>
      <c r="AG348" s="94"/>
      <c r="AH348" s="263"/>
    </row>
    <row r="349" spans="1:34" ht="26.25" customHeight="1">
      <c r="A349" s="90"/>
      <c r="B349" s="88"/>
      <c r="C349" s="192"/>
      <c r="D349" s="192"/>
      <c r="E349" s="94"/>
      <c r="F349" s="74"/>
      <c r="G349" s="45"/>
      <c r="H349" s="119"/>
      <c r="I349" s="133"/>
      <c r="J349" s="158"/>
      <c r="K349" s="74"/>
      <c r="L349" s="162"/>
      <c r="M349" s="90"/>
      <c r="N349" s="90"/>
      <c r="O349" s="90"/>
      <c r="P349" s="94"/>
      <c r="Q349" s="94"/>
      <c r="R349" s="94"/>
      <c r="S349" s="94"/>
      <c r="T349" s="90"/>
      <c r="U349" s="90"/>
      <c r="V349" s="90"/>
      <c r="W349" s="105"/>
      <c r="X349" s="106"/>
      <c r="Y349" s="106"/>
      <c r="Z349" s="106"/>
      <c r="AA349" s="106"/>
      <c r="AB349" s="106"/>
      <c r="AC349" s="94"/>
      <c r="AD349" s="94"/>
      <c r="AE349" s="94"/>
      <c r="AF349" s="94"/>
      <c r="AG349" s="94"/>
      <c r="AH349" s="263"/>
    </row>
    <row r="350" spans="1:34" ht="26.25" customHeight="1">
      <c r="A350" s="90"/>
      <c r="B350" s="88"/>
      <c r="C350" s="192"/>
      <c r="D350" s="192"/>
      <c r="E350" s="94"/>
      <c r="F350" s="74"/>
      <c r="G350" s="45"/>
      <c r="H350" s="119"/>
      <c r="I350" s="133"/>
      <c r="J350" s="158"/>
      <c r="K350" s="74"/>
      <c r="L350" s="162"/>
      <c r="M350" s="90"/>
      <c r="N350" s="90"/>
      <c r="O350" s="90"/>
      <c r="P350" s="94"/>
      <c r="Q350" s="94"/>
      <c r="R350" s="94"/>
      <c r="S350" s="94"/>
      <c r="T350" s="90"/>
      <c r="U350" s="90"/>
      <c r="V350" s="90"/>
      <c r="W350" s="105"/>
      <c r="X350" s="106"/>
      <c r="Y350" s="106"/>
      <c r="Z350" s="106"/>
      <c r="AA350" s="106"/>
      <c r="AB350" s="106"/>
      <c r="AC350" s="94"/>
      <c r="AD350" s="94"/>
      <c r="AE350" s="94"/>
      <c r="AF350" s="94"/>
      <c r="AG350" s="94"/>
      <c r="AH350" s="263"/>
    </row>
    <row r="351" spans="1:34" ht="26.25" customHeight="1">
      <c r="A351" s="90"/>
      <c r="B351" s="88"/>
      <c r="C351" s="192"/>
      <c r="D351" s="192"/>
      <c r="E351" s="94"/>
      <c r="F351" s="74"/>
      <c r="G351" s="45"/>
      <c r="H351" s="119"/>
      <c r="I351" s="133"/>
      <c r="J351" s="158"/>
      <c r="K351" s="74"/>
      <c r="L351" s="156"/>
      <c r="M351" s="90"/>
      <c r="N351" s="90"/>
      <c r="O351" s="90"/>
      <c r="P351" s="94"/>
      <c r="Q351" s="94"/>
      <c r="R351" s="94"/>
      <c r="S351" s="94"/>
      <c r="T351" s="90"/>
      <c r="U351" s="90"/>
      <c r="V351" s="90"/>
      <c r="W351" s="105"/>
      <c r="X351" s="106"/>
      <c r="Y351" s="106"/>
      <c r="Z351" s="106"/>
      <c r="AA351" s="106"/>
      <c r="AB351" s="106"/>
      <c r="AC351" s="94"/>
      <c r="AD351" s="94"/>
      <c r="AE351" s="94"/>
      <c r="AF351" s="94"/>
      <c r="AG351" s="94"/>
      <c r="AH351" s="263"/>
    </row>
    <row r="352" spans="1:34" ht="26.25" customHeight="1">
      <c r="A352" s="90"/>
      <c r="B352" s="88"/>
      <c r="C352" s="192"/>
      <c r="D352" s="192"/>
      <c r="E352" s="94"/>
      <c r="F352" s="74"/>
      <c r="G352" s="45"/>
      <c r="H352" s="119"/>
      <c r="I352" s="133"/>
      <c r="J352" s="158"/>
      <c r="K352" s="74"/>
      <c r="L352" s="156"/>
      <c r="M352" s="90"/>
      <c r="N352" s="90"/>
      <c r="O352" s="90"/>
      <c r="P352" s="94"/>
      <c r="Q352" s="94"/>
      <c r="R352" s="94"/>
      <c r="S352" s="94"/>
      <c r="T352" s="90"/>
      <c r="U352" s="90"/>
      <c r="V352" s="90"/>
      <c r="W352" s="105"/>
      <c r="X352" s="106"/>
      <c r="Y352" s="106"/>
      <c r="Z352" s="106"/>
      <c r="AA352" s="106"/>
      <c r="AB352" s="106"/>
      <c r="AC352" s="94"/>
      <c r="AD352" s="94"/>
      <c r="AE352" s="94"/>
      <c r="AF352" s="94"/>
      <c r="AG352" s="94"/>
      <c r="AH352" s="263"/>
    </row>
    <row r="353" spans="1:34" ht="26.25" customHeight="1">
      <c r="A353" s="90"/>
      <c r="B353" s="88"/>
      <c r="C353" s="192"/>
      <c r="D353" s="192"/>
      <c r="E353" s="94"/>
      <c r="F353" s="74"/>
      <c r="G353" s="45"/>
      <c r="H353" s="119"/>
      <c r="I353" s="133"/>
      <c r="J353" s="158"/>
      <c r="K353" s="74"/>
      <c r="L353" s="156"/>
      <c r="M353" s="90"/>
      <c r="N353" s="90"/>
      <c r="O353" s="90"/>
      <c r="P353" s="94"/>
      <c r="Q353" s="94"/>
      <c r="R353" s="94"/>
      <c r="S353" s="94"/>
      <c r="T353" s="90"/>
      <c r="U353" s="90"/>
      <c r="V353" s="90"/>
      <c r="W353" s="105"/>
      <c r="X353" s="106"/>
      <c r="Y353" s="106"/>
      <c r="Z353" s="106"/>
      <c r="AA353" s="106"/>
      <c r="AB353" s="106"/>
      <c r="AC353" s="94"/>
      <c r="AD353" s="94"/>
      <c r="AE353" s="94"/>
      <c r="AF353" s="94"/>
      <c r="AG353" s="94"/>
      <c r="AH353" s="263"/>
    </row>
    <row r="354" spans="1:34" ht="26.25" customHeight="1">
      <c r="A354" s="90"/>
      <c r="B354" s="88"/>
      <c r="C354" s="192"/>
      <c r="D354" s="192"/>
      <c r="E354" s="94"/>
      <c r="F354" s="74"/>
      <c r="G354" s="45"/>
      <c r="H354" s="119"/>
      <c r="I354" s="133"/>
      <c r="J354" s="158"/>
      <c r="K354" s="74"/>
      <c r="L354" s="156"/>
      <c r="M354" s="90"/>
      <c r="N354" s="90"/>
      <c r="O354" s="90"/>
      <c r="P354" s="94"/>
      <c r="Q354" s="94"/>
      <c r="R354" s="94"/>
      <c r="S354" s="94"/>
      <c r="T354" s="90"/>
      <c r="U354" s="90"/>
      <c r="V354" s="90"/>
      <c r="W354" s="105"/>
      <c r="X354" s="106"/>
      <c r="Y354" s="106"/>
      <c r="Z354" s="106"/>
      <c r="AA354" s="106"/>
      <c r="AB354" s="106"/>
      <c r="AC354" s="94"/>
      <c r="AD354" s="94"/>
      <c r="AE354" s="94"/>
      <c r="AF354" s="94"/>
      <c r="AG354" s="94"/>
      <c r="AH354" s="263"/>
    </row>
    <row r="355" spans="1:34" ht="26.25" customHeight="1">
      <c r="A355" s="90"/>
      <c r="B355" s="88"/>
      <c r="C355" s="192"/>
      <c r="D355" s="192"/>
      <c r="E355" s="94"/>
      <c r="F355" s="74"/>
      <c r="G355" s="45"/>
      <c r="H355" s="119"/>
      <c r="I355" s="133"/>
      <c r="J355" s="158"/>
      <c r="K355" s="74"/>
      <c r="L355" s="156"/>
      <c r="M355" s="90"/>
      <c r="N355" s="90"/>
      <c r="O355" s="90"/>
      <c r="P355" s="94"/>
      <c r="Q355" s="94"/>
      <c r="R355" s="94"/>
      <c r="S355" s="94"/>
      <c r="T355" s="90"/>
      <c r="U355" s="90"/>
      <c r="V355" s="90"/>
      <c r="W355" s="105"/>
      <c r="X355" s="106"/>
      <c r="Y355" s="106"/>
      <c r="Z355" s="106"/>
      <c r="AA355" s="106"/>
      <c r="AB355" s="106"/>
      <c r="AC355" s="94"/>
      <c r="AD355" s="94"/>
      <c r="AE355" s="94"/>
      <c r="AF355" s="94"/>
      <c r="AG355" s="94"/>
      <c r="AH355" s="263"/>
    </row>
    <row r="356" spans="1:34" ht="26.25" customHeight="1">
      <c r="A356" s="90"/>
      <c r="B356" s="88"/>
      <c r="C356" s="192"/>
      <c r="D356" s="192"/>
      <c r="E356" s="94"/>
      <c r="F356" s="74"/>
      <c r="G356" s="45"/>
      <c r="H356" s="119"/>
      <c r="I356" s="133"/>
      <c r="J356" s="158"/>
      <c r="K356" s="74"/>
      <c r="L356" s="162"/>
      <c r="M356" s="90"/>
      <c r="N356" s="90"/>
      <c r="O356" s="90"/>
      <c r="P356" s="94"/>
      <c r="Q356" s="94"/>
      <c r="R356" s="94"/>
      <c r="S356" s="94"/>
      <c r="T356" s="90"/>
      <c r="U356" s="90"/>
      <c r="V356" s="90"/>
      <c r="W356" s="105"/>
      <c r="X356" s="106"/>
      <c r="Y356" s="106"/>
      <c r="Z356" s="106"/>
      <c r="AA356" s="106"/>
      <c r="AB356" s="106"/>
      <c r="AC356" s="94"/>
      <c r="AD356" s="94"/>
      <c r="AE356" s="94"/>
      <c r="AF356" s="94"/>
      <c r="AG356" s="94"/>
      <c r="AH356" s="263"/>
    </row>
    <row r="357" spans="1:34" ht="26.25" customHeight="1">
      <c r="A357" s="90"/>
      <c r="B357" s="88"/>
      <c r="C357" s="192"/>
      <c r="D357" s="192"/>
      <c r="E357" s="94"/>
      <c r="F357" s="74"/>
      <c r="G357" s="45"/>
      <c r="H357" s="119"/>
      <c r="I357" s="133"/>
      <c r="J357" s="158"/>
      <c r="K357" s="74"/>
      <c r="L357" s="162"/>
      <c r="M357" s="90"/>
      <c r="N357" s="90"/>
      <c r="O357" s="90"/>
      <c r="P357" s="94"/>
      <c r="Q357" s="94"/>
      <c r="R357" s="94"/>
      <c r="S357" s="94"/>
      <c r="T357" s="90"/>
      <c r="U357" s="90"/>
      <c r="V357" s="90"/>
      <c r="W357" s="105"/>
      <c r="X357" s="106"/>
      <c r="Y357" s="106"/>
      <c r="Z357" s="106"/>
      <c r="AA357" s="106"/>
      <c r="AB357" s="106"/>
      <c r="AC357" s="94"/>
      <c r="AD357" s="94"/>
      <c r="AE357" s="94"/>
      <c r="AF357" s="94"/>
      <c r="AG357" s="94"/>
      <c r="AH357" s="263"/>
    </row>
    <row r="358" spans="1:34" ht="26.25" customHeight="1">
      <c r="A358" s="90"/>
      <c r="B358" s="88"/>
      <c r="C358" s="192"/>
      <c r="D358" s="192"/>
      <c r="E358" s="94"/>
      <c r="F358" s="74"/>
      <c r="G358" s="45"/>
      <c r="H358" s="119"/>
      <c r="I358" s="133"/>
      <c r="J358" s="158"/>
      <c r="K358" s="74"/>
      <c r="L358" s="162"/>
      <c r="M358" s="90"/>
      <c r="N358" s="90"/>
      <c r="O358" s="90"/>
      <c r="P358" s="94"/>
      <c r="Q358" s="94"/>
      <c r="R358" s="94"/>
      <c r="S358" s="94"/>
      <c r="T358" s="90"/>
      <c r="U358" s="90"/>
      <c r="V358" s="90"/>
      <c r="W358" s="105"/>
      <c r="X358" s="106"/>
      <c r="Y358" s="106"/>
      <c r="Z358" s="106"/>
      <c r="AA358" s="106"/>
      <c r="AB358" s="106"/>
      <c r="AC358" s="94"/>
      <c r="AD358" s="94"/>
      <c r="AE358" s="94"/>
      <c r="AF358" s="94"/>
      <c r="AG358" s="94"/>
      <c r="AH358" s="263"/>
    </row>
    <row r="359" spans="1:34" ht="26.25" customHeight="1">
      <c r="A359" s="90"/>
      <c r="B359" s="88"/>
      <c r="C359" s="192"/>
      <c r="D359" s="192"/>
      <c r="E359" s="94"/>
      <c r="F359" s="74"/>
      <c r="G359" s="45"/>
      <c r="H359" s="119"/>
      <c r="I359" s="133"/>
      <c r="J359" s="158"/>
      <c r="K359" s="74"/>
      <c r="L359" s="162"/>
      <c r="M359" s="90"/>
      <c r="N359" s="90"/>
      <c r="O359" s="90"/>
      <c r="P359" s="94"/>
      <c r="Q359" s="94"/>
      <c r="R359" s="94"/>
      <c r="S359" s="94"/>
      <c r="T359" s="90"/>
      <c r="U359" s="90"/>
      <c r="V359" s="90"/>
      <c r="W359" s="105"/>
      <c r="X359" s="106"/>
      <c r="Y359" s="106"/>
      <c r="Z359" s="106"/>
      <c r="AA359" s="106"/>
      <c r="AB359" s="106"/>
      <c r="AC359" s="94"/>
      <c r="AD359" s="94"/>
      <c r="AE359" s="94"/>
      <c r="AF359" s="94"/>
      <c r="AG359" s="94"/>
      <c r="AH359" s="263"/>
    </row>
    <row r="360" spans="1:34" ht="26.25" customHeight="1">
      <c r="A360" s="90"/>
      <c r="B360" s="88"/>
      <c r="C360" s="192"/>
      <c r="D360" s="192"/>
      <c r="E360" s="94"/>
      <c r="F360" s="74"/>
      <c r="G360" s="45"/>
      <c r="H360" s="119"/>
      <c r="I360" s="133"/>
      <c r="J360" s="158"/>
      <c r="K360" s="74"/>
      <c r="L360" s="162"/>
      <c r="M360" s="90"/>
      <c r="N360" s="90"/>
      <c r="O360" s="90"/>
      <c r="P360" s="94"/>
      <c r="Q360" s="94"/>
      <c r="R360" s="94"/>
      <c r="S360" s="94"/>
      <c r="T360" s="90"/>
      <c r="U360" s="90"/>
      <c r="V360" s="90"/>
      <c r="W360" s="105"/>
      <c r="X360" s="106"/>
      <c r="Y360" s="106"/>
      <c r="Z360" s="106"/>
      <c r="AA360" s="106"/>
      <c r="AB360" s="106"/>
      <c r="AC360" s="94"/>
      <c r="AD360" s="94"/>
      <c r="AE360" s="94"/>
      <c r="AF360" s="94"/>
      <c r="AG360" s="94"/>
      <c r="AH360" s="263"/>
    </row>
    <row r="361" spans="1:34" ht="26.25" customHeight="1">
      <c r="A361" s="90"/>
      <c r="B361" s="88"/>
      <c r="C361" s="192"/>
      <c r="D361" s="192"/>
      <c r="E361" s="94"/>
      <c r="F361" s="74"/>
      <c r="G361" s="45"/>
      <c r="H361" s="119"/>
      <c r="I361" s="133"/>
      <c r="J361" s="158"/>
      <c r="K361" s="74"/>
      <c r="L361" s="162"/>
      <c r="M361" s="90"/>
      <c r="N361" s="90"/>
      <c r="O361" s="90"/>
      <c r="P361" s="94"/>
      <c r="Q361" s="94"/>
      <c r="R361" s="94"/>
      <c r="S361" s="94"/>
      <c r="T361" s="90"/>
      <c r="U361" s="90"/>
      <c r="V361" s="90"/>
      <c r="W361" s="105"/>
      <c r="X361" s="106"/>
      <c r="Y361" s="106"/>
      <c r="Z361" s="106"/>
      <c r="AA361" s="106"/>
      <c r="AB361" s="106"/>
      <c r="AC361" s="94"/>
      <c r="AD361" s="94"/>
      <c r="AE361" s="94"/>
      <c r="AF361" s="94"/>
      <c r="AG361" s="94"/>
      <c r="AH361" s="263"/>
    </row>
    <row r="362" spans="1:34" ht="26.25" customHeight="1">
      <c r="A362" s="90"/>
      <c r="B362" s="88"/>
      <c r="C362" s="192"/>
      <c r="D362" s="192"/>
      <c r="E362" s="94"/>
      <c r="F362" s="74"/>
      <c r="G362" s="45"/>
      <c r="H362" s="119"/>
      <c r="I362" s="133"/>
      <c r="J362" s="158"/>
      <c r="K362" s="74"/>
      <c r="L362" s="162"/>
      <c r="M362" s="90"/>
      <c r="N362" s="90"/>
      <c r="O362" s="90"/>
      <c r="P362" s="94"/>
      <c r="Q362" s="94"/>
      <c r="R362" s="94"/>
      <c r="S362" s="94"/>
      <c r="T362" s="90"/>
      <c r="U362" s="90"/>
      <c r="V362" s="90"/>
      <c r="W362" s="105"/>
      <c r="X362" s="106"/>
      <c r="Y362" s="106"/>
      <c r="Z362" s="106"/>
      <c r="AA362" s="106"/>
      <c r="AB362" s="106"/>
      <c r="AC362" s="94"/>
      <c r="AD362" s="94"/>
      <c r="AE362" s="94"/>
      <c r="AF362" s="94"/>
      <c r="AG362" s="94"/>
      <c r="AH362" s="263"/>
    </row>
    <row r="363" spans="1:34" ht="26.25" customHeight="1">
      <c r="A363" s="90"/>
      <c r="B363" s="88"/>
      <c r="C363" s="94"/>
      <c r="D363" s="95"/>
      <c r="E363" s="94"/>
      <c r="F363" s="74"/>
      <c r="G363" s="45"/>
      <c r="H363" s="119"/>
      <c r="I363" s="133"/>
      <c r="J363" s="158"/>
      <c r="K363" s="74"/>
      <c r="L363" s="162"/>
      <c r="M363" s="90"/>
      <c r="N363" s="90"/>
      <c r="O363" s="90"/>
      <c r="P363" s="94"/>
      <c r="Q363" s="94"/>
      <c r="R363" s="94"/>
      <c r="S363" s="94"/>
      <c r="T363" s="90"/>
      <c r="U363" s="90"/>
      <c r="V363" s="90"/>
      <c r="W363" s="105"/>
      <c r="X363" s="106"/>
      <c r="Y363" s="106"/>
      <c r="Z363" s="106"/>
      <c r="AA363" s="106"/>
      <c r="AB363" s="106"/>
      <c r="AC363" s="94"/>
      <c r="AD363" s="94"/>
      <c r="AE363" s="94"/>
      <c r="AF363" s="94"/>
      <c r="AG363" s="94"/>
      <c r="AH363" s="263"/>
    </row>
    <row r="364" spans="1:34" ht="26.25" customHeight="1">
      <c r="A364" s="90"/>
      <c r="B364" s="290"/>
      <c r="C364" s="94"/>
      <c r="D364" s="95"/>
      <c r="E364" s="94"/>
      <c r="F364" s="74"/>
      <c r="G364" s="45"/>
      <c r="H364" s="119"/>
      <c r="I364" s="133"/>
      <c r="J364" s="158"/>
      <c r="K364" s="74"/>
      <c r="L364" s="162"/>
      <c r="M364" s="90"/>
      <c r="N364" s="90"/>
      <c r="O364" s="90"/>
      <c r="P364" s="94"/>
      <c r="Q364" s="94"/>
      <c r="R364" s="94"/>
      <c r="S364" s="94"/>
      <c r="T364" s="90"/>
      <c r="U364" s="90"/>
      <c r="V364" s="90"/>
      <c r="W364" s="105"/>
      <c r="X364" s="106"/>
      <c r="Y364" s="106"/>
      <c r="Z364" s="106"/>
      <c r="AA364" s="106"/>
      <c r="AB364" s="106"/>
      <c r="AC364" s="94"/>
      <c r="AD364" s="94"/>
      <c r="AE364" s="94"/>
      <c r="AF364" s="94"/>
      <c r="AG364" s="94"/>
      <c r="AH364" s="263"/>
    </row>
    <row r="365" spans="1:34" ht="26.25" customHeight="1">
      <c r="A365" s="90"/>
      <c r="B365" s="290"/>
      <c r="C365" s="94"/>
      <c r="D365" s="95"/>
      <c r="E365" s="94"/>
      <c r="F365" s="74"/>
      <c r="G365" s="45"/>
      <c r="H365" s="119"/>
      <c r="I365" s="133"/>
      <c r="J365" s="158"/>
      <c r="K365" s="74"/>
      <c r="L365" s="162"/>
      <c r="M365" s="90"/>
      <c r="N365" s="90"/>
      <c r="O365" s="90"/>
      <c r="P365" s="94"/>
      <c r="Q365" s="94"/>
      <c r="R365" s="94"/>
      <c r="S365" s="94"/>
      <c r="T365" s="90"/>
      <c r="U365" s="90"/>
      <c r="V365" s="90"/>
      <c r="W365" s="105"/>
      <c r="X365" s="106"/>
      <c r="Y365" s="106"/>
      <c r="Z365" s="106"/>
      <c r="AA365" s="106"/>
      <c r="AB365" s="106"/>
      <c r="AC365" s="94"/>
      <c r="AD365" s="94"/>
      <c r="AE365" s="94"/>
      <c r="AF365" s="94"/>
      <c r="AG365" s="94"/>
      <c r="AH365" s="263"/>
    </row>
    <row r="366" spans="1:34" ht="26.25" customHeight="1">
      <c r="AA366" s="106">
        <f>J366-X366</f>
        <v>0</v>
      </c>
      <c r="AB366" s="106">
        <f>M366-Y366</f>
        <v>0</v>
      </c>
    </row>
  </sheetData>
  <mergeCells count="15">
    <mergeCell ref="AC12:AC15"/>
    <mergeCell ref="AC173:AC174"/>
    <mergeCell ref="D55:D57"/>
    <mergeCell ref="AC183:AC185"/>
    <mergeCell ref="D51:D52"/>
    <mergeCell ref="AD227:AD229"/>
    <mergeCell ref="D244:D246"/>
    <mergeCell ref="D62:D63"/>
    <mergeCell ref="D76:D87"/>
    <mergeCell ref="C259:D259"/>
    <mergeCell ref="D265:D266"/>
    <mergeCell ref="C181:C182"/>
    <mergeCell ref="D183:D185"/>
    <mergeCell ref="D199:D201"/>
    <mergeCell ref="D203:D205"/>
  </mergeCells>
  <phoneticPr fontId="57" type="noConversion"/>
  <pageMargins left="0.7" right="0.7" top="0.75" bottom="0.75" header="0.3" footer="0.3"/>
  <pageSetup orientation="portrait" r:id="rId1"/>
  <ignoredErrors>
    <ignoredError sqref="N124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620F-C182-4E96-9583-6A7D879A48FE}">
  <dimension ref="A1:AH378"/>
  <sheetViews>
    <sheetView zoomScale="77" zoomScaleNormal="77" workbookViewId="0">
      <pane xSplit="9" ySplit="11" topLeftCell="V302" activePane="bottomRight" state="frozen"/>
      <selection activeCell="E17" sqref="E17"/>
      <selection pane="topRight" activeCell="E17" sqref="E17"/>
      <selection pane="bottomLeft" activeCell="E17" sqref="E17"/>
      <selection pane="bottomRight" activeCell="B310" sqref="B310"/>
    </sheetView>
  </sheetViews>
  <sheetFormatPr defaultColWidth="9" defaultRowHeight="32.25" customHeight="1"/>
  <cols>
    <col min="1" max="1" width="11.5546875" style="100" customWidth="1"/>
    <col min="2" max="2" width="14.6640625" style="343" customWidth="1"/>
    <col min="3" max="3" width="10.5546875" style="92" customWidth="1"/>
    <col min="4" max="4" width="15.6640625" style="256" customWidth="1"/>
    <col min="5" max="5" width="7.5546875" style="92" customWidth="1"/>
    <col min="6" max="6" width="8" style="257" customWidth="1"/>
    <col min="7" max="7" width="9" style="144" customWidth="1"/>
    <col min="8" max="8" width="6.33203125" style="258" customWidth="1"/>
    <col min="9" max="9" width="17" style="129" customWidth="1"/>
    <col min="10" max="10" width="9" style="60" customWidth="1"/>
    <col min="11" max="11" width="7.5546875" style="60" customWidth="1"/>
    <col min="12" max="12" width="12.109375" style="143" customWidth="1"/>
    <col min="13" max="13" width="7.33203125" style="100" customWidth="1"/>
    <col min="14" max="14" width="10.109375" style="100" customWidth="1"/>
    <col min="15" max="15" width="7.44140625" style="100" customWidth="1"/>
    <col min="16" max="16" width="10.5546875" style="92" customWidth="1"/>
    <col min="17" max="17" width="12.44140625" style="92" customWidth="1"/>
    <col min="18" max="18" width="12" style="92" customWidth="1"/>
    <col min="19" max="19" width="8" style="92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2.6640625" style="101" customWidth="1"/>
    <col min="24" max="24" width="8.44140625" style="102" customWidth="1"/>
    <col min="25" max="25" width="10.33203125" style="102" customWidth="1"/>
    <col min="26" max="26" width="8.88671875" style="102" customWidth="1"/>
    <col min="27" max="27" width="6.44140625" style="102" customWidth="1"/>
    <col min="28" max="28" width="7.6640625" style="102" customWidth="1"/>
    <col min="29" max="29" width="43.88671875" style="92" customWidth="1"/>
    <col min="30" max="30" width="25.109375" style="92" customWidth="1"/>
    <col min="31" max="31" width="22.44140625" style="92" customWidth="1"/>
    <col min="32" max="16384" width="9" style="92"/>
  </cols>
  <sheetData>
    <row r="1" spans="1:34" ht="32.25" hidden="1" customHeight="1"/>
    <row r="2" spans="1:34" ht="32.25" hidden="1" customHeight="1"/>
    <row r="3" spans="1:34" ht="32.25" hidden="1" customHeight="1"/>
    <row r="4" spans="1:34" ht="32.25" hidden="1" customHeight="1"/>
    <row r="5" spans="1:34" ht="32.25" hidden="1" customHeight="1"/>
    <row r="6" spans="1:34" ht="32.25" hidden="1" customHeight="1"/>
    <row r="7" spans="1:34" ht="32.25" hidden="1" customHeight="1"/>
    <row r="8" spans="1:34" ht="32.25" hidden="1" customHeight="1"/>
    <row r="9" spans="1:34" ht="32.25" hidden="1" customHeight="1"/>
    <row r="10" spans="1:34" ht="32.25" hidden="1" customHeight="1"/>
    <row r="11" spans="1:34" ht="51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53" t="s">
        <v>1493</v>
      </c>
      <c r="G11" s="162" t="s">
        <v>1494</v>
      </c>
      <c r="H11" s="119" t="s">
        <v>5</v>
      </c>
      <c r="I11" s="133" t="s">
        <v>1491</v>
      </c>
      <c r="J11" s="133" t="s">
        <v>1490</v>
      </c>
      <c r="K11" s="53" t="s">
        <v>1487</v>
      </c>
      <c r="L11" s="162" t="s">
        <v>1492</v>
      </c>
      <c r="M11" s="259" t="s">
        <v>1489</v>
      </c>
      <c r="N11" s="259" t="s">
        <v>1488</v>
      </c>
      <c r="O11" s="90" t="s">
        <v>687</v>
      </c>
      <c r="P11" s="111" t="s">
        <v>1483</v>
      </c>
      <c r="Q11" s="111" t="s">
        <v>1484</v>
      </c>
      <c r="R11" s="111" t="s">
        <v>1485</v>
      </c>
      <c r="S11" s="111" t="s">
        <v>1486</v>
      </c>
      <c r="T11" s="259" t="s">
        <v>17</v>
      </c>
      <c r="U11" s="259" t="s">
        <v>18</v>
      </c>
      <c r="V11" s="259" t="s">
        <v>19</v>
      </c>
      <c r="W11" s="10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94"/>
      <c r="AF11" s="94">
        <v>115567</v>
      </c>
      <c r="AG11" s="94">
        <v>2476130</v>
      </c>
      <c r="AH11" s="94">
        <v>130072</v>
      </c>
    </row>
    <row r="12" spans="1:34" ht="32.25" customHeight="1">
      <c r="A12" s="90" t="s">
        <v>279</v>
      </c>
      <c r="B12" s="88">
        <v>6000030040</v>
      </c>
      <c r="C12" s="2" t="s">
        <v>907</v>
      </c>
      <c r="D12" s="2" t="s">
        <v>3251</v>
      </c>
      <c r="E12" s="74">
        <v>10</v>
      </c>
      <c r="F12" s="261">
        <v>854</v>
      </c>
      <c r="G12" s="45">
        <f t="shared" ref="G12:G43" si="0">F12*E12</f>
        <v>8540</v>
      </c>
      <c r="H12" s="119" t="s">
        <v>27</v>
      </c>
      <c r="I12" s="262">
        <v>45392</v>
      </c>
      <c r="J12" s="261">
        <v>854</v>
      </c>
      <c r="K12" s="74">
        <f>10+9</f>
        <v>19</v>
      </c>
      <c r="L12" s="156">
        <v>45390</v>
      </c>
      <c r="M12" s="90">
        <v>8540</v>
      </c>
      <c r="N12" s="90">
        <v>100</v>
      </c>
      <c r="O12" s="90" t="s">
        <v>887</v>
      </c>
      <c r="P12" s="94" t="s">
        <v>28</v>
      </c>
      <c r="Q12" s="94">
        <v>8500070018</v>
      </c>
      <c r="R12" s="94">
        <v>5000431942</v>
      </c>
      <c r="S12" s="261"/>
      <c r="T12" s="90" t="s">
        <v>761</v>
      </c>
      <c r="U12" s="90">
        <v>8500070016</v>
      </c>
      <c r="V12" s="90">
        <v>5000422962</v>
      </c>
      <c r="W12" s="109" t="s">
        <v>3500</v>
      </c>
      <c r="X12" s="106">
        <f>400+150+304</f>
        <v>854</v>
      </c>
      <c r="Y12" s="106">
        <f>4000+1500+3040</f>
        <v>8540</v>
      </c>
      <c r="Z12" s="106" t="s">
        <v>3501</v>
      </c>
      <c r="AA12" s="106">
        <f>J12-X12</f>
        <v>0</v>
      </c>
      <c r="AB12" s="106">
        <f>M12-Y12</f>
        <v>0</v>
      </c>
      <c r="AC12" s="94"/>
      <c r="AD12" s="94"/>
      <c r="AE12" s="94"/>
      <c r="AF12" s="94"/>
      <c r="AG12" s="94"/>
      <c r="AH12" s="263"/>
    </row>
    <row r="13" spans="1:34" ht="33" customHeight="1">
      <c r="A13" s="90"/>
      <c r="B13" s="88"/>
      <c r="C13" s="2"/>
      <c r="D13" s="2"/>
      <c r="E13" s="74">
        <v>10</v>
      </c>
      <c r="F13" s="74">
        <v>1198</v>
      </c>
      <c r="G13" s="45">
        <f t="shared" si="0"/>
        <v>11980</v>
      </c>
      <c r="H13" s="119" t="s">
        <v>46</v>
      </c>
      <c r="I13" s="262">
        <v>45393</v>
      </c>
      <c r="J13" s="74">
        <v>1198</v>
      </c>
      <c r="K13" s="74">
        <f>10+12</f>
        <v>22</v>
      </c>
      <c r="L13" s="156">
        <v>45393</v>
      </c>
      <c r="M13" s="90">
        <v>11980</v>
      </c>
      <c r="N13" s="90">
        <v>135</v>
      </c>
      <c r="O13" s="90" t="s">
        <v>1784</v>
      </c>
      <c r="P13" s="94" t="s">
        <v>28</v>
      </c>
      <c r="Q13" s="94">
        <v>8500070018</v>
      </c>
      <c r="R13" s="94">
        <v>5000436309</v>
      </c>
      <c r="S13" s="74"/>
      <c r="T13" s="90" t="s">
        <v>761</v>
      </c>
      <c r="U13" s="90">
        <v>8500070016</v>
      </c>
      <c r="V13" s="90">
        <v>5000441255</v>
      </c>
      <c r="W13" s="109" t="s">
        <v>3480</v>
      </c>
      <c r="X13" s="106">
        <f>400+798</f>
        <v>1198</v>
      </c>
      <c r="Y13" s="106">
        <f>4000+7980</f>
        <v>11980</v>
      </c>
      <c r="Z13" s="106" t="s">
        <v>3481</v>
      </c>
      <c r="AA13" s="106">
        <f t="shared" ref="AA13:AA76" si="1">J13-X13</f>
        <v>0</v>
      </c>
      <c r="AB13" s="106">
        <f t="shared" ref="AB13:AB76" si="2">M13-Y13</f>
        <v>0</v>
      </c>
      <c r="AC13" s="94"/>
      <c r="AD13" s="94"/>
      <c r="AE13" s="94"/>
      <c r="AF13" s="94"/>
      <c r="AG13" s="94"/>
      <c r="AH13" s="263"/>
    </row>
    <row r="14" spans="1:34" ht="32.25" customHeight="1">
      <c r="A14" s="90"/>
      <c r="B14" s="88"/>
      <c r="C14" s="2"/>
      <c r="D14" s="2"/>
      <c r="E14" s="74">
        <v>10</v>
      </c>
      <c r="F14" s="74">
        <v>882</v>
      </c>
      <c r="G14" s="45">
        <f t="shared" si="0"/>
        <v>8820</v>
      </c>
      <c r="H14" s="119" t="s">
        <v>37</v>
      </c>
      <c r="I14" s="262">
        <v>45393</v>
      </c>
      <c r="J14" s="74">
        <v>882</v>
      </c>
      <c r="K14" s="74">
        <f>10+9</f>
        <v>19</v>
      </c>
      <c r="L14" s="156">
        <v>45393</v>
      </c>
      <c r="M14" s="90">
        <v>8820</v>
      </c>
      <c r="N14" s="90">
        <v>103</v>
      </c>
      <c r="O14" s="90" t="s">
        <v>1628</v>
      </c>
      <c r="P14" s="94" t="s">
        <v>28</v>
      </c>
      <c r="Q14" s="94">
        <v>8500070018</v>
      </c>
      <c r="R14" s="94">
        <v>5000436309</v>
      </c>
      <c r="S14" s="74"/>
      <c r="T14" s="90" t="s">
        <v>761</v>
      </c>
      <c r="U14" s="90">
        <v>8500070016</v>
      </c>
      <c r="V14" s="90">
        <v>5000443059</v>
      </c>
      <c r="W14" s="109">
        <v>45412</v>
      </c>
      <c r="X14" s="106">
        <v>882</v>
      </c>
      <c r="Y14" s="106">
        <v>8820</v>
      </c>
      <c r="Z14" s="106" t="s">
        <v>755</v>
      </c>
      <c r="AA14" s="106">
        <f t="shared" si="1"/>
        <v>0</v>
      </c>
      <c r="AB14" s="106">
        <f t="shared" si="2"/>
        <v>0</v>
      </c>
      <c r="AC14" s="94"/>
      <c r="AD14" s="94"/>
      <c r="AE14" s="94"/>
      <c r="AF14" s="94"/>
      <c r="AG14" s="94"/>
      <c r="AH14" s="263"/>
    </row>
    <row r="15" spans="1:34" ht="32.25" customHeight="1">
      <c r="A15" s="90"/>
      <c r="B15" s="88"/>
      <c r="C15" s="2"/>
      <c r="D15" s="2"/>
      <c r="E15" s="74">
        <v>10</v>
      </c>
      <c r="F15" s="74">
        <v>406</v>
      </c>
      <c r="G15" s="45">
        <f t="shared" si="0"/>
        <v>4060</v>
      </c>
      <c r="H15" s="119" t="s">
        <v>146</v>
      </c>
      <c r="I15" s="262">
        <v>45392</v>
      </c>
      <c r="J15" s="74">
        <v>406</v>
      </c>
      <c r="K15" s="74">
        <f>10+4</f>
        <v>14</v>
      </c>
      <c r="L15" s="156">
        <v>45391</v>
      </c>
      <c r="M15" s="90">
        <v>4060</v>
      </c>
      <c r="N15" s="90">
        <v>56</v>
      </c>
      <c r="O15" s="90" t="s">
        <v>1363</v>
      </c>
      <c r="P15" s="94" t="s">
        <v>28</v>
      </c>
      <c r="Q15" s="94">
        <v>8500070018</v>
      </c>
      <c r="R15" s="94">
        <v>5000431942</v>
      </c>
      <c r="S15" s="74"/>
      <c r="T15" s="90" t="s">
        <v>761</v>
      </c>
      <c r="U15" s="90">
        <v>8500070016</v>
      </c>
      <c r="V15" s="90">
        <v>5000427954</v>
      </c>
      <c r="W15" s="109">
        <v>45414</v>
      </c>
      <c r="X15" s="106">
        <v>406</v>
      </c>
      <c r="Y15" s="106">
        <v>4060</v>
      </c>
      <c r="Z15" s="371" t="s">
        <v>759</v>
      </c>
      <c r="AA15" s="106">
        <f t="shared" si="1"/>
        <v>0</v>
      </c>
      <c r="AB15" s="106">
        <f t="shared" si="2"/>
        <v>0</v>
      </c>
      <c r="AC15" s="94"/>
      <c r="AD15" s="94"/>
      <c r="AE15" s="94"/>
      <c r="AF15" s="94"/>
      <c r="AG15" s="94"/>
      <c r="AH15" s="263"/>
    </row>
    <row r="16" spans="1:34" ht="32.25" customHeight="1">
      <c r="A16" s="90" t="s">
        <v>279</v>
      </c>
      <c r="B16" s="88">
        <v>6000030041</v>
      </c>
      <c r="C16" s="2" t="s">
        <v>907</v>
      </c>
      <c r="D16" s="2" t="s">
        <v>3252</v>
      </c>
      <c r="E16" s="74">
        <v>10</v>
      </c>
      <c r="F16" s="261">
        <v>854</v>
      </c>
      <c r="G16" s="45">
        <f t="shared" si="0"/>
        <v>8540</v>
      </c>
      <c r="H16" s="119" t="s">
        <v>27</v>
      </c>
      <c r="I16" s="262">
        <v>45392</v>
      </c>
      <c r="J16" s="74">
        <v>854</v>
      </c>
      <c r="K16" s="74">
        <f>0+9</f>
        <v>9</v>
      </c>
      <c r="L16" s="156">
        <v>45390</v>
      </c>
      <c r="M16" s="90">
        <v>8540</v>
      </c>
      <c r="N16" s="90">
        <v>100</v>
      </c>
      <c r="O16" s="90" t="s">
        <v>1566</v>
      </c>
      <c r="P16" s="94" t="s">
        <v>28</v>
      </c>
      <c r="Q16" s="94">
        <v>8500070021</v>
      </c>
      <c r="R16" s="94">
        <v>5000432165</v>
      </c>
      <c r="S16" s="158"/>
      <c r="T16" s="90" t="s">
        <v>761</v>
      </c>
      <c r="U16" s="90">
        <v>8500070019</v>
      </c>
      <c r="V16" s="90">
        <v>5000422942</v>
      </c>
      <c r="W16" s="109">
        <v>45419</v>
      </c>
      <c r="X16" s="106">
        <v>854</v>
      </c>
      <c r="Y16" s="106">
        <v>8540</v>
      </c>
      <c r="Z16" s="106" t="s">
        <v>758</v>
      </c>
      <c r="AA16" s="106">
        <f t="shared" si="1"/>
        <v>0</v>
      </c>
      <c r="AB16" s="106">
        <f t="shared" si="2"/>
        <v>0</v>
      </c>
      <c r="AC16" s="94"/>
      <c r="AD16" s="94"/>
      <c r="AE16" s="94"/>
      <c r="AF16" s="94"/>
      <c r="AG16" s="94"/>
      <c r="AH16" s="263"/>
    </row>
    <row r="17" spans="1:34" ht="32.25" customHeight="1">
      <c r="A17" s="90"/>
      <c r="B17" s="88"/>
      <c r="C17" s="2"/>
      <c r="D17" s="2"/>
      <c r="E17" s="74">
        <v>10</v>
      </c>
      <c r="F17" s="74">
        <v>1198</v>
      </c>
      <c r="G17" s="45">
        <f t="shared" si="0"/>
        <v>11980</v>
      </c>
      <c r="H17" s="119" t="s">
        <v>46</v>
      </c>
      <c r="I17" s="128">
        <v>45392</v>
      </c>
      <c r="J17" s="291">
        <v>1198</v>
      </c>
      <c r="K17" s="74">
        <f>10+12</f>
        <v>22</v>
      </c>
      <c r="L17" s="156">
        <v>45394</v>
      </c>
      <c r="M17" s="90">
        <v>11980</v>
      </c>
      <c r="N17" s="90">
        <v>135</v>
      </c>
      <c r="O17" s="90"/>
      <c r="P17" s="94" t="s">
        <v>28</v>
      </c>
      <c r="Q17" s="94">
        <v>8500070021</v>
      </c>
      <c r="R17" s="94">
        <v>5000436207</v>
      </c>
      <c r="S17" s="94"/>
      <c r="T17" s="90" t="s">
        <v>761</v>
      </c>
      <c r="U17" s="90">
        <v>8500070019</v>
      </c>
      <c r="V17" s="90">
        <v>5000443079</v>
      </c>
      <c r="W17" s="109">
        <v>45420</v>
      </c>
      <c r="X17" s="106">
        <v>1198</v>
      </c>
      <c r="Y17" s="106">
        <v>11980</v>
      </c>
      <c r="Z17" s="106" t="s">
        <v>267</v>
      </c>
      <c r="AA17" s="106">
        <f t="shared" si="1"/>
        <v>0</v>
      </c>
      <c r="AB17" s="106">
        <f t="shared" si="2"/>
        <v>0</v>
      </c>
      <c r="AC17" s="94"/>
      <c r="AD17" s="94"/>
      <c r="AE17" s="94"/>
      <c r="AF17" s="94"/>
      <c r="AG17" s="94"/>
      <c r="AH17" s="263"/>
    </row>
    <row r="18" spans="1:34" ht="32.25" customHeight="1">
      <c r="A18" s="90"/>
      <c r="B18" s="88"/>
      <c r="C18" s="2"/>
      <c r="D18" s="2"/>
      <c r="E18" s="74">
        <v>10</v>
      </c>
      <c r="F18" s="74">
        <v>882</v>
      </c>
      <c r="G18" s="45">
        <f t="shared" si="0"/>
        <v>8820</v>
      </c>
      <c r="H18" s="119" t="s">
        <v>37</v>
      </c>
      <c r="I18" s="262">
        <v>45392</v>
      </c>
      <c r="J18" s="291">
        <v>882</v>
      </c>
      <c r="K18" s="74">
        <f>10+7</f>
        <v>17</v>
      </c>
      <c r="L18" s="156">
        <v>45393</v>
      </c>
      <c r="M18" s="90">
        <v>8820</v>
      </c>
      <c r="N18" s="90">
        <v>103</v>
      </c>
      <c r="O18" s="90" t="s">
        <v>1598</v>
      </c>
      <c r="P18" s="94" t="s">
        <v>28</v>
      </c>
      <c r="Q18" s="94">
        <v>8500070021</v>
      </c>
      <c r="R18" s="94">
        <v>5000432165</v>
      </c>
      <c r="S18" s="94"/>
      <c r="T18" s="90" t="s">
        <v>761</v>
      </c>
      <c r="U18" s="90">
        <v>8500070019</v>
      </c>
      <c r="V18" s="90">
        <v>5000443073</v>
      </c>
      <c r="W18" s="109">
        <v>45414</v>
      </c>
      <c r="X18" s="106">
        <v>882</v>
      </c>
      <c r="Y18" s="106">
        <v>8820</v>
      </c>
      <c r="Z18" s="106" t="s">
        <v>755</v>
      </c>
      <c r="AA18" s="106">
        <f t="shared" si="1"/>
        <v>0</v>
      </c>
      <c r="AB18" s="106">
        <f t="shared" si="2"/>
        <v>0</v>
      </c>
      <c r="AC18" s="94"/>
      <c r="AD18" s="94"/>
      <c r="AE18" s="94"/>
      <c r="AF18" s="94"/>
      <c r="AG18" s="94"/>
      <c r="AH18" s="263"/>
    </row>
    <row r="19" spans="1:34" ht="32.25" customHeight="1">
      <c r="A19" s="90"/>
      <c r="B19" s="88"/>
      <c r="C19" s="2"/>
      <c r="D19" s="2"/>
      <c r="E19" s="74">
        <v>10</v>
      </c>
      <c r="F19" s="74">
        <v>406</v>
      </c>
      <c r="G19" s="45">
        <f t="shared" si="0"/>
        <v>4060</v>
      </c>
      <c r="H19" s="119" t="s">
        <v>146</v>
      </c>
      <c r="I19" s="262">
        <v>45392</v>
      </c>
      <c r="J19" s="291">
        <v>406</v>
      </c>
      <c r="K19" s="74">
        <f>10+4</f>
        <v>14</v>
      </c>
      <c r="L19" s="156">
        <v>45391</v>
      </c>
      <c r="M19" s="90">
        <v>4060</v>
      </c>
      <c r="N19" s="90">
        <v>56</v>
      </c>
      <c r="O19" s="90" t="s">
        <v>1880</v>
      </c>
      <c r="P19" s="94" t="s">
        <v>28</v>
      </c>
      <c r="Q19" s="94">
        <v>8500070021</v>
      </c>
      <c r="R19" s="94">
        <v>5000432165</v>
      </c>
      <c r="S19" s="94"/>
      <c r="T19" s="90" t="s">
        <v>761</v>
      </c>
      <c r="U19" s="90">
        <v>8500070019</v>
      </c>
      <c r="V19" s="90">
        <v>5000427951</v>
      </c>
      <c r="W19" s="109">
        <v>45415</v>
      </c>
      <c r="X19" s="106">
        <v>406</v>
      </c>
      <c r="Y19" s="106">
        <v>4060</v>
      </c>
      <c r="Z19" s="106" t="s">
        <v>759</v>
      </c>
      <c r="AA19" s="106">
        <f t="shared" si="1"/>
        <v>0</v>
      </c>
      <c r="AB19" s="106">
        <f t="shared" si="2"/>
        <v>0</v>
      </c>
      <c r="AC19" s="94"/>
      <c r="AD19" s="94"/>
      <c r="AE19" s="94"/>
      <c r="AF19" s="94"/>
      <c r="AG19" s="94"/>
      <c r="AH19" s="263"/>
    </row>
    <row r="20" spans="1:34" ht="32.25" customHeight="1">
      <c r="A20" s="90" t="s">
        <v>279</v>
      </c>
      <c r="B20" s="88">
        <v>6000030042</v>
      </c>
      <c r="C20" s="2" t="s">
        <v>907</v>
      </c>
      <c r="D20" s="2" t="s">
        <v>3253</v>
      </c>
      <c r="E20" s="74">
        <v>10</v>
      </c>
      <c r="F20" s="261">
        <v>854</v>
      </c>
      <c r="G20" s="45">
        <f t="shared" si="0"/>
        <v>8540</v>
      </c>
      <c r="H20" s="119" t="s">
        <v>27</v>
      </c>
      <c r="I20" s="262">
        <v>45392</v>
      </c>
      <c r="J20" s="291">
        <v>854</v>
      </c>
      <c r="K20" s="74">
        <f>10+9</f>
        <v>19</v>
      </c>
      <c r="L20" s="156">
        <v>45390</v>
      </c>
      <c r="M20" s="90">
        <v>8540</v>
      </c>
      <c r="N20" s="90">
        <v>100</v>
      </c>
      <c r="O20" s="90" t="s">
        <v>1700</v>
      </c>
      <c r="P20" s="94" t="s">
        <v>28</v>
      </c>
      <c r="Q20" s="94">
        <v>8500070023</v>
      </c>
      <c r="R20" s="94">
        <v>5000432332</v>
      </c>
      <c r="S20" s="94"/>
      <c r="T20" s="90" t="s">
        <v>761</v>
      </c>
      <c r="U20" s="90">
        <v>8500070022</v>
      </c>
      <c r="V20" s="90">
        <v>5000422944</v>
      </c>
      <c r="W20" s="109">
        <v>45416</v>
      </c>
      <c r="X20" s="106">
        <v>854</v>
      </c>
      <c r="Y20" s="106">
        <v>8540</v>
      </c>
      <c r="Z20" s="106" t="s">
        <v>758</v>
      </c>
      <c r="AA20" s="106">
        <f t="shared" si="1"/>
        <v>0</v>
      </c>
      <c r="AB20" s="106">
        <f t="shared" si="2"/>
        <v>0</v>
      </c>
      <c r="AC20" s="94"/>
      <c r="AD20" s="94"/>
      <c r="AE20" s="94"/>
      <c r="AF20" s="94"/>
      <c r="AG20" s="94"/>
      <c r="AH20" s="263"/>
    </row>
    <row r="21" spans="1:34" ht="32.25" customHeight="1">
      <c r="A21" s="90"/>
      <c r="B21" s="88"/>
      <c r="C21" s="2"/>
      <c r="D21" s="2"/>
      <c r="E21" s="74">
        <v>10</v>
      </c>
      <c r="F21" s="74">
        <v>1198</v>
      </c>
      <c r="G21" s="45">
        <f t="shared" si="0"/>
        <v>11980</v>
      </c>
      <c r="H21" s="119" t="s">
        <v>46</v>
      </c>
      <c r="I21" s="262">
        <v>45392</v>
      </c>
      <c r="J21" s="74">
        <v>1198</v>
      </c>
      <c r="K21" s="74">
        <f>10+12</f>
        <v>22</v>
      </c>
      <c r="L21" s="156">
        <v>45393</v>
      </c>
      <c r="M21" s="90">
        <v>11980</v>
      </c>
      <c r="N21" s="90">
        <v>135</v>
      </c>
      <c r="O21" s="90" t="s">
        <v>1784</v>
      </c>
      <c r="P21" s="94" t="s">
        <v>28</v>
      </c>
      <c r="Q21" s="94">
        <v>8500070023</v>
      </c>
      <c r="R21" s="94">
        <v>5000436293</v>
      </c>
      <c r="S21" s="74"/>
      <c r="T21" s="90" t="s">
        <v>761</v>
      </c>
      <c r="U21" s="90">
        <v>8500070022</v>
      </c>
      <c r="V21" s="90">
        <v>5000441267</v>
      </c>
      <c r="W21" s="109">
        <v>45416</v>
      </c>
      <c r="X21" s="106">
        <v>1198</v>
      </c>
      <c r="Y21" s="106">
        <v>11980</v>
      </c>
      <c r="Z21" s="106" t="s">
        <v>267</v>
      </c>
      <c r="AA21" s="106">
        <f t="shared" si="1"/>
        <v>0</v>
      </c>
      <c r="AB21" s="106">
        <f t="shared" si="2"/>
        <v>0</v>
      </c>
      <c r="AC21" s="111" t="s">
        <v>3642</v>
      </c>
      <c r="AD21" s="94"/>
      <c r="AE21" s="94"/>
      <c r="AF21" s="94"/>
      <c r="AG21" s="94"/>
      <c r="AH21" s="263"/>
    </row>
    <row r="22" spans="1:34" ht="32.25" customHeight="1">
      <c r="A22" s="90"/>
      <c r="B22" s="88"/>
      <c r="C22" s="2"/>
      <c r="D22" s="2"/>
      <c r="E22" s="74">
        <v>10</v>
      </c>
      <c r="F22" s="74">
        <v>882</v>
      </c>
      <c r="G22" s="45">
        <f t="shared" si="0"/>
        <v>8820</v>
      </c>
      <c r="H22" s="119" t="s">
        <v>37</v>
      </c>
      <c r="I22" s="262">
        <v>45392</v>
      </c>
      <c r="J22" s="74">
        <v>882</v>
      </c>
      <c r="K22" s="74">
        <f>10+9</f>
        <v>19</v>
      </c>
      <c r="L22" s="156">
        <v>45393</v>
      </c>
      <c r="M22" s="90">
        <v>8820</v>
      </c>
      <c r="N22" s="90">
        <v>103</v>
      </c>
      <c r="O22" s="90" t="s">
        <v>3324</v>
      </c>
      <c r="P22" s="94" t="s">
        <v>28</v>
      </c>
      <c r="Q22" s="94">
        <v>8500070023</v>
      </c>
      <c r="R22" s="94">
        <v>5000436293</v>
      </c>
      <c r="S22" s="94"/>
      <c r="T22" s="90" t="s">
        <v>761</v>
      </c>
      <c r="U22" s="90">
        <v>8500070022</v>
      </c>
      <c r="V22" s="90">
        <v>5000441267</v>
      </c>
      <c r="W22" s="109">
        <v>45412</v>
      </c>
      <c r="X22" s="106">
        <v>882</v>
      </c>
      <c r="Y22" s="106">
        <v>8820</v>
      </c>
      <c r="Z22" s="106" t="s">
        <v>755</v>
      </c>
      <c r="AA22" s="106">
        <f t="shared" si="1"/>
        <v>0</v>
      </c>
      <c r="AB22" s="106">
        <f t="shared" si="2"/>
        <v>0</v>
      </c>
      <c r="AC22" s="94"/>
      <c r="AD22" s="94"/>
      <c r="AE22" s="94"/>
      <c r="AF22" s="94"/>
      <c r="AG22" s="94"/>
      <c r="AH22" s="263"/>
    </row>
    <row r="23" spans="1:34" ht="32.25" customHeight="1">
      <c r="A23" s="90"/>
      <c r="B23" s="88"/>
      <c r="C23" s="2"/>
      <c r="D23" s="2"/>
      <c r="E23" s="74">
        <v>10</v>
      </c>
      <c r="F23" s="74">
        <v>406</v>
      </c>
      <c r="G23" s="45">
        <f t="shared" si="0"/>
        <v>4060</v>
      </c>
      <c r="H23" s="119" t="s">
        <v>146</v>
      </c>
      <c r="I23" s="262">
        <v>45392</v>
      </c>
      <c r="J23" s="74">
        <v>406</v>
      </c>
      <c r="K23" s="74">
        <f>10+4+4</f>
        <v>18</v>
      </c>
      <c r="L23" s="156">
        <v>45391</v>
      </c>
      <c r="M23" s="90">
        <v>4060</v>
      </c>
      <c r="N23" s="90">
        <v>56</v>
      </c>
      <c r="O23" s="90" t="s">
        <v>877</v>
      </c>
      <c r="P23" s="94" t="s">
        <v>28</v>
      </c>
      <c r="Q23" s="94">
        <v>8500070023</v>
      </c>
      <c r="R23" s="94">
        <v>5000432332</v>
      </c>
      <c r="S23" s="74"/>
      <c r="T23" s="90" t="s">
        <v>761</v>
      </c>
      <c r="U23" s="90">
        <v>8500070022</v>
      </c>
      <c r="V23" s="90">
        <v>5000427938</v>
      </c>
      <c r="W23" s="109">
        <v>45414</v>
      </c>
      <c r="X23" s="106">
        <v>406</v>
      </c>
      <c r="Y23" s="106">
        <v>4060</v>
      </c>
      <c r="Z23" s="106" t="s">
        <v>759</v>
      </c>
      <c r="AA23" s="106">
        <f t="shared" si="1"/>
        <v>0</v>
      </c>
      <c r="AB23" s="106">
        <f t="shared" si="2"/>
        <v>0</v>
      </c>
      <c r="AC23" s="94"/>
      <c r="AD23" s="94"/>
      <c r="AE23" s="94"/>
      <c r="AF23" s="94"/>
      <c r="AG23" s="94"/>
      <c r="AH23" s="263"/>
    </row>
    <row r="24" spans="1:34" ht="32.25" customHeight="1">
      <c r="A24" s="90" t="s">
        <v>279</v>
      </c>
      <c r="B24" s="88">
        <v>6000030043</v>
      </c>
      <c r="C24" s="2" t="s">
        <v>907</v>
      </c>
      <c r="D24" s="2" t="s">
        <v>3254</v>
      </c>
      <c r="E24" s="74">
        <v>10</v>
      </c>
      <c r="F24" s="261">
        <v>854</v>
      </c>
      <c r="G24" s="45">
        <f t="shared" si="0"/>
        <v>8540</v>
      </c>
      <c r="H24" s="119" t="s">
        <v>27</v>
      </c>
      <c r="I24" s="262">
        <v>45392</v>
      </c>
      <c r="J24" s="261">
        <v>854</v>
      </c>
      <c r="K24" s="74">
        <f>10+9</f>
        <v>19</v>
      </c>
      <c r="L24" s="156">
        <v>45390</v>
      </c>
      <c r="M24" s="90">
        <v>8540</v>
      </c>
      <c r="N24" s="90">
        <v>100</v>
      </c>
      <c r="O24" s="90" t="s">
        <v>3284</v>
      </c>
      <c r="P24" s="94" t="s">
        <v>28</v>
      </c>
      <c r="Q24" s="94">
        <v>8500070025</v>
      </c>
      <c r="R24" s="94">
        <v>5000436299</v>
      </c>
      <c r="S24" s="74"/>
      <c r="T24" s="90" t="s">
        <v>87</v>
      </c>
      <c r="U24" s="90">
        <v>8500070024</v>
      </c>
      <c r="V24" s="90">
        <v>5000422964</v>
      </c>
      <c r="W24" s="109">
        <v>45422</v>
      </c>
      <c r="X24" s="106">
        <v>854</v>
      </c>
      <c r="Y24" s="106">
        <v>8540</v>
      </c>
      <c r="Z24" s="106" t="s">
        <v>758</v>
      </c>
      <c r="AA24" s="106">
        <f t="shared" si="1"/>
        <v>0</v>
      </c>
      <c r="AB24" s="106">
        <f t="shared" si="2"/>
        <v>0</v>
      </c>
      <c r="AC24" s="94"/>
      <c r="AD24" s="94"/>
      <c r="AE24" s="94"/>
      <c r="AF24" s="94"/>
      <c r="AG24" s="94"/>
      <c r="AH24" s="263"/>
    </row>
    <row r="25" spans="1:34" ht="32.25" customHeight="1">
      <c r="A25" s="90"/>
      <c r="B25" s="88"/>
      <c r="C25" s="2"/>
      <c r="D25" s="2"/>
      <c r="E25" s="74">
        <v>10</v>
      </c>
      <c r="F25" s="74">
        <v>1198</v>
      </c>
      <c r="G25" s="45">
        <f t="shared" si="0"/>
        <v>11980</v>
      </c>
      <c r="H25" s="119" t="s">
        <v>46</v>
      </c>
      <c r="I25" s="128">
        <v>45393</v>
      </c>
      <c r="J25" s="74">
        <v>1198</v>
      </c>
      <c r="K25" s="74">
        <f>10+12</f>
        <v>22</v>
      </c>
      <c r="L25" s="156">
        <v>45393</v>
      </c>
      <c r="M25" s="90">
        <v>11980</v>
      </c>
      <c r="N25" s="90">
        <v>135</v>
      </c>
      <c r="O25" s="90" t="s">
        <v>1784</v>
      </c>
      <c r="P25" s="94" t="s">
        <v>28</v>
      </c>
      <c r="Q25" s="94">
        <v>8500070025</v>
      </c>
      <c r="R25" s="94">
        <v>5000436343</v>
      </c>
      <c r="S25" s="94"/>
      <c r="T25" s="90" t="s">
        <v>87</v>
      </c>
      <c r="U25" s="90">
        <v>8500070024</v>
      </c>
      <c r="V25" s="90">
        <v>5000441279</v>
      </c>
      <c r="W25" s="109">
        <v>45422</v>
      </c>
      <c r="X25" s="106">
        <v>1198</v>
      </c>
      <c r="Y25" s="106">
        <v>11980</v>
      </c>
      <c r="Z25" s="106" t="s">
        <v>267</v>
      </c>
      <c r="AA25" s="106">
        <f t="shared" si="1"/>
        <v>0</v>
      </c>
      <c r="AB25" s="106">
        <f t="shared" si="2"/>
        <v>0</v>
      </c>
      <c r="AC25" s="94"/>
      <c r="AD25" s="94"/>
      <c r="AE25" s="94"/>
      <c r="AF25" s="94"/>
      <c r="AG25" s="94"/>
      <c r="AH25" s="263"/>
    </row>
    <row r="26" spans="1:34" ht="32.25" customHeight="1">
      <c r="A26" s="90"/>
      <c r="B26" s="88"/>
      <c r="C26" s="2"/>
      <c r="D26" s="2"/>
      <c r="E26" s="74">
        <v>10</v>
      </c>
      <c r="F26" s="74">
        <v>882</v>
      </c>
      <c r="G26" s="45">
        <f t="shared" si="0"/>
        <v>8820</v>
      </c>
      <c r="H26" s="119" t="s">
        <v>37</v>
      </c>
      <c r="I26" s="262">
        <v>45392</v>
      </c>
      <c r="J26" s="74">
        <v>882</v>
      </c>
      <c r="K26" s="74">
        <f>10+9</f>
        <v>19</v>
      </c>
      <c r="L26" s="156">
        <v>45392</v>
      </c>
      <c r="M26" s="90">
        <v>8820</v>
      </c>
      <c r="N26" s="90">
        <v>103</v>
      </c>
      <c r="O26" s="90" t="s">
        <v>1959</v>
      </c>
      <c r="P26" s="94" t="s">
        <v>28</v>
      </c>
      <c r="Q26" s="94">
        <v>8500070025</v>
      </c>
      <c r="R26" s="94">
        <v>5000436299</v>
      </c>
      <c r="S26" s="74"/>
      <c r="T26" s="90" t="s">
        <v>87</v>
      </c>
      <c r="U26" s="90">
        <v>8500070024</v>
      </c>
      <c r="V26" s="90">
        <v>5000432810</v>
      </c>
      <c r="W26" s="109">
        <v>45416</v>
      </c>
      <c r="X26" s="106">
        <v>882</v>
      </c>
      <c r="Y26" s="106">
        <v>8820</v>
      </c>
      <c r="Z26" s="106" t="s">
        <v>755</v>
      </c>
      <c r="AA26" s="106">
        <f t="shared" si="1"/>
        <v>0</v>
      </c>
      <c r="AB26" s="106">
        <f t="shared" si="2"/>
        <v>0</v>
      </c>
      <c r="AC26" s="94"/>
      <c r="AD26" s="94"/>
      <c r="AE26" s="94"/>
      <c r="AF26" s="94"/>
      <c r="AG26" s="94"/>
      <c r="AH26" s="263"/>
    </row>
    <row r="27" spans="1:34" ht="32.25" customHeight="1">
      <c r="A27" s="90"/>
      <c r="B27" s="88"/>
      <c r="C27" s="2"/>
      <c r="D27" s="2"/>
      <c r="E27" s="74">
        <v>10</v>
      </c>
      <c r="F27" s="74">
        <v>406</v>
      </c>
      <c r="G27" s="45">
        <f t="shared" si="0"/>
        <v>4060</v>
      </c>
      <c r="H27" s="119" t="s">
        <v>146</v>
      </c>
      <c r="I27" s="128">
        <v>45392</v>
      </c>
      <c r="J27" s="74">
        <v>406</v>
      </c>
      <c r="K27" s="74">
        <f>10+4</f>
        <v>14</v>
      </c>
      <c r="L27" s="156">
        <v>45392</v>
      </c>
      <c r="M27" s="90">
        <v>4060</v>
      </c>
      <c r="N27" s="90">
        <v>56</v>
      </c>
      <c r="O27" s="90" t="s">
        <v>1890</v>
      </c>
      <c r="P27" s="94" t="s">
        <v>28</v>
      </c>
      <c r="Q27" s="94">
        <v>8500070025</v>
      </c>
      <c r="R27" s="94">
        <v>5000432335</v>
      </c>
      <c r="S27" s="94"/>
      <c r="T27" s="90" t="s">
        <v>87</v>
      </c>
      <c r="U27" s="90">
        <v>8500070024</v>
      </c>
      <c r="V27" s="90">
        <v>5000432810</v>
      </c>
      <c r="W27" s="109">
        <v>45416</v>
      </c>
      <c r="X27" s="106">
        <v>406</v>
      </c>
      <c r="Y27" s="106">
        <v>4060</v>
      </c>
      <c r="Z27" s="106" t="s">
        <v>759</v>
      </c>
      <c r="AA27" s="106">
        <f t="shared" si="1"/>
        <v>0</v>
      </c>
      <c r="AB27" s="106">
        <f t="shared" si="2"/>
        <v>0</v>
      </c>
      <c r="AC27" s="94"/>
      <c r="AD27" s="111"/>
      <c r="AE27" s="94"/>
      <c r="AF27" s="94"/>
      <c r="AG27" s="94"/>
      <c r="AH27" s="263"/>
    </row>
    <row r="28" spans="1:34" ht="32.25" customHeight="1">
      <c r="A28" s="90" t="s">
        <v>279</v>
      </c>
      <c r="B28" s="88">
        <v>6000030044</v>
      </c>
      <c r="C28" s="2" t="s">
        <v>907</v>
      </c>
      <c r="D28" s="2" t="s">
        <v>3256</v>
      </c>
      <c r="E28" s="74">
        <v>10</v>
      </c>
      <c r="F28" s="261">
        <v>854</v>
      </c>
      <c r="G28" s="45">
        <f t="shared" si="0"/>
        <v>8540</v>
      </c>
      <c r="H28" s="119" t="s">
        <v>27</v>
      </c>
      <c r="I28" s="128">
        <v>45392</v>
      </c>
      <c r="J28" s="261">
        <v>854</v>
      </c>
      <c r="K28" s="74">
        <f>10+9</f>
        <v>19</v>
      </c>
      <c r="L28" s="156">
        <v>45390</v>
      </c>
      <c r="M28" s="90">
        <v>8540</v>
      </c>
      <c r="N28" s="90">
        <v>100</v>
      </c>
      <c r="O28" s="90" t="s">
        <v>812</v>
      </c>
      <c r="P28" s="94" t="s">
        <v>28</v>
      </c>
      <c r="Q28" s="94">
        <v>8500070027</v>
      </c>
      <c r="R28" s="94">
        <v>5000432368</v>
      </c>
      <c r="S28" s="94"/>
      <c r="T28" s="90" t="s">
        <v>87</v>
      </c>
      <c r="U28" s="90">
        <v>8500070026</v>
      </c>
      <c r="V28" s="90">
        <v>5000422963</v>
      </c>
      <c r="W28" s="109">
        <v>45421</v>
      </c>
      <c r="X28" s="106">
        <v>854</v>
      </c>
      <c r="Y28" s="106">
        <v>8540</v>
      </c>
      <c r="Z28" s="106" t="s">
        <v>758</v>
      </c>
      <c r="AA28" s="106">
        <f t="shared" si="1"/>
        <v>0</v>
      </c>
      <c r="AB28" s="106">
        <f t="shared" si="2"/>
        <v>0</v>
      </c>
      <c r="AC28" s="94"/>
      <c r="AD28" s="94"/>
      <c r="AE28" s="94"/>
      <c r="AF28" s="94"/>
      <c r="AG28" s="94"/>
      <c r="AH28" s="263"/>
    </row>
    <row r="29" spans="1:34" ht="32.25" customHeight="1">
      <c r="A29" s="90"/>
      <c r="B29" s="88"/>
      <c r="C29" s="2"/>
      <c r="D29" s="2"/>
      <c r="E29" s="74">
        <v>10</v>
      </c>
      <c r="F29" s="74">
        <v>1198</v>
      </c>
      <c r="G29" s="45">
        <f t="shared" si="0"/>
        <v>11980</v>
      </c>
      <c r="H29" s="119" t="s">
        <v>46</v>
      </c>
      <c r="I29" s="128">
        <v>45392</v>
      </c>
      <c r="J29" s="74">
        <v>1198</v>
      </c>
      <c r="K29" s="74">
        <f>10+12</f>
        <v>22</v>
      </c>
      <c r="L29" s="156">
        <v>45394</v>
      </c>
      <c r="M29" s="90">
        <v>11980</v>
      </c>
      <c r="N29" s="90">
        <v>135</v>
      </c>
      <c r="O29" s="90"/>
      <c r="P29" s="94" t="s">
        <v>28</v>
      </c>
      <c r="Q29" s="94">
        <v>8500070027</v>
      </c>
      <c r="R29" s="94">
        <v>5000432368</v>
      </c>
      <c r="S29" s="94"/>
      <c r="T29" s="90" t="s">
        <v>87</v>
      </c>
      <c r="U29" s="90">
        <v>8500070026</v>
      </c>
      <c r="V29" s="90">
        <v>5000443078</v>
      </c>
      <c r="W29" s="109">
        <v>45421</v>
      </c>
      <c r="X29" s="106">
        <v>1198</v>
      </c>
      <c r="Y29" s="106">
        <v>11980</v>
      </c>
      <c r="Z29" s="106" t="s">
        <v>267</v>
      </c>
      <c r="AA29" s="106">
        <f t="shared" si="1"/>
        <v>0</v>
      </c>
      <c r="AB29" s="106">
        <f t="shared" si="2"/>
        <v>0</v>
      </c>
      <c r="AC29" s="94"/>
      <c r="AD29" s="94"/>
      <c r="AE29" s="94"/>
      <c r="AF29" s="94"/>
      <c r="AG29" s="94"/>
      <c r="AH29" s="263"/>
    </row>
    <row r="30" spans="1:34" ht="32.25" customHeight="1">
      <c r="A30" s="90"/>
      <c r="B30" s="88"/>
      <c r="C30" s="2"/>
      <c r="D30" s="2"/>
      <c r="E30" s="74">
        <v>10</v>
      </c>
      <c r="F30" s="74">
        <v>882</v>
      </c>
      <c r="G30" s="45">
        <f t="shared" si="0"/>
        <v>8820</v>
      </c>
      <c r="H30" s="119" t="s">
        <v>37</v>
      </c>
      <c r="I30" s="128">
        <v>45392</v>
      </c>
      <c r="J30" s="74">
        <v>882</v>
      </c>
      <c r="K30" s="74">
        <f>7+3+9</f>
        <v>19</v>
      </c>
      <c r="L30" s="156">
        <v>45393</v>
      </c>
      <c r="M30" s="90">
        <v>8820</v>
      </c>
      <c r="N30" s="90">
        <v>103</v>
      </c>
      <c r="O30" s="90" t="s">
        <v>3323</v>
      </c>
      <c r="P30" s="94" t="s">
        <v>28</v>
      </c>
      <c r="Q30" s="94">
        <v>8500070027</v>
      </c>
      <c r="R30" s="94">
        <v>5000436303</v>
      </c>
      <c r="S30" s="94"/>
      <c r="T30" s="90" t="s">
        <v>87</v>
      </c>
      <c r="U30" s="90">
        <v>8500070026</v>
      </c>
      <c r="V30" s="90">
        <v>5000441283</v>
      </c>
      <c r="W30" s="109">
        <v>45415</v>
      </c>
      <c r="X30" s="106">
        <v>882</v>
      </c>
      <c r="Y30" s="106">
        <v>8820</v>
      </c>
      <c r="Z30" s="106" t="s">
        <v>755</v>
      </c>
      <c r="AA30" s="106">
        <f t="shared" si="1"/>
        <v>0</v>
      </c>
      <c r="AB30" s="106">
        <f t="shared" si="2"/>
        <v>0</v>
      </c>
      <c r="AC30" s="94"/>
      <c r="AD30" s="94"/>
      <c r="AE30" s="94"/>
      <c r="AF30" s="94"/>
      <c r="AG30" s="94"/>
      <c r="AH30" s="263"/>
    </row>
    <row r="31" spans="1:34" ht="32.25" customHeight="1">
      <c r="A31" s="90"/>
      <c r="B31" s="88"/>
      <c r="C31" s="2"/>
      <c r="D31" s="2"/>
      <c r="E31" s="74">
        <v>10</v>
      </c>
      <c r="F31" s="74">
        <v>406</v>
      </c>
      <c r="G31" s="45">
        <f t="shared" si="0"/>
        <v>4060</v>
      </c>
      <c r="H31" s="119" t="s">
        <v>146</v>
      </c>
      <c r="I31" s="128">
        <v>45392</v>
      </c>
      <c r="J31" s="74">
        <v>406</v>
      </c>
      <c r="K31" s="74">
        <f>10+4</f>
        <v>14</v>
      </c>
      <c r="L31" s="156">
        <v>45391</v>
      </c>
      <c r="M31" s="90">
        <v>4060</v>
      </c>
      <c r="N31" s="90">
        <v>56</v>
      </c>
      <c r="O31" s="90" t="s">
        <v>897</v>
      </c>
      <c r="P31" s="94" t="s">
        <v>28</v>
      </c>
      <c r="Q31" s="94">
        <v>8500070027</v>
      </c>
      <c r="R31" s="94">
        <v>5000432368</v>
      </c>
      <c r="S31" s="94"/>
      <c r="T31" s="90" t="s">
        <v>761</v>
      </c>
      <c r="U31" s="90">
        <v>8500070026</v>
      </c>
      <c r="V31" s="90">
        <v>5000427933</v>
      </c>
      <c r="W31" s="109">
        <v>45416</v>
      </c>
      <c r="X31" s="106">
        <v>406</v>
      </c>
      <c r="Y31" s="106">
        <v>4060</v>
      </c>
      <c r="Z31" s="106" t="s">
        <v>759</v>
      </c>
      <c r="AA31" s="106">
        <f t="shared" si="1"/>
        <v>0</v>
      </c>
      <c r="AB31" s="106">
        <f t="shared" si="2"/>
        <v>0</v>
      </c>
      <c r="AC31" s="94"/>
      <c r="AD31" s="94"/>
      <c r="AE31" s="94"/>
      <c r="AF31" s="94"/>
      <c r="AG31" s="94"/>
      <c r="AH31" s="263"/>
    </row>
    <row r="32" spans="1:34" ht="32.25" customHeight="1">
      <c r="A32" s="90" t="s">
        <v>279</v>
      </c>
      <c r="B32" s="88">
        <v>6000030045</v>
      </c>
      <c r="C32" s="2" t="s">
        <v>907</v>
      </c>
      <c r="D32" s="2" t="s">
        <v>3257</v>
      </c>
      <c r="E32" s="74">
        <v>10</v>
      </c>
      <c r="F32" s="261">
        <v>854</v>
      </c>
      <c r="G32" s="45">
        <f t="shared" si="0"/>
        <v>8540</v>
      </c>
      <c r="H32" s="119" t="s">
        <v>27</v>
      </c>
      <c r="I32" s="128">
        <v>45392</v>
      </c>
      <c r="J32" s="261">
        <v>854</v>
      </c>
      <c r="K32" s="74">
        <f>10+9</f>
        <v>19</v>
      </c>
      <c r="L32" s="156">
        <v>45390</v>
      </c>
      <c r="M32" s="90">
        <v>8540</v>
      </c>
      <c r="N32" s="90">
        <v>100</v>
      </c>
      <c r="O32" s="90" t="s">
        <v>1902</v>
      </c>
      <c r="P32" s="94" t="s">
        <v>28</v>
      </c>
      <c r="Q32" s="94">
        <v>8500070029</v>
      </c>
      <c r="R32" s="94">
        <v>5000432389</v>
      </c>
      <c r="S32" s="158"/>
      <c r="T32" s="90" t="s">
        <v>87</v>
      </c>
      <c r="U32" s="90">
        <v>8500070028</v>
      </c>
      <c r="V32" s="90">
        <v>5000422946</v>
      </c>
      <c r="W32" s="109">
        <v>45423</v>
      </c>
      <c r="X32" s="106">
        <v>854</v>
      </c>
      <c r="Y32" s="106">
        <v>8540</v>
      </c>
      <c r="Z32" s="106" t="s">
        <v>758</v>
      </c>
      <c r="AA32" s="106">
        <f t="shared" si="1"/>
        <v>0</v>
      </c>
      <c r="AB32" s="106">
        <f t="shared" si="2"/>
        <v>0</v>
      </c>
      <c r="AC32" s="94"/>
      <c r="AD32" s="94"/>
      <c r="AE32" s="94"/>
      <c r="AF32" s="94"/>
      <c r="AG32" s="94"/>
      <c r="AH32" s="263"/>
    </row>
    <row r="33" spans="1:34" ht="32.25" customHeight="1">
      <c r="A33" s="90"/>
      <c r="B33" s="88"/>
      <c r="C33" s="2"/>
      <c r="D33" s="2"/>
      <c r="E33" s="74">
        <v>10</v>
      </c>
      <c r="F33" s="74">
        <v>1198</v>
      </c>
      <c r="G33" s="45">
        <f t="shared" si="0"/>
        <v>11980</v>
      </c>
      <c r="H33" s="119" t="s">
        <v>46</v>
      </c>
      <c r="I33" s="128">
        <v>45392</v>
      </c>
      <c r="J33" s="74">
        <v>1198</v>
      </c>
      <c r="K33" s="74">
        <f>10+12</f>
        <v>22</v>
      </c>
      <c r="L33" s="156">
        <v>45394</v>
      </c>
      <c r="M33" s="90">
        <v>11980</v>
      </c>
      <c r="N33" s="90">
        <v>135</v>
      </c>
      <c r="O33" s="90"/>
      <c r="P33" s="94" t="s">
        <v>28</v>
      </c>
      <c r="Q33" s="94">
        <v>8500070029</v>
      </c>
      <c r="R33" s="94">
        <v>5000432389</v>
      </c>
      <c r="S33" s="74"/>
      <c r="T33" s="90" t="s">
        <v>87</v>
      </c>
      <c r="U33" s="90">
        <v>8500070028</v>
      </c>
      <c r="V33" s="90">
        <v>5000443110</v>
      </c>
      <c r="W33" s="109">
        <v>45423</v>
      </c>
      <c r="X33" s="106">
        <v>1198</v>
      </c>
      <c r="Y33" s="106">
        <v>11980</v>
      </c>
      <c r="Z33" s="106" t="s">
        <v>267</v>
      </c>
      <c r="AA33" s="106">
        <f t="shared" si="1"/>
        <v>0</v>
      </c>
      <c r="AB33" s="106">
        <f t="shared" si="2"/>
        <v>0</v>
      </c>
      <c r="AC33" s="94"/>
      <c r="AD33" s="94"/>
      <c r="AE33" s="94"/>
      <c r="AF33" s="94"/>
      <c r="AG33" s="94"/>
      <c r="AH33" s="263"/>
    </row>
    <row r="34" spans="1:34" ht="32.25" customHeight="1">
      <c r="A34" s="90"/>
      <c r="B34" s="88"/>
      <c r="C34" s="2"/>
      <c r="D34" s="2"/>
      <c r="E34" s="74">
        <v>10</v>
      </c>
      <c r="F34" s="74">
        <v>882</v>
      </c>
      <c r="G34" s="45">
        <f t="shared" si="0"/>
        <v>8820</v>
      </c>
      <c r="H34" s="119" t="s">
        <v>37</v>
      </c>
      <c r="I34" s="128">
        <v>45392</v>
      </c>
      <c r="J34" s="74">
        <v>882</v>
      </c>
      <c r="K34" s="74">
        <f>10+7</f>
        <v>17</v>
      </c>
      <c r="L34" s="156">
        <v>45392</v>
      </c>
      <c r="M34" s="90">
        <v>8820</v>
      </c>
      <c r="N34" s="90">
        <v>103</v>
      </c>
      <c r="O34" s="90" t="s">
        <v>1813</v>
      </c>
      <c r="P34" s="94" t="s">
        <v>28</v>
      </c>
      <c r="Q34" s="94">
        <v>8500070029</v>
      </c>
      <c r="R34" s="94">
        <v>5000436304</v>
      </c>
      <c r="S34" s="74"/>
      <c r="T34" s="90" t="s">
        <v>87</v>
      </c>
      <c r="U34" s="90">
        <v>8500070028</v>
      </c>
      <c r="V34" s="90">
        <v>5000432811</v>
      </c>
      <c r="W34" s="109">
        <v>45416</v>
      </c>
      <c r="X34" s="106">
        <v>882</v>
      </c>
      <c r="Y34" s="106">
        <v>8820</v>
      </c>
      <c r="Z34" s="106" t="s">
        <v>755</v>
      </c>
      <c r="AA34" s="106">
        <f t="shared" si="1"/>
        <v>0</v>
      </c>
      <c r="AB34" s="106">
        <f t="shared" si="2"/>
        <v>0</v>
      </c>
      <c r="AC34" s="94"/>
      <c r="AD34" s="94"/>
      <c r="AE34" s="94"/>
      <c r="AF34" s="94"/>
      <c r="AG34" s="94"/>
      <c r="AH34" s="263"/>
    </row>
    <row r="35" spans="1:34" ht="32.25" customHeight="1">
      <c r="A35" s="90"/>
      <c r="B35" s="88"/>
      <c r="C35" s="2"/>
      <c r="D35" s="2"/>
      <c r="E35" s="74">
        <v>10</v>
      </c>
      <c r="F35" s="74">
        <v>406</v>
      </c>
      <c r="G35" s="45">
        <f t="shared" si="0"/>
        <v>4060</v>
      </c>
      <c r="H35" s="119" t="s">
        <v>146</v>
      </c>
      <c r="I35" s="128">
        <v>45392</v>
      </c>
      <c r="J35" s="74">
        <v>406</v>
      </c>
      <c r="K35" s="74">
        <f>10+4</f>
        <v>14</v>
      </c>
      <c r="L35" s="156">
        <v>45393</v>
      </c>
      <c r="M35" s="90">
        <v>4060</v>
      </c>
      <c r="N35" s="90">
        <v>56</v>
      </c>
      <c r="O35" s="90" t="s">
        <v>858</v>
      </c>
      <c r="P35" s="94" t="s">
        <v>28</v>
      </c>
      <c r="Q35" s="94">
        <v>8500070029</v>
      </c>
      <c r="R35" s="94">
        <v>5000432389</v>
      </c>
      <c r="S35" s="158"/>
      <c r="T35" s="90" t="s">
        <v>87</v>
      </c>
      <c r="U35" s="90">
        <v>8500070028</v>
      </c>
      <c r="V35" s="90">
        <v>5000443076</v>
      </c>
      <c r="W35" s="109">
        <v>45418</v>
      </c>
      <c r="X35" s="106">
        <v>406</v>
      </c>
      <c r="Y35" s="106">
        <v>4060</v>
      </c>
      <c r="Z35" s="106" t="s">
        <v>759</v>
      </c>
      <c r="AA35" s="106">
        <f t="shared" si="1"/>
        <v>0</v>
      </c>
      <c r="AB35" s="106">
        <f t="shared" si="2"/>
        <v>0</v>
      </c>
      <c r="AC35" s="94"/>
      <c r="AD35" s="94"/>
      <c r="AE35" s="94"/>
      <c r="AF35" s="94"/>
      <c r="AG35" s="94"/>
      <c r="AH35" s="263"/>
    </row>
    <row r="36" spans="1:34" ht="32.25" customHeight="1">
      <c r="A36" s="90" t="s">
        <v>279</v>
      </c>
      <c r="B36" s="88">
        <v>6000030046</v>
      </c>
      <c r="C36" s="2" t="s">
        <v>907</v>
      </c>
      <c r="D36" s="2" t="s">
        <v>3258</v>
      </c>
      <c r="E36" s="74">
        <v>10</v>
      </c>
      <c r="F36" s="261">
        <v>854</v>
      </c>
      <c r="G36" s="45">
        <f t="shared" si="0"/>
        <v>8540</v>
      </c>
      <c r="H36" s="119" t="s">
        <v>27</v>
      </c>
      <c r="I36" s="128">
        <v>45392</v>
      </c>
      <c r="J36" s="261">
        <v>854</v>
      </c>
      <c r="K36" s="74">
        <f>10+8</f>
        <v>18</v>
      </c>
      <c r="L36" s="156">
        <v>45390</v>
      </c>
      <c r="M36" s="90">
        <v>8540</v>
      </c>
      <c r="N36" s="90">
        <v>100</v>
      </c>
      <c r="O36" s="90" t="s">
        <v>853</v>
      </c>
      <c r="P36" s="94" t="s">
        <v>28</v>
      </c>
      <c r="Q36" s="94">
        <v>8500070031</v>
      </c>
      <c r="R36" s="94">
        <v>5000436307</v>
      </c>
      <c r="S36" s="74"/>
      <c r="T36" s="90" t="s">
        <v>761</v>
      </c>
      <c r="U36" s="90">
        <v>8500070030</v>
      </c>
      <c r="V36" s="90">
        <v>5000422948</v>
      </c>
      <c r="W36" s="109">
        <v>45423</v>
      </c>
      <c r="X36" s="106">
        <v>854</v>
      </c>
      <c r="Y36" s="106">
        <v>8540</v>
      </c>
      <c r="Z36" s="106" t="s">
        <v>758</v>
      </c>
      <c r="AA36" s="106">
        <f t="shared" si="1"/>
        <v>0</v>
      </c>
      <c r="AB36" s="106">
        <f t="shared" si="2"/>
        <v>0</v>
      </c>
      <c r="AC36" s="94"/>
      <c r="AD36" s="94"/>
      <c r="AE36" s="94"/>
      <c r="AF36" s="94"/>
      <c r="AG36" s="94"/>
      <c r="AH36" s="263"/>
    </row>
    <row r="37" spans="1:34" ht="32.25" customHeight="1">
      <c r="A37" s="90"/>
      <c r="B37" s="88"/>
      <c r="C37" s="2"/>
      <c r="D37" s="2"/>
      <c r="E37" s="74">
        <v>10</v>
      </c>
      <c r="F37" s="74">
        <v>1198</v>
      </c>
      <c r="G37" s="45">
        <f t="shared" si="0"/>
        <v>11980</v>
      </c>
      <c r="H37" s="119" t="s">
        <v>46</v>
      </c>
      <c r="I37" s="128">
        <v>45392</v>
      </c>
      <c r="J37" s="74">
        <v>1198</v>
      </c>
      <c r="K37" s="74">
        <f>10+5</f>
        <v>15</v>
      </c>
      <c r="L37" s="156">
        <v>45395</v>
      </c>
      <c r="M37" s="90">
        <v>11980</v>
      </c>
      <c r="N37" s="90">
        <v>135</v>
      </c>
      <c r="O37" s="90"/>
      <c r="P37" s="94" t="s">
        <v>28</v>
      </c>
      <c r="Q37" s="94">
        <v>8500070031</v>
      </c>
      <c r="R37" s="94">
        <v>5000436307</v>
      </c>
      <c r="S37" s="261"/>
      <c r="T37" s="90" t="s">
        <v>761</v>
      </c>
      <c r="U37" s="90">
        <v>8500070030</v>
      </c>
      <c r="V37" s="90">
        <v>5000461162</v>
      </c>
      <c r="W37" s="109">
        <v>45425</v>
      </c>
      <c r="X37" s="106">
        <v>1198</v>
      </c>
      <c r="Y37" s="106">
        <v>11980</v>
      </c>
      <c r="Z37" s="106" t="s">
        <v>267</v>
      </c>
      <c r="AA37" s="106">
        <f t="shared" si="1"/>
        <v>0</v>
      </c>
      <c r="AB37" s="106">
        <f t="shared" si="2"/>
        <v>0</v>
      </c>
      <c r="AC37" s="94"/>
      <c r="AD37" s="94"/>
      <c r="AE37" s="94"/>
      <c r="AF37" s="94"/>
      <c r="AG37" s="94"/>
      <c r="AH37" s="263"/>
    </row>
    <row r="38" spans="1:34" ht="32.25" customHeight="1">
      <c r="A38" s="90"/>
      <c r="B38" s="88"/>
      <c r="C38" s="2"/>
      <c r="D38" s="2"/>
      <c r="E38" s="74">
        <v>10</v>
      </c>
      <c r="F38" s="74">
        <v>882</v>
      </c>
      <c r="G38" s="45">
        <f t="shared" si="0"/>
        <v>8820</v>
      </c>
      <c r="H38" s="119" t="s">
        <v>37</v>
      </c>
      <c r="I38" s="128">
        <v>45392</v>
      </c>
      <c r="J38" s="74">
        <v>882</v>
      </c>
      <c r="K38" s="74">
        <f>10+9</f>
        <v>19</v>
      </c>
      <c r="L38" s="156">
        <v>45393</v>
      </c>
      <c r="M38" s="90">
        <v>8820</v>
      </c>
      <c r="N38" s="90">
        <v>103</v>
      </c>
      <c r="O38" s="90" t="s">
        <v>3337</v>
      </c>
      <c r="P38" s="94" t="s">
        <v>28</v>
      </c>
      <c r="Q38" s="94">
        <v>8500070031</v>
      </c>
      <c r="R38" s="94">
        <v>5000436307</v>
      </c>
      <c r="S38" s="74"/>
      <c r="T38" s="90" t="s">
        <v>761</v>
      </c>
      <c r="U38" s="90">
        <v>8500070030</v>
      </c>
      <c r="V38" s="90">
        <v>5000443077</v>
      </c>
      <c r="W38" s="109">
        <v>45419</v>
      </c>
      <c r="X38" s="106">
        <v>882</v>
      </c>
      <c r="Y38" s="106">
        <v>8820</v>
      </c>
      <c r="Z38" s="106" t="s">
        <v>755</v>
      </c>
      <c r="AA38" s="106">
        <f t="shared" si="1"/>
        <v>0</v>
      </c>
      <c r="AB38" s="106">
        <f t="shared" si="2"/>
        <v>0</v>
      </c>
      <c r="AC38" s="94"/>
      <c r="AD38" s="94"/>
      <c r="AE38" s="94"/>
      <c r="AF38" s="94"/>
      <c r="AG38" s="94"/>
      <c r="AH38" s="263"/>
    </row>
    <row r="39" spans="1:34" ht="32.25" customHeight="1">
      <c r="A39" s="90"/>
      <c r="B39" s="88"/>
      <c r="C39" s="2"/>
      <c r="D39" s="2"/>
      <c r="E39" s="74">
        <v>10</v>
      </c>
      <c r="F39" s="74">
        <v>406</v>
      </c>
      <c r="G39" s="45">
        <f t="shared" si="0"/>
        <v>4060</v>
      </c>
      <c r="H39" s="119" t="s">
        <v>146</v>
      </c>
      <c r="I39" s="128">
        <v>45392</v>
      </c>
      <c r="J39" s="74">
        <v>406</v>
      </c>
      <c r="K39" s="74">
        <f>10+4</f>
        <v>14</v>
      </c>
      <c r="L39" s="156">
        <v>45391</v>
      </c>
      <c r="M39" s="90">
        <v>4060</v>
      </c>
      <c r="N39" s="90">
        <v>56</v>
      </c>
      <c r="O39" s="90" t="s">
        <v>1613</v>
      </c>
      <c r="P39" s="94" t="s">
        <v>28</v>
      </c>
      <c r="Q39" s="94">
        <v>8500070031</v>
      </c>
      <c r="R39" s="94">
        <v>5000432395</v>
      </c>
      <c r="S39" s="74"/>
      <c r="T39" s="90" t="s">
        <v>761</v>
      </c>
      <c r="U39" s="90">
        <v>8500070030</v>
      </c>
      <c r="V39" s="90">
        <v>5000427935</v>
      </c>
      <c r="W39" s="109">
        <v>45418</v>
      </c>
      <c r="X39" s="106">
        <v>406</v>
      </c>
      <c r="Y39" s="106">
        <v>4060</v>
      </c>
      <c r="Z39" s="106" t="s">
        <v>759</v>
      </c>
      <c r="AA39" s="106">
        <f t="shared" si="1"/>
        <v>0</v>
      </c>
      <c r="AB39" s="106">
        <f t="shared" si="2"/>
        <v>0</v>
      </c>
      <c r="AC39" s="94"/>
      <c r="AD39" s="94"/>
      <c r="AE39" s="94"/>
      <c r="AF39" s="94"/>
      <c r="AG39" s="94"/>
      <c r="AH39" s="263"/>
    </row>
    <row r="40" spans="1:34" ht="32.25" customHeight="1">
      <c r="A40" s="90" t="s">
        <v>178</v>
      </c>
      <c r="B40" s="88">
        <v>6000029803</v>
      </c>
      <c r="C40" s="2" t="s">
        <v>844</v>
      </c>
      <c r="D40" s="2">
        <v>4924051001</v>
      </c>
      <c r="E40" s="94">
        <v>4</v>
      </c>
      <c r="F40" s="74">
        <v>210</v>
      </c>
      <c r="G40" s="45">
        <f t="shared" si="0"/>
        <v>840</v>
      </c>
      <c r="H40" s="119" t="s">
        <v>27</v>
      </c>
      <c r="I40" s="128">
        <v>45386</v>
      </c>
      <c r="J40" s="74">
        <v>210</v>
      </c>
      <c r="K40" s="74">
        <v>2</v>
      </c>
      <c r="L40" s="156">
        <v>45390</v>
      </c>
      <c r="M40" s="90">
        <v>840</v>
      </c>
      <c r="N40" s="90">
        <v>5</v>
      </c>
      <c r="O40" s="90" t="s">
        <v>1403</v>
      </c>
      <c r="P40" s="94" t="s">
        <v>1558</v>
      </c>
      <c r="Q40" s="94">
        <v>8500069774</v>
      </c>
      <c r="R40" s="94">
        <v>5000403016</v>
      </c>
      <c r="S40" s="158"/>
      <c r="T40" s="90" t="s">
        <v>3283</v>
      </c>
      <c r="U40" s="90">
        <v>8500069773</v>
      </c>
      <c r="V40" s="90">
        <v>5000422968</v>
      </c>
      <c r="W40" s="109">
        <v>45437</v>
      </c>
      <c r="X40" s="106">
        <v>210</v>
      </c>
      <c r="Y40" s="106">
        <v>840</v>
      </c>
      <c r="Z40" s="106" t="s">
        <v>800</v>
      </c>
      <c r="AA40" s="106">
        <f t="shared" si="1"/>
        <v>0</v>
      </c>
      <c r="AB40" s="106">
        <f t="shared" si="2"/>
        <v>0</v>
      </c>
      <c r="AC40" s="94" t="s">
        <v>3578</v>
      </c>
      <c r="AD40" s="94"/>
      <c r="AE40" s="94"/>
      <c r="AF40" s="94"/>
      <c r="AG40" s="94"/>
      <c r="AH40" s="263"/>
    </row>
    <row r="41" spans="1:34" ht="32.25" customHeight="1">
      <c r="A41" s="90" t="s">
        <v>178</v>
      </c>
      <c r="B41" s="88">
        <v>6000029803</v>
      </c>
      <c r="C41" s="2" t="s">
        <v>844</v>
      </c>
      <c r="D41" s="2">
        <v>4924051001</v>
      </c>
      <c r="E41" s="94">
        <v>4</v>
      </c>
      <c r="F41" s="74">
        <v>210</v>
      </c>
      <c r="G41" s="45">
        <f t="shared" si="0"/>
        <v>840</v>
      </c>
      <c r="H41" s="119" t="s">
        <v>46</v>
      </c>
      <c r="I41" s="128">
        <v>45386</v>
      </c>
      <c r="J41" s="74">
        <v>210</v>
      </c>
      <c r="K41" s="74">
        <v>2</v>
      </c>
      <c r="L41" s="156">
        <v>45390</v>
      </c>
      <c r="M41" s="90">
        <v>840</v>
      </c>
      <c r="N41" s="90">
        <v>5</v>
      </c>
      <c r="O41" s="90" t="s">
        <v>1403</v>
      </c>
      <c r="P41" s="94" t="s">
        <v>1558</v>
      </c>
      <c r="Q41" s="94">
        <v>8500069774</v>
      </c>
      <c r="R41" s="94">
        <v>5000403016</v>
      </c>
      <c r="S41" s="158"/>
      <c r="T41" s="90" t="s">
        <v>3283</v>
      </c>
      <c r="U41" s="90">
        <v>8500069773</v>
      </c>
      <c r="V41" s="90">
        <v>5000422968</v>
      </c>
      <c r="W41" s="109">
        <v>45437</v>
      </c>
      <c r="X41" s="106">
        <v>210</v>
      </c>
      <c r="Y41" s="106">
        <v>840</v>
      </c>
      <c r="Z41" s="106" t="s">
        <v>800</v>
      </c>
      <c r="AA41" s="106">
        <f>J41-X41</f>
        <v>0</v>
      </c>
      <c r="AB41" s="106">
        <f>M41-Y41</f>
        <v>0</v>
      </c>
      <c r="AC41" s="94" t="s">
        <v>3578</v>
      </c>
      <c r="AD41" s="94"/>
      <c r="AE41" s="94"/>
      <c r="AF41" s="94"/>
      <c r="AG41" s="94"/>
      <c r="AH41" s="263"/>
    </row>
    <row r="42" spans="1:34" ht="32.25" customHeight="1">
      <c r="A42" s="90" t="s">
        <v>178</v>
      </c>
      <c r="B42" s="88">
        <v>6000029803</v>
      </c>
      <c r="C42" s="2" t="s">
        <v>844</v>
      </c>
      <c r="D42" s="2">
        <v>4924051001</v>
      </c>
      <c r="E42" s="94">
        <v>4</v>
      </c>
      <c r="F42" s="74">
        <v>210</v>
      </c>
      <c r="G42" s="45">
        <f t="shared" si="0"/>
        <v>840</v>
      </c>
      <c r="H42" s="119" t="s">
        <v>37</v>
      </c>
      <c r="I42" s="128">
        <v>45386</v>
      </c>
      <c r="J42" s="74">
        <v>210</v>
      </c>
      <c r="K42" s="74">
        <v>2</v>
      </c>
      <c r="L42" s="156">
        <v>45390</v>
      </c>
      <c r="M42" s="90">
        <v>840</v>
      </c>
      <c r="N42" s="90">
        <v>5</v>
      </c>
      <c r="O42" s="90" t="s">
        <v>1403</v>
      </c>
      <c r="P42" s="94" t="s">
        <v>1558</v>
      </c>
      <c r="Q42" s="94">
        <v>8500069774</v>
      </c>
      <c r="R42" s="94">
        <v>5000403016</v>
      </c>
      <c r="S42" s="158"/>
      <c r="T42" s="90" t="s">
        <v>3283</v>
      </c>
      <c r="U42" s="90">
        <v>8500069773</v>
      </c>
      <c r="V42" s="90">
        <v>5000422968</v>
      </c>
      <c r="W42" s="109">
        <v>45437</v>
      </c>
      <c r="X42" s="106">
        <v>210</v>
      </c>
      <c r="Y42" s="106">
        <v>840</v>
      </c>
      <c r="Z42" s="106" t="s">
        <v>800</v>
      </c>
      <c r="AA42" s="106">
        <f>J42-X42</f>
        <v>0</v>
      </c>
      <c r="AB42" s="106">
        <f>M42-Y42</f>
        <v>0</v>
      </c>
      <c r="AC42" s="94" t="s">
        <v>3578</v>
      </c>
      <c r="AD42" s="94"/>
      <c r="AE42" s="94"/>
      <c r="AF42" s="94"/>
      <c r="AG42" s="94"/>
      <c r="AH42" s="263"/>
    </row>
    <row r="43" spans="1:34" ht="32.25" customHeight="1">
      <c r="A43" s="90" t="s">
        <v>178</v>
      </c>
      <c r="B43" s="88">
        <v>6000029803</v>
      </c>
      <c r="C43" s="2" t="s">
        <v>842</v>
      </c>
      <c r="D43" s="2">
        <v>4924051001</v>
      </c>
      <c r="E43" s="94">
        <v>4</v>
      </c>
      <c r="F43" s="74">
        <v>320</v>
      </c>
      <c r="G43" s="45">
        <f t="shared" si="0"/>
        <v>1280</v>
      </c>
      <c r="H43" s="119" t="s">
        <v>46</v>
      </c>
      <c r="I43" s="128">
        <v>45386</v>
      </c>
      <c r="J43" s="74">
        <v>320</v>
      </c>
      <c r="K43" s="74">
        <v>3</v>
      </c>
      <c r="L43" s="156">
        <v>45385</v>
      </c>
      <c r="M43" s="90">
        <v>1280</v>
      </c>
      <c r="N43" s="90">
        <v>13</v>
      </c>
      <c r="O43" s="90" t="s">
        <v>1388</v>
      </c>
      <c r="P43" s="94" t="s">
        <v>1558</v>
      </c>
      <c r="Q43" s="94">
        <v>8500069776</v>
      </c>
      <c r="R43" s="94">
        <v>5000403011</v>
      </c>
      <c r="S43" s="74"/>
      <c r="T43" s="90" t="s">
        <v>87</v>
      </c>
      <c r="U43" s="90">
        <v>8500069775</v>
      </c>
      <c r="V43" s="90">
        <v>5000399625</v>
      </c>
      <c r="W43" s="109">
        <v>45394</v>
      </c>
      <c r="X43" s="106">
        <v>320</v>
      </c>
      <c r="Y43" s="106">
        <v>1280</v>
      </c>
      <c r="Z43" s="106" t="s">
        <v>1460</v>
      </c>
      <c r="AA43" s="106">
        <f t="shared" si="1"/>
        <v>0</v>
      </c>
      <c r="AB43" s="106">
        <f t="shared" si="2"/>
        <v>0</v>
      </c>
      <c r="AC43" s="111"/>
      <c r="AD43" s="94"/>
      <c r="AE43" s="94"/>
      <c r="AF43" s="94"/>
      <c r="AG43" s="94"/>
      <c r="AH43" s="263"/>
    </row>
    <row r="44" spans="1:34" ht="32.25" customHeight="1">
      <c r="A44" s="90"/>
      <c r="B44" s="88"/>
      <c r="C44" s="2"/>
      <c r="D44" s="2"/>
      <c r="E44" s="94">
        <v>4</v>
      </c>
      <c r="F44" s="74">
        <v>530</v>
      </c>
      <c r="G44" s="45">
        <f t="shared" ref="G44:G75" si="3">F44*E44</f>
        <v>2120</v>
      </c>
      <c r="H44" s="119" t="s">
        <v>146</v>
      </c>
      <c r="I44" s="128">
        <v>45386</v>
      </c>
      <c r="J44" s="74">
        <v>530</v>
      </c>
      <c r="K44" s="74">
        <v>5</v>
      </c>
      <c r="L44" s="156">
        <v>45385</v>
      </c>
      <c r="M44" s="90">
        <v>2120</v>
      </c>
      <c r="N44" s="90">
        <v>21</v>
      </c>
      <c r="O44" s="90" t="s">
        <v>1732</v>
      </c>
      <c r="P44" s="94" t="s">
        <v>1558</v>
      </c>
      <c r="Q44" s="94">
        <v>8500069776</v>
      </c>
      <c r="R44" s="94">
        <v>5000403011</v>
      </c>
      <c r="S44" s="158"/>
      <c r="T44" s="90" t="s">
        <v>87</v>
      </c>
      <c r="U44" s="90">
        <v>8500069775</v>
      </c>
      <c r="V44" s="90">
        <v>5000399625</v>
      </c>
      <c r="W44" s="109">
        <v>45366</v>
      </c>
      <c r="X44" s="106">
        <v>530</v>
      </c>
      <c r="Y44" s="106">
        <v>2120</v>
      </c>
      <c r="Z44" s="106" t="s">
        <v>3325</v>
      </c>
      <c r="AA44" s="106">
        <f t="shared" si="1"/>
        <v>0</v>
      </c>
      <c r="AB44" s="106">
        <f t="shared" si="2"/>
        <v>0</v>
      </c>
      <c r="AC44" s="111"/>
      <c r="AD44" s="94"/>
      <c r="AE44" s="94"/>
      <c r="AF44" s="94"/>
      <c r="AG44" s="94"/>
      <c r="AH44" s="263"/>
    </row>
    <row r="45" spans="1:34" ht="32.25" customHeight="1">
      <c r="A45" s="90" t="s">
        <v>178</v>
      </c>
      <c r="B45" s="88">
        <v>6000029803</v>
      </c>
      <c r="C45" s="2" t="s">
        <v>843</v>
      </c>
      <c r="D45" s="2">
        <v>4924051001</v>
      </c>
      <c r="E45" s="94">
        <v>4</v>
      </c>
      <c r="F45" s="74">
        <v>2135</v>
      </c>
      <c r="G45" s="45">
        <f t="shared" si="3"/>
        <v>8540</v>
      </c>
      <c r="H45" s="119" t="s">
        <v>46</v>
      </c>
      <c r="I45" s="128">
        <v>45386</v>
      </c>
      <c r="J45" s="74">
        <v>2135</v>
      </c>
      <c r="K45" s="74">
        <v>21</v>
      </c>
      <c r="L45" s="156">
        <v>45385</v>
      </c>
      <c r="M45" s="90">
        <v>8540</v>
      </c>
      <c r="N45" s="90">
        <v>85</v>
      </c>
      <c r="O45" s="90"/>
      <c r="P45" s="94" t="s">
        <v>1558</v>
      </c>
      <c r="Q45" s="94">
        <v>8500069788</v>
      </c>
      <c r="R45" s="94">
        <v>5000403008</v>
      </c>
      <c r="S45" s="94"/>
      <c r="T45" s="90" t="s">
        <v>87</v>
      </c>
      <c r="U45" s="90">
        <v>8500069787</v>
      </c>
      <c r="V45" s="90">
        <v>5000399599</v>
      </c>
      <c r="W45" s="127" t="s">
        <v>3623</v>
      </c>
      <c r="X45" s="106">
        <f>1200+935</f>
        <v>2135</v>
      </c>
      <c r="Y45" s="106">
        <f>4800+3740</f>
        <v>8540</v>
      </c>
      <c r="Z45" s="106" t="s">
        <v>3624</v>
      </c>
      <c r="AA45" s="106">
        <f t="shared" si="1"/>
        <v>0</v>
      </c>
      <c r="AB45" s="106">
        <f t="shared" si="2"/>
        <v>0</v>
      </c>
      <c r="AC45" s="111"/>
      <c r="AD45" s="94"/>
      <c r="AE45" s="94"/>
      <c r="AF45" s="94"/>
      <c r="AG45" s="94"/>
      <c r="AH45" s="263"/>
    </row>
    <row r="46" spans="1:34" ht="32.25" customHeight="1">
      <c r="A46" s="90"/>
      <c r="B46" s="88"/>
      <c r="C46" s="2"/>
      <c r="D46" s="192"/>
      <c r="E46" s="94">
        <v>4</v>
      </c>
      <c r="F46" s="74">
        <v>430</v>
      </c>
      <c r="G46" s="45">
        <f t="shared" si="3"/>
        <v>1720</v>
      </c>
      <c r="H46" s="119" t="s">
        <v>37</v>
      </c>
      <c r="I46" s="128">
        <v>45386</v>
      </c>
      <c r="J46" s="74">
        <v>430</v>
      </c>
      <c r="K46" s="74">
        <v>4</v>
      </c>
      <c r="L46" s="156">
        <v>45385</v>
      </c>
      <c r="M46" s="90">
        <v>1720</v>
      </c>
      <c r="N46" s="90">
        <v>17</v>
      </c>
      <c r="O46" s="90" t="s">
        <v>1732</v>
      </c>
      <c r="P46" s="94" t="s">
        <v>1558</v>
      </c>
      <c r="Q46" s="94">
        <v>8500069788</v>
      </c>
      <c r="R46" s="94">
        <v>5000403008</v>
      </c>
      <c r="S46" s="94"/>
      <c r="T46" s="90" t="s">
        <v>87</v>
      </c>
      <c r="U46" s="90">
        <v>8500069787</v>
      </c>
      <c r="V46" s="90">
        <v>5000399599</v>
      </c>
      <c r="W46" s="127" t="s">
        <v>3647</v>
      </c>
      <c r="X46" s="106">
        <f>300+130</f>
        <v>430</v>
      </c>
      <c r="Y46" s="106">
        <f>1200+520</f>
        <v>1720</v>
      </c>
      <c r="Z46" s="106" t="s">
        <v>3648</v>
      </c>
      <c r="AA46" s="106">
        <f t="shared" si="1"/>
        <v>0</v>
      </c>
      <c r="AB46" s="106">
        <f t="shared" si="2"/>
        <v>0</v>
      </c>
      <c r="AC46" s="111"/>
      <c r="AD46" s="94"/>
      <c r="AE46" s="94"/>
      <c r="AF46" s="94"/>
      <c r="AG46" s="94"/>
      <c r="AH46" s="263"/>
    </row>
    <row r="47" spans="1:34" ht="32.25" customHeight="1">
      <c r="A47" s="90"/>
      <c r="B47" s="88" t="s">
        <v>3656</v>
      </c>
      <c r="C47" s="2"/>
      <c r="D47" s="192"/>
      <c r="E47" s="94">
        <v>4</v>
      </c>
      <c r="F47" s="261">
        <v>2135</v>
      </c>
      <c r="G47" s="45">
        <f t="shared" si="3"/>
        <v>8540</v>
      </c>
      <c r="H47" s="119" t="s">
        <v>146</v>
      </c>
      <c r="I47" s="128">
        <v>45386</v>
      </c>
      <c r="J47" s="261">
        <v>2135</v>
      </c>
      <c r="K47" s="74">
        <v>21</v>
      </c>
      <c r="L47" s="156">
        <v>45385</v>
      </c>
      <c r="M47" s="90">
        <v>8540</v>
      </c>
      <c r="N47" s="90">
        <v>85</v>
      </c>
      <c r="O47" s="90"/>
      <c r="P47" s="94" t="s">
        <v>1558</v>
      </c>
      <c r="Q47" s="94">
        <v>8500069788</v>
      </c>
      <c r="R47" s="94">
        <v>5000403008</v>
      </c>
      <c r="S47" s="94"/>
      <c r="T47" s="90" t="s">
        <v>87</v>
      </c>
      <c r="U47" s="90">
        <v>8500069787</v>
      </c>
      <c r="V47" s="90">
        <v>5000399599</v>
      </c>
      <c r="W47" s="109">
        <v>45399</v>
      </c>
      <c r="X47" s="106">
        <v>2135</v>
      </c>
      <c r="Y47" s="106">
        <v>8540</v>
      </c>
      <c r="Z47" s="106" t="s">
        <v>798</v>
      </c>
      <c r="AA47" s="106">
        <f t="shared" si="1"/>
        <v>0</v>
      </c>
      <c r="AB47" s="106">
        <f t="shared" si="2"/>
        <v>0</v>
      </c>
      <c r="AC47" s="111" t="s">
        <v>3621</v>
      </c>
      <c r="AD47" s="94"/>
      <c r="AE47" s="94"/>
      <c r="AF47" s="94"/>
      <c r="AG47" s="94"/>
      <c r="AH47" s="263"/>
    </row>
    <row r="48" spans="1:34" ht="32.25" customHeight="1">
      <c r="A48" s="90" t="s">
        <v>178</v>
      </c>
      <c r="B48" s="88">
        <v>6000029979</v>
      </c>
      <c r="C48" s="2" t="s">
        <v>844</v>
      </c>
      <c r="D48" s="2">
        <v>4924055002</v>
      </c>
      <c r="E48" s="94">
        <v>4</v>
      </c>
      <c r="F48" s="363">
        <v>200</v>
      </c>
      <c r="G48" s="329">
        <f t="shared" si="3"/>
        <v>800</v>
      </c>
      <c r="H48" s="331" t="s">
        <v>46</v>
      </c>
      <c r="I48" s="128">
        <v>45391</v>
      </c>
      <c r="J48" s="261">
        <v>200</v>
      </c>
      <c r="K48" s="74">
        <v>2</v>
      </c>
      <c r="L48" s="156">
        <v>45390</v>
      </c>
      <c r="M48" s="90">
        <v>800</v>
      </c>
      <c r="N48" s="90">
        <v>4</v>
      </c>
      <c r="O48" s="90" t="s">
        <v>1344</v>
      </c>
      <c r="P48" s="94" t="s">
        <v>1558</v>
      </c>
      <c r="Q48" s="94">
        <v>8500070011</v>
      </c>
      <c r="R48" s="94">
        <v>5000427821</v>
      </c>
      <c r="S48" s="94"/>
      <c r="T48" s="90" t="s">
        <v>3283</v>
      </c>
      <c r="U48" s="90">
        <v>8500070010</v>
      </c>
      <c r="V48" s="90">
        <v>5000422965</v>
      </c>
      <c r="W48" s="109">
        <v>45405</v>
      </c>
      <c r="X48" s="106">
        <v>200</v>
      </c>
      <c r="Y48" s="106">
        <v>800</v>
      </c>
      <c r="Z48" s="106" t="s">
        <v>2112</v>
      </c>
      <c r="AA48" s="106">
        <f t="shared" si="1"/>
        <v>0</v>
      </c>
      <c r="AB48" s="106">
        <f t="shared" si="2"/>
        <v>0</v>
      </c>
      <c r="AC48" s="94"/>
      <c r="AD48" s="94"/>
      <c r="AE48" s="94"/>
      <c r="AF48" s="94"/>
      <c r="AG48" s="94"/>
      <c r="AH48" s="263"/>
    </row>
    <row r="49" spans="1:34" ht="32.25" customHeight="1">
      <c r="A49" s="90"/>
      <c r="B49" s="88"/>
      <c r="C49" s="2"/>
      <c r="D49" s="2"/>
      <c r="E49" s="94">
        <v>4</v>
      </c>
      <c r="F49" s="271">
        <v>1000</v>
      </c>
      <c r="G49" s="329">
        <f t="shared" si="3"/>
        <v>4000</v>
      </c>
      <c r="H49" s="331" t="s">
        <v>37</v>
      </c>
      <c r="I49" s="128">
        <v>45391</v>
      </c>
      <c r="J49" s="74">
        <v>1000</v>
      </c>
      <c r="K49" s="74">
        <v>10</v>
      </c>
      <c r="L49" s="156">
        <v>45390</v>
      </c>
      <c r="M49" s="90">
        <v>4000</v>
      </c>
      <c r="N49" s="90">
        <v>20</v>
      </c>
      <c r="O49" s="90" t="s">
        <v>1846</v>
      </c>
      <c r="P49" s="94" t="s">
        <v>1558</v>
      </c>
      <c r="Q49" s="94">
        <v>8500070011</v>
      </c>
      <c r="R49" s="94">
        <v>5000427821</v>
      </c>
      <c r="S49" s="74"/>
      <c r="T49" s="90" t="s">
        <v>3283</v>
      </c>
      <c r="U49" s="90">
        <v>8500070010</v>
      </c>
      <c r="V49" s="90">
        <v>5000422965</v>
      </c>
      <c r="W49" s="109">
        <v>45444</v>
      </c>
      <c r="X49" s="106">
        <v>1000</v>
      </c>
      <c r="Y49" s="106">
        <v>4000</v>
      </c>
      <c r="Z49" s="106" t="s">
        <v>800</v>
      </c>
      <c r="AA49" s="106">
        <f t="shared" si="1"/>
        <v>0</v>
      </c>
      <c r="AB49" s="106">
        <f t="shared" si="2"/>
        <v>0</v>
      </c>
      <c r="AC49" s="94" t="s">
        <v>3578</v>
      </c>
      <c r="AD49" s="94"/>
      <c r="AE49" s="94"/>
      <c r="AF49" s="94"/>
      <c r="AG49" s="94"/>
      <c r="AH49" s="263"/>
    </row>
    <row r="50" spans="1:34" ht="32.25" customHeight="1">
      <c r="A50" s="90"/>
      <c r="B50" s="88"/>
      <c r="C50" s="2"/>
      <c r="D50" s="2"/>
      <c r="E50" s="94">
        <v>4</v>
      </c>
      <c r="F50" s="271">
        <v>750</v>
      </c>
      <c r="G50" s="329">
        <f t="shared" si="3"/>
        <v>3000</v>
      </c>
      <c r="H50" s="331" t="s">
        <v>146</v>
      </c>
      <c r="I50" s="128">
        <v>45391</v>
      </c>
      <c r="J50" s="74">
        <v>750</v>
      </c>
      <c r="K50" s="74">
        <v>7</v>
      </c>
      <c r="L50" s="156">
        <v>45390</v>
      </c>
      <c r="M50" s="90">
        <v>3000</v>
      </c>
      <c r="N50" s="90">
        <v>15</v>
      </c>
      <c r="O50" s="90" t="s">
        <v>2107</v>
      </c>
      <c r="P50" s="94" t="s">
        <v>1558</v>
      </c>
      <c r="Q50" s="94">
        <v>8500070011</v>
      </c>
      <c r="R50" s="94">
        <v>5000427821</v>
      </c>
      <c r="S50" s="74"/>
      <c r="T50" s="90" t="s">
        <v>3283</v>
      </c>
      <c r="U50" s="90">
        <v>8500070010</v>
      </c>
      <c r="V50" s="90">
        <v>5000422965</v>
      </c>
      <c r="W50" s="109">
        <v>45441</v>
      </c>
      <c r="X50" s="106">
        <v>750</v>
      </c>
      <c r="Y50" s="106">
        <v>3000</v>
      </c>
      <c r="Z50" s="106" t="s">
        <v>3282</v>
      </c>
      <c r="AA50" s="106">
        <f t="shared" si="1"/>
        <v>0</v>
      </c>
      <c r="AB50" s="106">
        <f t="shared" si="2"/>
        <v>0</v>
      </c>
      <c r="AC50" s="94" t="s">
        <v>3606</v>
      </c>
      <c r="AD50" s="94"/>
      <c r="AE50" s="94"/>
      <c r="AF50" s="94"/>
      <c r="AG50" s="94"/>
      <c r="AH50" s="263"/>
    </row>
    <row r="51" spans="1:34" ht="32.25" customHeight="1">
      <c r="A51" s="90" t="s">
        <v>178</v>
      </c>
      <c r="B51" s="88">
        <v>6000029979</v>
      </c>
      <c r="C51" s="2" t="s">
        <v>843</v>
      </c>
      <c r="D51" s="2">
        <v>4924055002</v>
      </c>
      <c r="E51" s="94">
        <v>4</v>
      </c>
      <c r="F51" s="74">
        <v>1160</v>
      </c>
      <c r="G51" s="45">
        <f t="shared" si="3"/>
        <v>4640</v>
      </c>
      <c r="H51" s="119" t="s">
        <v>46</v>
      </c>
      <c r="I51" s="128">
        <v>45391</v>
      </c>
      <c r="J51" s="74">
        <v>1160</v>
      </c>
      <c r="K51" s="74">
        <v>11</v>
      </c>
      <c r="L51" s="156">
        <v>45390</v>
      </c>
      <c r="M51" s="90">
        <v>4640</v>
      </c>
      <c r="N51" s="90">
        <v>46</v>
      </c>
      <c r="O51" s="90" t="s">
        <v>1362</v>
      </c>
      <c r="P51" s="94" t="s">
        <v>1558</v>
      </c>
      <c r="Q51" s="94">
        <v>8500070013</v>
      </c>
      <c r="R51" s="94">
        <v>5000427820</v>
      </c>
      <c r="S51" s="74"/>
      <c r="T51" s="90" t="s">
        <v>87</v>
      </c>
      <c r="U51" s="90">
        <v>8500070012</v>
      </c>
      <c r="V51" s="90">
        <v>5000422960</v>
      </c>
      <c r="W51" s="109">
        <v>45439</v>
      </c>
      <c r="X51" s="106">
        <v>1160</v>
      </c>
      <c r="Y51" s="106">
        <v>4640</v>
      </c>
      <c r="Z51" s="106" t="s">
        <v>423</v>
      </c>
      <c r="AA51" s="106">
        <f t="shared" si="1"/>
        <v>0</v>
      </c>
      <c r="AB51" s="106">
        <f t="shared" si="2"/>
        <v>0</v>
      </c>
      <c r="AC51" s="94"/>
      <c r="AD51" s="94"/>
      <c r="AE51" s="94"/>
      <c r="AF51" s="94"/>
      <c r="AG51" s="94"/>
      <c r="AH51" s="263"/>
    </row>
    <row r="52" spans="1:34" ht="32.25" customHeight="1">
      <c r="A52" s="90"/>
      <c r="B52" s="88"/>
      <c r="C52" s="2"/>
      <c r="D52" s="2"/>
      <c r="E52" s="94">
        <v>4</v>
      </c>
      <c r="F52" s="74">
        <v>1035</v>
      </c>
      <c r="G52" s="45">
        <f t="shared" si="3"/>
        <v>4140</v>
      </c>
      <c r="H52" s="119" t="s">
        <v>37</v>
      </c>
      <c r="I52" s="128">
        <v>45391</v>
      </c>
      <c r="J52" s="74">
        <v>1035</v>
      </c>
      <c r="K52" s="74">
        <v>10</v>
      </c>
      <c r="L52" s="156">
        <v>45392</v>
      </c>
      <c r="M52" s="90">
        <v>4140</v>
      </c>
      <c r="N52" s="90">
        <v>41</v>
      </c>
      <c r="O52" s="90" t="s">
        <v>1687</v>
      </c>
      <c r="P52" s="94" t="s">
        <v>1558</v>
      </c>
      <c r="Q52" s="94">
        <v>8500070013</v>
      </c>
      <c r="R52" s="94">
        <v>5000427820</v>
      </c>
      <c r="S52" s="74"/>
      <c r="T52" s="90" t="s">
        <v>87</v>
      </c>
      <c r="U52" s="90">
        <v>8500070012</v>
      </c>
      <c r="V52" s="90">
        <v>5000432813</v>
      </c>
      <c r="W52" s="109">
        <v>45442</v>
      </c>
      <c r="X52" s="106">
        <v>1035</v>
      </c>
      <c r="Y52" s="106">
        <v>4140</v>
      </c>
      <c r="Z52" s="106" t="s">
        <v>803</v>
      </c>
      <c r="AA52" s="106">
        <f t="shared" si="1"/>
        <v>0</v>
      </c>
      <c r="AB52" s="106">
        <f t="shared" si="2"/>
        <v>0</v>
      </c>
      <c r="AC52" s="94"/>
      <c r="AD52" s="94"/>
      <c r="AE52" s="94"/>
      <c r="AF52" s="94"/>
      <c r="AG52" s="94"/>
      <c r="AH52" s="263"/>
    </row>
    <row r="53" spans="1:34" ht="32.25" customHeight="1">
      <c r="A53" s="90"/>
      <c r="B53" s="88"/>
      <c r="C53" s="2"/>
      <c r="D53" s="192"/>
      <c r="E53" s="94">
        <v>4</v>
      </c>
      <c r="F53" s="74">
        <v>1805</v>
      </c>
      <c r="G53" s="45">
        <f t="shared" si="3"/>
        <v>7220</v>
      </c>
      <c r="H53" s="119" t="s">
        <v>146</v>
      </c>
      <c r="I53" s="128">
        <v>45391</v>
      </c>
      <c r="J53" s="74">
        <v>1805</v>
      </c>
      <c r="K53" s="74">
        <v>18</v>
      </c>
      <c r="L53" s="156">
        <v>45392</v>
      </c>
      <c r="M53" s="90">
        <v>7220</v>
      </c>
      <c r="N53" s="90">
        <v>72</v>
      </c>
      <c r="O53" s="90" t="s">
        <v>1511</v>
      </c>
      <c r="P53" s="94" t="s">
        <v>1558</v>
      </c>
      <c r="Q53" s="94">
        <v>8500070013</v>
      </c>
      <c r="R53" s="94">
        <v>5000427820</v>
      </c>
      <c r="S53" s="74"/>
      <c r="T53" s="90" t="s">
        <v>87</v>
      </c>
      <c r="U53" s="90">
        <v>8500070012</v>
      </c>
      <c r="V53" s="90">
        <v>5000432813</v>
      </c>
      <c r="W53" s="109">
        <v>45437</v>
      </c>
      <c r="X53" s="106">
        <v>1805</v>
      </c>
      <c r="Y53" s="106">
        <v>7220</v>
      </c>
      <c r="Z53" s="106" t="s">
        <v>3629</v>
      </c>
      <c r="AA53" s="106">
        <f t="shared" si="1"/>
        <v>0</v>
      </c>
      <c r="AB53" s="106">
        <f t="shared" si="2"/>
        <v>0</v>
      </c>
      <c r="AC53" s="94"/>
      <c r="AD53" s="94"/>
      <c r="AE53" s="94"/>
      <c r="AF53" s="94"/>
      <c r="AG53" s="94"/>
      <c r="AH53" s="263"/>
    </row>
    <row r="54" spans="1:34" ht="32.25" customHeight="1">
      <c r="A54" s="90" t="s">
        <v>24</v>
      </c>
      <c r="B54" s="88">
        <v>6000030216</v>
      </c>
      <c r="C54" s="2" t="s">
        <v>771</v>
      </c>
      <c r="D54" s="2" t="s">
        <v>3297</v>
      </c>
      <c r="E54" s="192">
        <v>10</v>
      </c>
      <c r="F54" s="74">
        <v>1600</v>
      </c>
      <c r="G54" s="45">
        <f t="shared" si="3"/>
        <v>16000</v>
      </c>
      <c r="H54" s="119" t="s">
        <v>37</v>
      </c>
      <c r="I54" s="128">
        <v>45406</v>
      </c>
      <c r="J54" s="74">
        <v>1600</v>
      </c>
      <c r="K54" s="74">
        <f>20+19</f>
        <v>39</v>
      </c>
      <c r="L54" s="156">
        <v>45404</v>
      </c>
      <c r="M54" s="90">
        <v>16000</v>
      </c>
      <c r="N54" s="90">
        <f>160+20</f>
        <v>180</v>
      </c>
      <c r="O54" s="90"/>
      <c r="P54" s="94" t="s">
        <v>924</v>
      </c>
      <c r="Q54" s="94">
        <v>8500070241</v>
      </c>
      <c r="R54" s="94">
        <v>5000500569</v>
      </c>
      <c r="S54" s="74"/>
      <c r="T54" s="90" t="s">
        <v>1558</v>
      </c>
      <c r="U54" s="90">
        <v>8500070240</v>
      </c>
      <c r="V54" s="90">
        <v>5000494929</v>
      </c>
      <c r="W54" s="109">
        <v>45416</v>
      </c>
      <c r="X54" s="106">
        <v>1600</v>
      </c>
      <c r="Y54" s="106">
        <v>16000</v>
      </c>
      <c r="Z54" s="106" t="s">
        <v>927</v>
      </c>
      <c r="AA54" s="106">
        <f t="shared" si="1"/>
        <v>0</v>
      </c>
      <c r="AB54" s="106">
        <f t="shared" si="2"/>
        <v>0</v>
      </c>
      <c r="AC54" s="94"/>
      <c r="AD54" s="94"/>
      <c r="AE54" s="94"/>
      <c r="AF54" s="94"/>
      <c r="AG54" s="94"/>
      <c r="AH54" s="263"/>
    </row>
    <row r="55" spans="1:34" ht="32.25" customHeight="1">
      <c r="A55" s="90" t="s">
        <v>24</v>
      </c>
      <c r="B55" s="88">
        <v>6000030216</v>
      </c>
      <c r="C55" s="2" t="s">
        <v>3298</v>
      </c>
      <c r="D55" s="2" t="s">
        <v>3297</v>
      </c>
      <c r="E55" s="192">
        <v>10</v>
      </c>
      <c r="F55" s="74">
        <v>338</v>
      </c>
      <c r="G55" s="45">
        <f t="shared" si="3"/>
        <v>3380</v>
      </c>
      <c r="H55" s="119" t="s">
        <v>27</v>
      </c>
      <c r="I55" s="128">
        <v>45407</v>
      </c>
      <c r="J55" s="74">
        <v>338</v>
      </c>
      <c r="K55" s="74">
        <v>3</v>
      </c>
      <c r="L55" s="156">
        <v>45408</v>
      </c>
      <c r="M55" s="90">
        <v>3380</v>
      </c>
      <c r="N55" s="90">
        <f>34+20</f>
        <v>54</v>
      </c>
      <c r="O55" s="90" t="s">
        <v>899</v>
      </c>
      <c r="P55" s="94" t="s">
        <v>28</v>
      </c>
      <c r="Q55" s="94">
        <v>8500070243</v>
      </c>
      <c r="R55" s="94">
        <v>5000506593</v>
      </c>
      <c r="S55" s="74"/>
      <c r="T55" s="90" t="s">
        <v>1558</v>
      </c>
      <c r="U55" s="90">
        <v>8500070242</v>
      </c>
      <c r="V55" s="90">
        <v>5000514809</v>
      </c>
      <c r="W55" s="109">
        <v>45412</v>
      </c>
      <c r="X55" s="106">
        <v>338</v>
      </c>
      <c r="Y55" s="106">
        <v>3380</v>
      </c>
      <c r="Z55" s="106" t="s">
        <v>727</v>
      </c>
      <c r="AA55" s="106">
        <f t="shared" si="1"/>
        <v>0</v>
      </c>
      <c r="AB55" s="106">
        <f t="shared" si="2"/>
        <v>0</v>
      </c>
      <c r="AC55" s="94"/>
      <c r="AD55" s="94"/>
      <c r="AE55" s="94"/>
      <c r="AF55" s="94"/>
      <c r="AG55" s="94"/>
      <c r="AH55" s="263"/>
    </row>
    <row r="56" spans="1:34" ht="32.25" customHeight="1">
      <c r="A56" s="90"/>
      <c r="B56" s="88"/>
      <c r="C56" s="2"/>
      <c r="D56" s="2"/>
      <c r="E56" s="192">
        <v>10</v>
      </c>
      <c r="F56" s="74">
        <v>672</v>
      </c>
      <c r="G56" s="45">
        <f t="shared" si="3"/>
        <v>6720</v>
      </c>
      <c r="H56" s="119" t="s">
        <v>46</v>
      </c>
      <c r="I56" s="128">
        <v>45407</v>
      </c>
      <c r="J56" s="74">
        <v>672</v>
      </c>
      <c r="K56" s="74">
        <f>7+1</f>
        <v>8</v>
      </c>
      <c r="L56" s="156">
        <v>45408</v>
      </c>
      <c r="M56" s="90">
        <v>6720</v>
      </c>
      <c r="N56" s="90">
        <f>67+20</f>
        <v>87</v>
      </c>
      <c r="O56" s="90" t="s">
        <v>3439</v>
      </c>
      <c r="P56" s="94" t="s">
        <v>28</v>
      </c>
      <c r="Q56" s="94">
        <v>8500070243</v>
      </c>
      <c r="R56" s="94">
        <v>5000506593</v>
      </c>
      <c r="S56" s="74"/>
      <c r="T56" s="90" t="s">
        <v>1558</v>
      </c>
      <c r="U56" s="90">
        <v>8500070242</v>
      </c>
      <c r="V56" s="90">
        <v>5000514809</v>
      </c>
      <c r="W56" s="109">
        <v>45411</v>
      </c>
      <c r="X56" s="106">
        <v>672</v>
      </c>
      <c r="Y56" s="106">
        <v>6720</v>
      </c>
      <c r="Z56" s="106" t="s">
        <v>3415</v>
      </c>
      <c r="AA56" s="106">
        <f t="shared" si="1"/>
        <v>0</v>
      </c>
      <c r="AB56" s="106">
        <f t="shared" si="2"/>
        <v>0</v>
      </c>
      <c r="AC56" s="94"/>
      <c r="AD56" s="94"/>
      <c r="AE56" s="94"/>
      <c r="AF56" s="94"/>
      <c r="AG56" s="94"/>
      <c r="AH56" s="263"/>
    </row>
    <row r="57" spans="1:34" ht="32.25" customHeight="1">
      <c r="A57" s="90" t="s">
        <v>24</v>
      </c>
      <c r="B57" s="88">
        <v>6000030217</v>
      </c>
      <c r="C57" s="2" t="s">
        <v>771</v>
      </c>
      <c r="D57" s="2" t="s">
        <v>3299</v>
      </c>
      <c r="E57" s="192">
        <v>10</v>
      </c>
      <c r="F57" s="74">
        <v>3700</v>
      </c>
      <c r="G57" s="45">
        <f t="shared" si="3"/>
        <v>37000</v>
      </c>
      <c r="H57" s="119" t="s">
        <v>37</v>
      </c>
      <c r="I57" s="128">
        <v>45399</v>
      </c>
      <c r="J57" s="74">
        <f>1880+1820</f>
        <v>3700</v>
      </c>
      <c r="K57" s="74">
        <f>20+20</f>
        <v>40</v>
      </c>
      <c r="L57" s="143" t="s">
        <v>3353</v>
      </c>
      <c r="M57" s="90">
        <f>30600+6400</f>
        <v>37000</v>
      </c>
      <c r="N57" s="90">
        <f>370+20</f>
        <v>390</v>
      </c>
      <c r="O57" s="90" t="s">
        <v>1574</v>
      </c>
      <c r="P57" s="94" t="s">
        <v>924</v>
      </c>
      <c r="Q57" s="94">
        <v>8500070245</v>
      </c>
      <c r="R57" s="94">
        <v>5000466411</v>
      </c>
      <c r="S57" s="74"/>
      <c r="T57" s="90" t="s">
        <v>1558</v>
      </c>
      <c r="U57" s="90">
        <v>8500070244</v>
      </c>
      <c r="V57" s="90">
        <v>5000462481</v>
      </c>
      <c r="W57" s="109" t="s">
        <v>3534</v>
      </c>
      <c r="X57" s="106">
        <v>3700</v>
      </c>
      <c r="Y57" s="106">
        <f>15000+22000</f>
        <v>37000</v>
      </c>
      <c r="Z57" s="106" t="s">
        <v>3535</v>
      </c>
      <c r="AA57" s="106">
        <f t="shared" si="1"/>
        <v>0</v>
      </c>
      <c r="AB57" s="106">
        <f t="shared" si="2"/>
        <v>0</v>
      </c>
      <c r="AC57" s="94"/>
      <c r="AD57" s="94"/>
      <c r="AE57" s="94"/>
      <c r="AF57" s="94"/>
      <c r="AG57" s="94"/>
      <c r="AH57" s="263"/>
    </row>
    <row r="58" spans="1:34" ht="32.25" customHeight="1">
      <c r="A58" s="90" t="s">
        <v>24</v>
      </c>
      <c r="B58" s="88">
        <v>6000030219</v>
      </c>
      <c r="C58" s="2" t="s">
        <v>771</v>
      </c>
      <c r="D58" s="2" t="s">
        <v>3300</v>
      </c>
      <c r="E58" s="192">
        <v>10</v>
      </c>
      <c r="F58" s="74">
        <v>3700</v>
      </c>
      <c r="G58" s="45">
        <f t="shared" si="3"/>
        <v>37000</v>
      </c>
      <c r="H58" s="119" t="s">
        <v>37</v>
      </c>
      <c r="I58" s="128">
        <v>45399</v>
      </c>
      <c r="J58" s="74">
        <v>3700</v>
      </c>
      <c r="K58" s="74">
        <f>20+15+3</f>
        <v>38</v>
      </c>
      <c r="L58" s="156">
        <v>45398</v>
      </c>
      <c r="M58" s="90">
        <v>37000</v>
      </c>
      <c r="N58" s="90">
        <f>370+20</f>
        <v>390</v>
      </c>
      <c r="O58" s="90"/>
      <c r="P58" s="94" t="s">
        <v>924</v>
      </c>
      <c r="Q58" s="94">
        <v>8500070247</v>
      </c>
      <c r="R58" s="94">
        <v>5000475526</v>
      </c>
      <c r="S58" s="74"/>
      <c r="T58" s="90" t="s">
        <v>1558</v>
      </c>
      <c r="U58" s="90">
        <v>8500070246</v>
      </c>
      <c r="V58" s="90">
        <v>5000462482</v>
      </c>
      <c r="W58" s="109">
        <v>45421</v>
      </c>
      <c r="X58" s="106">
        <v>3700</v>
      </c>
      <c r="Y58" s="106">
        <v>37000</v>
      </c>
      <c r="Z58" s="106" t="s">
        <v>3528</v>
      </c>
      <c r="AA58" s="106">
        <f t="shared" si="1"/>
        <v>0</v>
      </c>
      <c r="AB58" s="106">
        <f t="shared" si="2"/>
        <v>0</v>
      </c>
      <c r="AC58" s="94"/>
      <c r="AD58" s="94"/>
      <c r="AE58" s="94"/>
      <c r="AF58" s="94"/>
      <c r="AG58" s="94"/>
      <c r="AH58" s="263"/>
    </row>
    <row r="59" spans="1:34" ht="32.25" customHeight="1">
      <c r="A59" s="90" t="s">
        <v>24</v>
      </c>
      <c r="B59" s="88">
        <v>6000030221</v>
      </c>
      <c r="C59" s="2" t="s">
        <v>3298</v>
      </c>
      <c r="D59" s="2" t="s">
        <v>3301</v>
      </c>
      <c r="E59" s="192">
        <v>10</v>
      </c>
      <c r="F59" s="74">
        <v>2100</v>
      </c>
      <c r="G59" s="45">
        <f t="shared" si="3"/>
        <v>21000</v>
      </c>
      <c r="H59" s="119" t="s">
        <v>46</v>
      </c>
      <c r="I59" s="128">
        <v>45408</v>
      </c>
      <c r="J59" s="74">
        <v>2100</v>
      </c>
      <c r="K59" s="74">
        <v>26</v>
      </c>
      <c r="L59" s="156">
        <v>45409</v>
      </c>
      <c r="M59" s="90">
        <v>21000</v>
      </c>
      <c r="N59" s="90">
        <f t="shared" ref="N59:N65" si="4">210+20</f>
        <v>230</v>
      </c>
      <c r="O59" s="90"/>
      <c r="P59" s="94" t="s">
        <v>28</v>
      </c>
      <c r="Q59" s="94">
        <v>8500070249</v>
      </c>
      <c r="R59" s="94">
        <v>5000509971</v>
      </c>
      <c r="S59" s="74"/>
      <c r="T59" s="90" t="s">
        <v>1558</v>
      </c>
      <c r="U59" s="90">
        <v>8500070248</v>
      </c>
      <c r="V59" s="90">
        <v>5000516373</v>
      </c>
      <c r="W59" s="109">
        <v>45411</v>
      </c>
      <c r="X59" s="106">
        <v>2100</v>
      </c>
      <c r="Y59" s="106">
        <v>21000</v>
      </c>
      <c r="Z59" s="106" t="s">
        <v>3415</v>
      </c>
      <c r="AA59" s="106">
        <f t="shared" si="1"/>
        <v>0</v>
      </c>
      <c r="AB59" s="106">
        <f t="shared" si="2"/>
        <v>0</v>
      </c>
      <c r="AC59" s="94" t="s">
        <v>3574</v>
      </c>
      <c r="AD59" s="94"/>
      <c r="AE59" s="94"/>
      <c r="AF59" s="94"/>
      <c r="AG59" s="94"/>
      <c r="AH59" s="263"/>
    </row>
    <row r="60" spans="1:34" ht="32.25" customHeight="1">
      <c r="A60" s="90" t="s">
        <v>24</v>
      </c>
      <c r="B60" s="88">
        <v>6000030224</v>
      </c>
      <c r="C60" s="2" t="s">
        <v>3298</v>
      </c>
      <c r="D60" s="2" t="s">
        <v>3302</v>
      </c>
      <c r="E60" s="192">
        <v>10</v>
      </c>
      <c r="F60" s="74">
        <v>2100</v>
      </c>
      <c r="G60" s="45">
        <f t="shared" si="3"/>
        <v>21000</v>
      </c>
      <c r="H60" s="119" t="s">
        <v>46</v>
      </c>
      <c r="I60" s="128">
        <v>45408</v>
      </c>
      <c r="J60" s="74">
        <v>2100</v>
      </c>
      <c r="K60" s="74">
        <v>26</v>
      </c>
      <c r="L60" s="156">
        <v>45409</v>
      </c>
      <c r="M60" s="90">
        <v>21000</v>
      </c>
      <c r="N60" s="90">
        <f t="shared" si="4"/>
        <v>230</v>
      </c>
      <c r="O60" s="90"/>
      <c r="P60" s="94" t="s">
        <v>28</v>
      </c>
      <c r="Q60" s="94">
        <v>8500070251</v>
      </c>
      <c r="R60" s="94">
        <v>5000509972</v>
      </c>
      <c r="S60" s="74"/>
      <c r="T60" s="90" t="s">
        <v>1558</v>
      </c>
      <c r="U60" s="90">
        <v>8500070250</v>
      </c>
      <c r="V60" s="90">
        <v>5000516373</v>
      </c>
      <c r="W60" s="109" t="s">
        <v>3482</v>
      </c>
      <c r="X60" s="106">
        <f>500+1600</f>
        <v>2100</v>
      </c>
      <c r="Y60" s="106">
        <f>5000+16000</f>
        <v>21000</v>
      </c>
      <c r="Z60" s="106" t="s">
        <v>3483</v>
      </c>
      <c r="AA60" s="106">
        <f t="shared" si="1"/>
        <v>0</v>
      </c>
      <c r="AB60" s="106">
        <f t="shared" si="2"/>
        <v>0</v>
      </c>
      <c r="AC60" s="94" t="s">
        <v>3585</v>
      </c>
      <c r="AD60" s="94"/>
      <c r="AE60" s="94"/>
      <c r="AF60" s="94"/>
      <c r="AG60" s="94"/>
      <c r="AH60" s="263"/>
    </row>
    <row r="61" spans="1:34" ht="32.25" customHeight="1">
      <c r="A61" s="90" t="s">
        <v>24</v>
      </c>
      <c r="B61" s="88">
        <v>6000030226</v>
      </c>
      <c r="C61" s="2" t="s">
        <v>3298</v>
      </c>
      <c r="D61" s="2" t="s">
        <v>3303</v>
      </c>
      <c r="E61" s="192">
        <v>10</v>
      </c>
      <c r="F61" s="74">
        <v>2100</v>
      </c>
      <c r="G61" s="45">
        <f t="shared" si="3"/>
        <v>21000</v>
      </c>
      <c r="H61" s="119" t="s">
        <v>46</v>
      </c>
      <c r="I61" s="128">
        <v>45409</v>
      </c>
      <c r="J61" s="74">
        <v>2100</v>
      </c>
      <c r="K61" s="74">
        <v>21</v>
      </c>
      <c r="L61" s="156">
        <v>45409</v>
      </c>
      <c r="M61" s="45">
        <v>21000</v>
      </c>
      <c r="N61" s="90">
        <f>210+20</f>
        <v>230</v>
      </c>
      <c r="O61" s="90"/>
      <c r="P61" s="94" t="s">
        <v>28</v>
      </c>
      <c r="Q61" s="94">
        <v>8500070253</v>
      </c>
      <c r="R61" s="94">
        <v>5000516572</v>
      </c>
      <c r="S61" s="74"/>
      <c r="T61" s="90" t="s">
        <v>1558</v>
      </c>
      <c r="U61" s="90">
        <v>8500070252</v>
      </c>
      <c r="V61" s="90">
        <v>5000524561</v>
      </c>
      <c r="W61" s="109">
        <v>45420</v>
      </c>
      <c r="X61" s="106">
        <f>1200+900</f>
        <v>2100</v>
      </c>
      <c r="Y61" s="106">
        <f>12000+9000</f>
        <v>21000</v>
      </c>
      <c r="Z61" s="106" t="s">
        <v>3526</v>
      </c>
      <c r="AA61" s="106">
        <f t="shared" si="1"/>
        <v>0</v>
      </c>
      <c r="AB61" s="106">
        <f t="shared" si="2"/>
        <v>0</v>
      </c>
      <c r="AC61" s="94" t="s">
        <v>3595</v>
      </c>
      <c r="AD61" s="94"/>
      <c r="AE61" s="94"/>
      <c r="AF61" s="94"/>
      <c r="AG61" s="94"/>
      <c r="AH61" s="263"/>
    </row>
    <row r="62" spans="1:34" ht="32.25" customHeight="1">
      <c r="A62" s="90" t="s">
        <v>24</v>
      </c>
      <c r="B62" s="88">
        <v>6000030227</v>
      </c>
      <c r="C62" s="2" t="s">
        <v>3298</v>
      </c>
      <c r="D62" s="2" t="s">
        <v>3304</v>
      </c>
      <c r="E62" s="192">
        <v>10</v>
      </c>
      <c r="F62" s="74">
        <v>2100</v>
      </c>
      <c r="G62" s="45">
        <f t="shared" si="3"/>
        <v>21000</v>
      </c>
      <c r="H62" s="119" t="s">
        <v>46</v>
      </c>
      <c r="I62" s="128">
        <v>45409</v>
      </c>
      <c r="J62" s="74">
        <v>2100</v>
      </c>
      <c r="K62" s="74">
        <v>21</v>
      </c>
      <c r="L62" s="156" t="s">
        <v>3475</v>
      </c>
      <c r="M62" s="45">
        <f>20400+600</f>
        <v>21000</v>
      </c>
      <c r="N62" s="90">
        <f t="shared" si="4"/>
        <v>230</v>
      </c>
      <c r="O62" s="90" t="s">
        <v>1348</v>
      </c>
      <c r="P62" s="94" t="s">
        <v>28</v>
      </c>
      <c r="Q62" s="94">
        <v>8500070280</v>
      </c>
      <c r="R62" s="94">
        <v>5000516573</v>
      </c>
      <c r="S62" s="74"/>
      <c r="T62" s="90" t="s">
        <v>1558</v>
      </c>
      <c r="U62" s="90">
        <v>8500070278</v>
      </c>
      <c r="V62" s="90">
        <v>5000524564</v>
      </c>
      <c r="W62" s="109">
        <v>45421</v>
      </c>
      <c r="X62" s="106">
        <f>960+1140</f>
        <v>2100</v>
      </c>
      <c r="Y62" s="106">
        <f>9600+11400</f>
        <v>21000</v>
      </c>
      <c r="Z62" s="106" t="s">
        <v>3531</v>
      </c>
      <c r="AA62" s="106">
        <f t="shared" si="1"/>
        <v>0</v>
      </c>
      <c r="AB62" s="106">
        <f t="shared" si="2"/>
        <v>0</v>
      </c>
      <c r="AC62" s="94" t="s">
        <v>3596</v>
      </c>
      <c r="AD62" s="94"/>
      <c r="AE62" s="94"/>
      <c r="AF62" s="94"/>
      <c r="AG62" s="94"/>
      <c r="AH62" s="263"/>
    </row>
    <row r="63" spans="1:34" ht="32.25" customHeight="1">
      <c r="A63" s="90" t="s">
        <v>24</v>
      </c>
      <c r="B63" s="88">
        <v>6000030230</v>
      </c>
      <c r="C63" s="2" t="s">
        <v>3298</v>
      </c>
      <c r="D63" s="2" t="s">
        <v>3305</v>
      </c>
      <c r="E63" s="192">
        <v>10</v>
      </c>
      <c r="F63" s="74">
        <v>2100</v>
      </c>
      <c r="G63" s="45">
        <f t="shared" si="3"/>
        <v>21000</v>
      </c>
      <c r="H63" s="119" t="s">
        <v>27</v>
      </c>
      <c r="I63" s="128">
        <v>45408</v>
      </c>
      <c r="J63" s="74">
        <v>2100</v>
      </c>
      <c r="K63" s="74">
        <v>28</v>
      </c>
      <c r="L63" s="156">
        <v>45408</v>
      </c>
      <c r="M63" s="45">
        <v>21000</v>
      </c>
      <c r="N63" s="90">
        <f t="shared" si="4"/>
        <v>230</v>
      </c>
      <c r="O63" s="90"/>
      <c r="P63" s="94" t="s">
        <v>28</v>
      </c>
      <c r="Q63" s="94">
        <v>8500070285</v>
      </c>
      <c r="R63" s="94">
        <v>5000509975</v>
      </c>
      <c r="S63" s="74"/>
      <c r="T63" s="90" t="s">
        <v>1558</v>
      </c>
      <c r="U63" s="90">
        <v>8500070282</v>
      </c>
      <c r="V63" s="90">
        <v>5000514804</v>
      </c>
      <c r="W63" s="109">
        <v>45412</v>
      </c>
      <c r="X63" s="106">
        <v>2100</v>
      </c>
      <c r="Y63" s="106">
        <v>21000</v>
      </c>
      <c r="Z63" s="106" t="s">
        <v>727</v>
      </c>
      <c r="AA63" s="106">
        <f t="shared" si="1"/>
        <v>0</v>
      </c>
      <c r="AB63" s="106">
        <f t="shared" si="2"/>
        <v>0</v>
      </c>
      <c r="AC63" s="94"/>
      <c r="AD63" s="94"/>
      <c r="AE63" s="94"/>
      <c r="AF63" s="94"/>
      <c r="AG63" s="94"/>
      <c r="AH63" s="263"/>
    </row>
    <row r="64" spans="1:34" ht="32.25" customHeight="1">
      <c r="A64" s="90" t="s">
        <v>24</v>
      </c>
      <c r="B64" s="88">
        <v>6000030232</v>
      </c>
      <c r="C64" s="2" t="s">
        <v>3298</v>
      </c>
      <c r="D64" s="2" t="s">
        <v>3306</v>
      </c>
      <c r="E64" s="192">
        <v>10</v>
      </c>
      <c r="F64" s="74">
        <v>2100</v>
      </c>
      <c r="G64" s="45">
        <f t="shared" si="3"/>
        <v>21000</v>
      </c>
      <c r="H64" s="119" t="s">
        <v>37</v>
      </c>
      <c r="I64" s="128">
        <v>45408</v>
      </c>
      <c r="J64" s="74">
        <v>2100</v>
      </c>
      <c r="K64" s="74">
        <v>27</v>
      </c>
      <c r="L64" s="156" t="s">
        <v>3473</v>
      </c>
      <c r="M64" s="90">
        <f>15900+5100</f>
        <v>21000</v>
      </c>
      <c r="N64" s="90">
        <f t="shared" si="4"/>
        <v>230</v>
      </c>
      <c r="O64" s="90" t="s">
        <v>877</v>
      </c>
      <c r="P64" s="94" t="s">
        <v>28</v>
      </c>
      <c r="Q64" s="94">
        <v>8500070289</v>
      </c>
      <c r="R64" s="94">
        <v>5000511571</v>
      </c>
      <c r="S64" s="74"/>
      <c r="T64" s="90" t="s">
        <v>1558</v>
      </c>
      <c r="U64" s="90">
        <v>8500070288</v>
      </c>
      <c r="V64" s="90">
        <v>5000541350</v>
      </c>
      <c r="W64" s="109">
        <v>45416</v>
      </c>
      <c r="X64" s="106">
        <v>2100</v>
      </c>
      <c r="Y64" s="106">
        <v>21000</v>
      </c>
      <c r="Z64" s="106" t="s">
        <v>35</v>
      </c>
      <c r="AA64" s="106">
        <f t="shared" si="1"/>
        <v>0</v>
      </c>
      <c r="AB64" s="106">
        <f t="shared" si="2"/>
        <v>0</v>
      </c>
      <c r="AC64" s="111"/>
      <c r="AD64" s="94"/>
      <c r="AE64" s="94"/>
      <c r="AF64" s="94"/>
      <c r="AG64" s="94"/>
      <c r="AH64" s="263"/>
    </row>
    <row r="65" spans="1:34" ht="32.25" customHeight="1">
      <c r="A65" s="90" t="s">
        <v>24</v>
      </c>
      <c r="B65" s="88">
        <v>6000030233</v>
      </c>
      <c r="C65" s="2" t="s">
        <v>25</v>
      </c>
      <c r="D65" s="2" t="s">
        <v>3307</v>
      </c>
      <c r="E65" s="192">
        <v>10</v>
      </c>
      <c r="F65" s="74">
        <v>2100</v>
      </c>
      <c r="G65" s="45">
        <f t="shared" si="3"/>
        <v>21000</v>
      </c>
      <c r="H65" s="119" t="s">
        <v>37</v>
      </c>
      <c r="I65" s="128">
        <v>45402</v>
      </c>
      <c r="J65" s="74">
        <v>2100</v>
      </c>
      <c r="K65" s="74">
        <f>21+1</f>
        <v>22</v>
      </c>
      <c r="L65" s="156">
        <v>45402</v>
      </c>
      <c r="M65" s="90">
        <v>21000</v>
      </c>
      <c r="N65" s="90">
        <f t="shared" si="4"/>
        <v>230</v>
      </c>
      <c r="O65" s="90" t="s">
        <v>1439</v>
      </c>
      <c r="P65" s="94" t="s">
        <v>28</v>
      </c>
      <c r="Q65" s="94">
        <v>8500070299</v>
      </c>
      <c r="R65" s="94">
        <v>5000481599</v>
      </c>
      <c r="S65" s="74"/>
      <c r="T65" s="90" t="s">
        <v>1558</v>
      </c>
      <c r="U65" s="90">
        <v>8500070298</v>
      </c>
      <c r="V65" s="90">
        <v>5000482008</v>
      </c>
      <c r="W65" s="109" t="s">
        <v>3529</v>
      </c>
      <c r="X65" s="106">
        <f>500+1600</f>
        <v>2100</v>
      </c>
      <c r="Y65" s="106">
        <f>5000+16000</f>
        <v>21000</v>
      </c>
      <c r="Z65" s="106" t="s">
        <v>3530</v>
      </c>
      <c r="AA65" s="106">
        <f t="shared" si="1"/>
        <v>0</v>
      </c>
      <c r="AB65" s="106">
        <f t="shared" si="2"/>
        <v>0</v>
      </c>
      <c r="AC65" s="111"/>
      <c r="AD65" s="94"/>
      <c r="AE65" s="94"/>
      <c r="AF65" s="94"/>
      <c r="AG65" s="94"/>
      <c r="AH65" s="263"/>
    </row>
    <row r="66" spans="1:34" ht="32.25" customHeight="1">
      <c r="A66" s="90" t="s">
        <v>24</v>
      </c>
      <c r="B66" s="88">
        <v>6000030234</v>
      </c>
      <c r="C66" s="2" t="s">
        <v>25</v>
      </c>
      <c r="D66" s="2" t="s">
        <v>3308</v>
      </c>
      <c r="E66" s="192">
        <v>10</v>
      </c>
      <c r="F66" s="74">
        <v>2100</v>
      </c>
      <c r="G66" s="45">
        <f t="shared" si="3"/>
        <v>21000</v>
      </c>
      <c r="H66" s="119" t="s">
        <v>27</v>
      </c>
      <c r="I66" s="128">
        <v>45402</v>
      </c>
      <c r="J66" s="74">
        <v>2100</v>
      </c>
      <c r="K66" s="74">
        <f>21+2</f>
        <v>23</v>
      </c>
      <c r="L66" s="156">
        <v>45404</v>
      </c>
      <c r="M66" s="90">
        <v>21000</v>
      </c>
      <c r="N66" s="90">
        <v>230</v>
      </c>
      <c r="O66" s="90" t="s">
        <v>3393</v>
      </c>
      <c r="P66" s="94" t="s">
        <v>28</v>
      </c>
      <c r="Q66" s="94">
        <v>8500070297</v>
      </c>
      <c r="R66" s="94">
        <v>5000481616</v>
      </c>
      <c r="S66" s="74"/>
      <c r="T66" s="90" t="s">
        <v>1558</v>
      </c>
      <c r="U66" s="90">
        <v>8500070296</v>
      </c>
      <c r="V66" s="90">
        <v>5000494777</v>
      </c>
      <c r="W66" s="109" t="s">
        <v>3658</v>
      </c>
      <c r="X66" s="106">
        <f>143 +1957</f>
        <v>2100</v>
      </c>
      <c r="Y66" s="106">
        <f>1430+19570</f>
        <v>21000</v>
      </c>
      <c r="Z66" s="106" t="s">
        <v>3657</v>
      </c>
      <c r="AA66" s="106">
        <f t="shared" si="1"/>
        <v>0</v>
      </c>
      <c r="AB66" s="106">
        <f t="shared" si="2"/>
        <v>0</v>
      </c>
      <c r="AC66" s="111"/>
      <c r="AD66" s="94"/>
      <c r="AE66" s="94"/>
      <c r="AF66" s="94"/>
      <c r="AG66" s="94"/>
      <c r="AH66" s="263"/>
    </row>
    <row r="67" spans="1:34" ht="32.25" customHeight="1">
      <c r="A67" s="90" t="s">
        <v>24</v>
      </c>
      <c r="B67" s="88">
        <v>6000030235</v>
      </c>
      <c r="C67" s="2" t="s">
        <v>3298</v>
      </c>
      <c r="D67" s="2" t="s">
        <v>3309</v>
      </c>
      <c r="E67" s="192">
        <v>10</v>
      </c>
      <c r="F67" s="74">
        <v>2100</v>
      </c>
      <c r="G67" s="45">
        <f t="shared" si="3"/>
        <v>21000</v>
      </c>
      <c r="H67" s="119" t="s">
        <v>37</v>
      </c>
      <c r="I67" s="128">
        <v>45411</v>
      </c>
      <c r="J67" s="74">
        <v>2100</v>
      </c>
      <c r="K67" s="74">
        <v>27</v>
      </c>
      <c r="L67" s="156">
        <v>45414</v>
      </c>
      <c r="M67" s="90">
        <f>17350+3650</f>
        <v>21000</v>
      </c>
      <c r="N67" s="90">
        <v>238</v>
      </c>
      <c r="O67" s="90"/>
      <c r="P67" s="94" t="s">
        <v>28</v>
      </c>
      <c r="Q67" s="94">
        <v>8500070281</v>
      </c>
      <c r="R67" s="94">
        <v>5000526318</v>
      </c>
      <c r="S67" s="74"/>
      <c r="T67" s="90" t="s">
        <v>1558</v>
      </c>
      <c r="U67" s="90">
        <v>8500070279</v>
      </c>
      <c r="V67" s="90">
        <v>5000537236</v>
      </c>
      <c r="W67" s="109">
        <v>45430</v>
      </c>
      <c r="X67" s="106">
        <v>2100</v>
      </c>
      <c r="Y67" s="106">
        <v>21000</v>
      </c>
      <c r="Z67" s="106" t="s">
        <v>3374</v>
      </c>
      <c r="AA67" s="106">
        <f t="shared" si="1"/>
        <v>0</v>
      </c>
      <c r="AB67" s="106">
        <f t="shared" si="2"/>
        <v>0</v>
      </c>
      <c r="AC67" s="94"/>
      <c r="AD67" s="94"/>
      <c r="AE67" s="94"/>
      <c r="AF67" s="94"/>
      <c r="AG67" s="94"/>
      <c r="AH67" s="263"/>
    </row>
    <row r="68" spans="1:34" ht="32.25" customHeight="1">
      <c r="A68" s="90" t="s">
        <v>24</v>
      </c>
      <c r="B68" s="88">
        <v>6000030236</v>
      </c>
      <c r="C68" s="2" t="s">
        <v>3298</v>
      </c>
      <c r="D68" s="2" t="s">
        <v>3310</v>
      </c>
      <c r="E68" s="192">
        <v>10</v>
      </c>
      <c r="F68" s="74">
        <v>889</v>
      </c>
      <c r="G68" s="45">
        <f t="shared" si="3"/>
        <v>8890</v>
      </c>
      <c r="H68" s="119" t="s">
        <v>37</v>
      </c>
      <c r="I68" s="128">
        <v>45409</v>
      </c>
      <c r="J68" s="74">
        <v>889</v>
      </c>
      <c r="K68" s="74">
        <v>9</v>
      </c>
      <c r="L68" s="156">
        <v>45409</v>
      </c>
      <c r="M68" s="90">
        <v>8890</v>
      </c>
      <c r="N68" s="90">
        <f>89+20</f>
        <v>109</v>
      </c>
      <c r="O68" s="90"/>
      <c r="P68" s="94" t="s">
        <v>28</v>
      </c>
      <c r="Q68" s="94">
        <v>8500071050</v>
      </c>
      <c r="R68" s="94">
        <v>5000516571</v>
      </c>
      <c r="S68" s="74"/>
      <c r="T68" s="90" t="s">
        <v>1558</v>
      </c>
      <c r="U68" s="90">
        <v>8500071049</v>
      </c>
      <c r="V68" s="90">
        <v>5000524562</v>
      </c>
      <c r="W68" s="109">
        <v>45414</v>
      </c>
      <c r="X68" s="106">
        <v>889</v>
      </c>
      <c r="Y68" s="106">
        <v>8890</v>
      </c>
      <c r="Z68" s="106" t="s">
        <v>35</v>
      </c>
      <c r="AA68" s="106">
        <f t="shared" si="1"/>
        <v>0</v>
      </c>
      <c r="AB68" s="106">
        <f t="shared" si="2"/>
        <v>0</v>
      </c>
      <c r="AC68" s="94"/>
      <c r="AD68" s="94"/>
      <c r="AE68" s="94"/>
      <c r="AF68" s="94"/>
      <c r="AG68" s="94"/>
      <c r="AH68" s="263"/>
    </row>
    <row r="69" spans="1:34" ht="32.25" customHeight="1">
      <c r="A69" s="90"/>
      <c r="B69" s="88"/>
      <c r="C69" s="2"/>
      <c r="D69" s="2"/>
      <c r="E69" s="192">
        <v>10</v>
      </c>
      <c r="F69" s="74">
        <v>1203</v>
      </c>
      <c r="G69" s="45">
        <f t="shared" si="3"/>
        <v>12030</v>
      </c>
      <c r="H69" s="119" t="s">
        <v>146</v>
      </c>
      <c r="I69" s="128">
        <v>45409</v>
      </c>
      <c r="J69" s="74">
        <v>1203</v>
      </c>
      <c r="K69" s="74">
        <v>17</v>
      </c>
      <c r="L69" s="156">
        <v>45414</v>
      </c>
      <c r="M69" s="90">
        <v>12030</v>
      </c>
      <c r="N69" s="90">
        <v>148</v>
      </c>
      <c r="O69" s="90"/>
      <c r="P69" s="94" t="s">
        <v>28</v>
      </c>
      <c r="Q69" s="94">
        <v>8500071054</v>
      </c>
      <c r="R69" s="94">
        <v>5000516576</v>
      </c>
      <c r="S69" s="74"/>
      <c r="T69" s="90" t="s">
        <v>1558</v>
      </c>
      <c r="U69" s="90">
        <v>8500071052</v>
      </c>
      <c r="V69" s="90">
        <v>5000537238</v>
      </c>
      <c r="W69" s="109">
        <v>45422</v>
      </c>
      <c r="X69" s="106">
        <v>1203</v>
      </c>
      <c r="Y69" s="106">
        <v>12030</v>
      </c>
      <c r="Z69" s="106" t="s">
        <v>759</v>
      </c>
      <c r="AA69" s="106">
        <f t="shared" si="1"/>
        <v>0</v>
      </c>
      <c r="AB69" s="106">
        <f t="shared" si="2"/>
        <v>0</v>
      </c>
      <c r="AC69" s="286" t="s">
        <v>3607</v>
      </c>
      <c r="AD69" s="94"/>
      <c r="AE69" s="94"/>
      <c r="AF69" s="94"/>
      <c r="AG69" s="94"/>
      <c r="AH69" s="263"/>
    </row>
    <row r="70" spans="1:34" ht="32.25" customHeight="1">
      <c r="A70" s="90" t="s">
        <v>24</v>
      </c>
      <c r="B70" s="88">
        <v>6000030237</v>
      </c>
      <c r="C70" s="2" t="s">
        <v>25</v>
      </c>
      <c r="D70" s="2" t="s">
        <v>3311</v>
      </c>
      <c r="E70" s="192">
        <v>10</v>
      </c>
      <c r="F70" s="74">
        <v>2100</v>
      </c>
      <c r="G70" s="45">
        <f t="shared" si="3"/>
        <v>21000</v>
      </c>
      <c r="H70" s="119" t="s">
        <v>46</v>
      </c>
      <c r="I70" s="128">
        <v>45402</v>
      </c>
      <c r="J70" s="74">
        <v>2100</v>
      </c>
      <c r="K70" s="74">
        <f>21+1</f>
        <v>22</v>
      </c>
      <c r="L70" s="156" t="s">
        <v>3437</v>
      </c>
      <c r="M70" s="90">
        <f>20000+1000</f>
        <v>21000</v>
      </c>
      <c r="N70" s="90">
        <f>210+20</f>
        <v>230</v>
      </c>
      <c r="O70" s="90" t="s">
        <v>3438</v>
      </c>
      <c r="P70" s="94" t="s">
        <v>28</v>
      </c>
      <c r="Q70" s="94">
        <v>8500070295</v>
      </c>
      <c r="R70" s="94">
        <v>5000481632</v>
      </c>
      <c r="S70" s="74"/>
      <c r="T70" s="90" t="s">
        <v>1558</v>
      </c>
      <c r="U70" s="90">
        <v>8500070294</v>
      </c>
      <c r="V70" s="90">
        <v>5000494920</v>
      </c>
      <c r="W70" s="109" t="s">
        <v>3559</v>
      </c>
      <c r="X70" s="106">
        <f>900+1200</f>
        <v>2100</v>
      </c>
      <c r="Y70" s="106">
        <f>9000+12000</f>
        <v>21000</v>
      </c>
      <c r="Z70" s="106" t="s">
        <v>3560</v>
      </c>
      <c r="AA70" s="106">
        <f t="shared" si="1"/>
        <v>0</v>
      </c>
      <c r="AB70" s="106">
        <f t="shared" si="2"/>
        <v>0</v>
      </c>
      <c r="AC70" s="94" t="s">
        <v>3608</v>
      </c>
      <c r="AD70" s="94"/>
      <c r="AE70" s="94"/>
      <c r="AF70" s="94"/>
      <c r="AG70" s="94"/>
      <c r="AH70" s="263"/>
    </row>
    <row r="71" spans="1:34" ht="32.25" customHeight="1">
      <c r="A71" s="90" t="s">
        <v>24</v>
      </c>
      <c r="B71" s="88">
        <v>6000030238</v>
      </c>
      <c r="C71" s="2" t="s">
        <v>3298</v>
      </c>
      <c r="D71" s="2" t="s">
        <v>3312</v>
      </c>
      <c r="E71" s="192">
        <v>10</v>
      </c>
      <c r="F71" s="74">
        <v>2100</v>
      </c>
      <c r="G71" s="45">
        <f t="shared" si="3"/>
        <v>21000</v>
      </c>
      <c r="H71" s="119" t="s">
        <v>27</v>
      </c>
      <c r="I71" s="128">
        <v>45411</v>
      </c>
      <c r="J71" s="74">
        <v>2100</v>
      </c>
      <c r="K71" s="74">
        <f>21+2</f>
        <v>23</v>
      </c>
      <c r="L71" s="156">
        <v>45414</v>
      </c>
      <c r="M71" s="90">
        <v>21000</v>
      </c>
      <c r="N71" s="90">
        <v>230</v>
      </c>
      <c r="O71" s="90"/>
      <c r="P71" s="94" t="s">
        <v>28</v>
      </c>
      <c r="Q71" s="94">
        <v>8500071062</v>
      </c>
      <c r="R71" s="94">
        <v>5000526343</v>
      </c>
      <c r="S71" s="74"/>
      <c r="T71" s="90" t="s">
        <v>1558</v>
      </c>
      <c r="U71" s="90">
        <v>8500071061</v>
      </c>
      <c r="V71" s="90">
        <v>5000537235</v>
      </c>
      <c r="W71" s="109">
        <v>45423</v>
      </c>
      <c r="X71" s="106">
        <v>2100</v>
      </c>
      <c r="Y71" s="106">
        <v>21000</v>
      </c>
      <c r="Z71" s="106" t="s">
        <v>727</v>
      </c>
      <c r="AA71" s="106">
        <f t="shared" si="1"/>
        <v>0</v>
      </c>
      <c r="AB71" s="106">
        <f t="shared" si="2"/>
        <v>0</v>
      </c>
      <c r="AC71" s="94"/>
      <c r="AD71" s="94"/>
      <c r="AE71" s="94"/>
      <c r="AF71" s="94"/>
      <c r="AG71" s="94"/>
      <c r="AH71" s="263"/>
    </row>
    <row r="72" spans="1:34" ht="32.25" customHeight="1">
      <c r="A72" s="90" t="s">
        <v>24</v>
      </c>
      <c r="B72" s="88">
        <v>6000030239</v>
      </c>
      <c r="C72" s="2" t="s">
        <v>25</v>
      </c>
      <c r="D72" s="2" t="s">
        <v>3313</v>
      </c>
      <c r="E72" s="192">
        <v>10</v>
      </c>
      <c r="F72" s="74">
        <v>1800</v>
      </c>
      <c r="G72" s="45">
        <f t="shared" si="3"/>
        <v>18000</v>
      </c>
      <c r="H72" s="119" t="s">
        <v>146</v>
      </c>
      <c r="I72" s="128">
        <v>45404</v>
      </c>
      <c r="J72" s="74">
        <v>1800</v>
      </c>
      <c r="K72" s="74">
        <v>22</v>
      </c>
      <c r="L72" s="156">
        <v>45404</v>
      </c>
      <c r="M72" s="90">
        <f>5400+12600</f>
        <v>18000</v>
      </c>
      <c r="N72" s="90">
        <f>180+30</f>
        <v>210</v>
      </c>
      <c r="O72" s="90" t="s">
        <v>3394</v>
      </c>
      <c r="P72" s="94" t="s">
        <v>28</v>
      </c>
      <c r="Q72" s="94">
        <v>8500070303</v>
      </c>
      <c r="R72" s="94">
        <v>5000490334</v>
      </c>
      <c r="S72" s="74"/>
      <c r="T72" s="90" t="s">
        <v>1558</v>
      </c>
      <c r="U72" s="90">
        <v>8500070302</v>
      </c>
      <c r="V72" s="90">
        <v>5000494925</v>
      </c>
      <c r="W72" s="109" t="s">
        <v>3558</v>
      </c>
      <c r="X72" s="106">
        <f>500+1300</f>
        <v>1800</v>
      </c>
      <c r="Y72" s="106">
        <f>5000+13000</f>
        <v>18000</v>
      </c>
      <c r="Z72" s="106" t="s">
        <v>3568</v>
      </c>
      <c r="AA72" s="106">
        <f t="shared" si="1"/>
        <v>0</v>
      </c>
      <c r="AB72" s="106">
        <f t="shared" si="2"/>
        <v>0</v>
      </c>
      <c r="AC72" s="286" t="s">
        <v>3609</v>
      </c>
      <c r="AD72" s="94"/>
      <c r="AE72" s="94"/>
      <c r="AF72" s="94"/>
      <c r="AG72" s="94"/>
      <c r="AH72" s="263"/>
    </row>
    <row r="73" spans="1:34" ht="32.25" customHeight="1">
      <c r="A73" s="90" t="s">
        <v>24</v>
      </c>
      <c r="B73" s="88">
        <v>6000030240</v>
      </c>
      <c r="C73" s="2" t="s">
        <v>25</v>
      </c>
      <c r="D73" s="2" t="s">
        <v>3314</v>
      </c>
      <c r="E73" s="192">
        <v>10</v>
      </c>
      <c r="F73" s="74">
        <v>1800</v>
      </c>
      <c r="G73" s="45">
        <f t="shared" si="3"/>
        <v>18000</v>
      </c>
      <c r="H73" s="119" t="s">
        <v>37</v>
      </c>
      <c r="I73" s="128" t="s">
        <v>3433</v>
      </c>
      <c r="J73" s="74">
        <f>978+813+9</f>
        <v>1800</v>
      </c>
      <c r="K73" s="74">
        <f>23+1</f>
        <v>24</v>
      </c>
      <c r="L73" s="156">
        <v>45397</v>
      </c>
      <c r="M73" s="90">
        <v>18000</v>
      </c>
      <c r="N73" s="90">
        <f>180+20</f>
        <v>200</v>
      </c>
      <c r="O73" s="90"/>
      <c r="P73" s="94" t="s">
        <v>28</v>
      </c>
      <c r="Q73" s="94">
        <v>8500070293</v>
      </c>
      <c r="R73" s="94">
        <v>5000456433</v>
      </c>
      <c r="S73" s="74"/>
      <c r="T73" s="90" t="s">
        <v>1558</v>
      </c>
      <c r="U73" s="90">
        <v>8500070292</v>
      </c>
      <c r="V73" s="90">
        <v>5000456875</v>
      </c>
      <c r="W73" s="109">
        <v>45423</v>
      </c>
      <c r="X73" s="106">
        <v>1800</v>
      </c>
      <c r="Y73" s="106">
        <v>18000</v>
      </c>
      <c r="Z73" s="106" t="s">
        <v>3374</v>
      </c>
      <c r="AA73" s="106">
        <f t="shared" si="1"/>
        <v>0</v>
      </c>
      <c r="AB73" s="106">
        <f t="shared" si="2"/>
        <v>0</v>
      </c>
      <c r="AC73" s="94" t="s">
        <v>3627</v>
      </c>
      <c r="AD73" s="94" t="s">
        <v>3641</v>
      </c>
      <c r="AE73" s="94"/>
      <c r="AF73" s="94"/>
      <c r="AG73" s="94"/>
      <c r="AH73" s="263"/>
    </row>
    <row r="74" spans="1:34" ht="32.25" customHeight="1">
      <c r="A74" s="90" t="s">
        <v>24</v>
      </c>
      <c r="B74" s="88">
        <v>6000030241</v>
      </c>
      <c r="C74" s="2" t="s">
        <v>25</v>
      </c>
      <c r="D74" s="2" t="s">
        <v>3315</v>
      </c>
      <c r="E74" s="192">
        <v>10</v>
      </c>
      <c r="F74" s="74">
        <v>2100</v>
      </c>
      <c r="G74" s="45">
        <f t="shared" si="3"/>
        <v>21000</v>
      </c>
      <c r="H74" s="119" t="s">
        <v>37</v>
      </c>
      <c r="I74" s="128">
        <v>45397</v>
      </c>
      <c r="J74" s="74">
        <v>2100</v>
      </c>
      <c r="K74" s="74">
        <v>21</v>
      </c>
      <c r="L74" s="156">
        <v>45398</v>
      </c>
      <c r="M74" s="90">
        <v>21000</v>
      </c>
      <c r="N74" s="90">
        <v>230</v>
      </c>
      <c r="O74" s="90"/>
      <c r="P74" s="94" t="s">
        <v>28</v>
      </c>
      <c r="Q74" s="94">
        <v>8500070291</v>
      </c>
      <c r="R74" s="94">
        <v>5000456438</v>
      </c>
      <c r="S74" s="74"/>
      <c r="T74" s="90" t="s">
        <v>1558</v>
      </c>
      <c r="U74" s="90">
        <v>8500070290</v>
      </c>
      <c r="V74" s="90">
        <v>5000462483</v>
      </c>
      <c r="W74" s="109">
        <v>45427</v>
      </c>
      <c r="X74" s="106">
        <v>2100</v>
      </c>
      <c r="Y74" s="106">
        <v>21000</v>
      </c>
      <c r="Z74" s="106" t="s">
        <v>3374</v>
      </c>
      <c r="AA74" s="106">
        <f t="shared" si="1"/>
        <v>0</v>
      </c>
      <c r="AB74" s="106">
        <f t="shared" si="2"/>
        <v>0</v>
      </c>
      <c r="AC74" s="94"/>
      <c r="AD74" s="94"/>
      <c r="AE74" s="94"/>
      <c r="AF74" s="94"/>
      <c r="AG74" s="94"/>
      <c r="AH74" s="263"/>
    </row>
    <row r="75" spans="1:34" ht="32.25" customHeight="1">
      <c r="A75" s="90" t="s">
        <v>24</v>
      </c>
      <c r="B75" s="88">
        <v>6000030242</v>
      </c>
      <c r="C75" s="2" t="s">
        <v>25</v>
      </c>
      <c r="D75" s="2" t="s">
        <v>3316</v>
      </c>
      <c r="E75" s="192">
        <v>10</v>
      </c>
      <c r="F75" s="74">
        <v>2100</v>
      </c>
      <c r="G75" s="45">
        <f t="shared" si="3"/>
        <v>21000</v>
      </c>
      <c r="H75" s="119" t="s">
        <v>27</v>
      </c>
      <c r="I75" s="128">
        <v>45407</v>
      </c>
      <c r="J75" s="74">
        <v>2100</v>
      </c>
      <c r="K75" s="74">
        <v>21</v>
      </c>
      <c r="L75" s="156">
        <v>45408</v>
      </c>
      <c r="M75" s="90">
        <v>21000</v>
      </c>
      <c r="N75" s="90">
        <f>210+20</f>
        <v>230</v>
      </c>
      <c r="O75" s="90"/>
      <c r="P75" s="94" t="s">
        <v>28</v>
      </c>
      <c r="Q75" s="94">
        <v>8500070287</v>
      </c>
      <c r="R75" s="94">
        <v>5000505175</v>
      </c>
      <c r="S75" s="74"/>
      <c r="T75" s="90" t="s">
        <v>1558</v>
      </c>
      <c r="U75" s="90">
        <v>8500070286</v>
      </c>
      <c r="V75" s="90">
        <v>5000511590</v>
      </c>
      <c r="W75" s="109">
        <v>45429</v>
      </c>
      <c r="X75" s="106">
        <v>2100</v>
      </c>
      <c r="Y75" s="106">
        <v>21000</v>
      </c>
      <c r="Z75" s="106" t="s">
        <v>3584</v>
      </c>
      <c r="AA75" s="106">
        <f t="shared" si="1"/>
        <v>0</v>
      </c>
      <c r="AB75" s="106">
        <f t="shared" si="2"/>
        <v>0</v>
      </c>
      <c r="AC75" s="94"/>
      <c r="AD75" s="94"/>
      <c r="AE75" s="94"/>
      <c r="AF75" s="94"/>
      <c r="AG75" s="94"/>
      <c r="AH75" s="263"/>
    </row>
    <row r="76" spans="1:34" ht="32.25" customHeight="1">
      <c r="A76" s="90" t="s">
        <v>24</v>
      </c>
      <c r="B76" s="88">
        <v>6000030243</v>
      </c>
      <c r="C76" s="2" t="s">
        <v>3298</v>
      </c>
      <c r="D76" s="2" t="s">
        <v>3317</v>
      </c>
      <c r="E76" s="192">
        <v>10</v>
      </c>
      <c r="F76" s="74">
        <v>2100</v>
      </c>
      <c r="G76" s="45">
        <f t="shared" ref="G76" si="5">F76*E76</f>
        <v>21000</v>
      </c>
      <c r="H76" s="119" t="s">
        <v>27</v>
      </c>
      <c r="I76" s="128">
        <v>45408</v>
      </c>
      <c r="J76" s="74">
        <v>2100</v>
      </c>
      <c r="K76" s="74">
        <v>26</v>
      </c>
      <c r="L76" s="156">
        <v>45409</v>
      </c>
      <c r="M76" s="90">
        <v>21000</v>
      </c>
      <c r="N76" s="90">
        <f>210+28</f>
        <v>238</v>
      </c>
      <c r="O76" s="90" t="s">
        <v>2502</v>
      </c>
      <c r="P76" s="94" t="s">
        <v>28</v>
      </c>
      <c r="Q76" s="94">
        <v>8500071059</v>
      </c>
      <c r="R76" s="94">
        <v>5000511575</v>
      </c>
      <c r="S76" s="74"/>
      <c r="T76" s="90" t="s">
        <v>1558</v>
      </c>
      <c r="U76" s="90">
        <v>8500071058</v>
      </c>
      <c r="V76" s="90">
        <v>5000524563</v>
      </c>
      <c r="W76" s="109">
        <v>45436</v>
      </c>
      <c r="X76" s="106">
        <v>2100</v>
      </c>
      <c r="Y76" s="106">
        <v>21000</v>
      </c>
      <c r="Z76" s="106" t="s">
        <v>3622</v>
      </c>
      <c r="AA76" s="106">
        <f t="shared" si="1"/>
        <v>0</v>
      </c>
      <c r="AB76" s="106">
        <f t="shared" si="2"/>
        <v>0</v>
      </c>
      <c r="AC76" s="94"/>
      <c r="AD76" s="94"/>
      <c r="AE76" s="94"/>
      <c r="AF76" s="94"/>
      <c r="AG76" s="94"/>
      <c r="AH76" s="263"/>
    </row>
    <row r="77" spans="1:34" ht="32.25" customHeight="1">
      <c r="A77" s="90" t="s">
        <v>24</v>
      </c>
      <c r="B77" s="88">
        <v>6000030244</v>
      </c>
      <c r="C77" s="2" t="s">
        <v>25</v>
      </c>
      <c r="D77" s="2" t="s">
        <v>3318</v>
      </c>
      <c r="E77" s="192">
        <v>10</v>
      </c>
      <c r="F77" s="74">
        <v>2030</v>
      </c>
      <c r="G77" s="45">
        <f t="shared" ref="G77:G136" si="6">F77*E77</f>
        <v>20300</v>
      </c>
      <c r="H77" s="119" t="s">
        <v>27</v>
      </c>
      <c r="I77" s="128">
        <v>45408</v>
      </c>
      <c r="J77" s="74">
        <v>2030</v>
      </c>
      <c r="K77" s="74">
        <v>14</v>
      </c>
      <c r="L77" s="156">
        <v>45408</v>
      </c>
      <c r="M77" s="90">
        <v>20300</v>
      </c>
      <c r="N77" s="90">
        <f>203+20</f>
        <v>223</v>
      </c>
      <c r="O77" s="90"/>
      <c r="P77" s="94" t="s">
        <v>28</v>
      </c>
      <c r="Q77" s="94">
        <v>8500070284</v>
      </c>
      <c r="R77" s="94">
        <v>5000511517</v>
      </c>
      <c r="S77" s="74"/>
      <c r="T77" s="90" t="s">
        <v>1558</v>
      </c>
      <c r="U77" s="90">
        <v>8500070283</v>
      </c>
      <c r="V77" s="90">
        <v>5000514749</v>
      </c>
      <c r="W77" s="109">
        <v>45433</v>
      </c>
      <c r="X77" s="106">
        <v>2030</v>
      </c>
      <c r="Y77" s="106">
        <v>20300</v>
      </c>
      <c r="Z77" s="106" t="s">
        <v>3584</v>
      </c>
      <c r="AA77" s="106">
        <f t="shared" ref="AA77:AA136" si="7">J77-X77</f>
        <v>0</v>
      </c>
      <c r="AB77" s="106">
        <f t="shared" ref="AB77:AB136" si="8">M77-Y77</f>
        <v>0</v>
      </c>
      <c r="AC77" s="94"/>
      <c r="AD77" s="94"/>
      <c r="AE77" s="94"/>
      <c r="AF77" s="94"/>
      <c r="AG77" s="94"/>
      <c r="AH77" s="263"/>
    </row>
    <row r="78" spans="1:34" ht="32.25" customHeight="1">
      <c r="A78" s="90" t="s">
        <v>24</v>
      </c>
      <c r="B78" s="88">
        <v>6000030245</v>
      </c>
      <c r="C78" s="2" t="s">
        <v>25</v>
      </c>
      <c r="D78" s="2" t="s">
        <v>3319</v>
      </c>
      <c r="E78" s="192">
        <v>10</v>
      </c>
      <c r="F78" s="74">
        <v>1720</v>
      </c>
      <c r="G78" s="45">
        <f t="shared" si="6"/>
        <v>17200</v>
      </c>
      <c r="H78" s="119" t="s">
        <v>146</v>
      </c>
      <c r="I78" s="128">
        <v>45407</v>
      </c>
      <c r="J78" s="74">
        <v>1720</v>
      </c>
      <c r="K78" s="74">
        <v>17</v>
      </c>
      <c r="L78" s="156">
        <v>45408</v>
      </c>
      <c r="M78" s="90">
        <v>17200</v>
      </c>
      <c r="N78" s="90">
        <f>172+30</f>
        <v>202</v>
      </c>
      <c r="O78" s="90"/>
      <c r="P78" s="94" t="s">
        <v>28</v>
      </c>
      <c r="Q78" s="94">
        <v>8500070301</v>
      </c>
      <c r="R78" s="94">
        <v>5000505172</v>
      </c>
      <c r="S78" s="74"/>
      <c r="T78" s="90" t="s">
        <v>1558</v>
      </c>
      <c r="U78" s="90">
        <v>8500070300</v>
      </c>
      <c r="V78" s="90">
        <v>5000514772</v>
      </c>
      <c r="W78" s="109">
        <v>45428</v>
      </c>
      <c r="X78" s="106">
        <v>1720</v>
      </c>
      <c r="Y78" s="106">
        <v>17200</v>
      </c>
      <c r="Z78" s="106" t="s">
        <v>3575</v>
      </c>
      <c r="AA78" s="106">
        <f t="shared" si="7"/>
        <v>0</v>
      </c>
      <c r="AB78" s="106">
        <f t="shared" si="8"/>
        <v>0</v>
      </c>
      <c r="AC78" s="94"/>
      <c r="AD78" s="94"/>
      <c r="AE78" s="94"/>
      <c r="AF78" s="94"/>
      <c r="AG78" s="94"/>
      <c r="AH78" s="263"/>
    </row>
    <row r="79" spans="1:34" ht="32.25" customHeight="1">
      <c r="A79" s="90" t="s">
        <v>720</v>
      </c>
      <c r="B79" s="88">
        <v>2000001322</v>
      </c>
      <c r="C79" s="2" t="s">
        <v>1524</v>
      </c>
      <c r="D79" s="117">
        <v>2000001322</v>
      </c>
      <c r="E79" s="192">
        <v>10</v>
      </c>
      <c r="F79" s="218">
        <v>200</v>
      </c>
      <c r="G79" s="219">
        <f t="shared" si="6"/>
        <v>2000</v>
      </c>
      <c r="H79" s="227" t="s">
        <v>27</v>
      </c>
      <c r="I79" s="128">
        <v>45397</v>
      </c>
      <c r="J79" s="74">
        <v>200</v>
      </c>
      <c r="K79" s="74">
        <f>5+8</f>
        <v>13</v>
      </c>
      <c r="L79" s="156">
        <v>45395</v>
      </c>
      <c r="M79" s="90">
        <v>2000</v>
      </c>
      <c r="N79" s="90">
        <v>20</v>
      </c>
      <c r="O79" s="90" t="s">
        <v>858</v>
      </c>
      <c r="P79" s="94" t="s">
        <v>160</v>
      </c>
      <c r="Q79" s="94">
        <v>8500070001</v>
      </c>
      <c r="R79" s="94">
        <v>5000456398</v>
      </c>
      <c r="S79" s="45"/>
      <c r="T79" s="90" t="s">
        <v>87</v>
      </c>
      <c r="U79" s="90">
        <v>8500070000</v>
      </c>
      <c r="V79" s="90">
        <v>5000461089</v>
      </c>
      <c r="W79" s="109">
        <v>45405</v>
      </c>
      <c r="X79" s="106">
        <v>200</v>
      </c>
      <c r="Y79" s="106">
        <v>2000</v>
      </c>
      <c r="Z79" s="106" t="s">
        <v>2112</v>
      </c>
      <c r="AA79" s="106">
        <f t="shared" si="7"/>
        <v>0</v>
      </c>
      <c r="AB79" s="106">
        <f t="shared" si="8"/>
        <v>0</v>
      </c>
      <c r="AC79" s="94"/>
      <c r="AD79" s="94"/>
      <c r="AE79" s="94"/>
      <c r="AF79" s="94"/>
      <c r="AG79" s="94"/>
      <c r="AH79" s="263"/>
    </row>
    <row r="80" spans="1:34" ht="32.25" customHeight="1">
      <c r="A80" s="90"/>
      <c r="B80" s="88"/>
      <c r="C80" s="2"/>
      <c r="D80" s="245" t="s">
        <v>3368</v>
      </c>
      <c r="E80" s="192">
        <v>10</v>
      </c>
      <c r="F80" s="74">
        <v>200</v>
      </c>
      <c r="G80" s="45">
        <f t="shared" si="6"/>
        <v>2000</v>
      </c>
      <c r="H80" s="119" t="s">
        <v>46</v>
      </c>
      <c r="I80" s="128">
        <v>45397</v>
      </c>
      <c r="J80" s="74">
        <v>200</v>
      </c>
      <c r="K80" s="74">
        <f>5+13</f>
        <v>18</v>
      </c>
      <c r="L80" s="156">
        <v>45395</v>
      </c>
      <c r="M80" s="90">
        <v>2000</v>
      </c>
      <c r="N80" s="90">
        <v>20</v>
      </c>
      <c r="O80" s="90" t="s">
        <v>858</v>
      </c>
      <c r="P80" s="94" t="s">
        <v>160</v>
      </c>
      <c r="Q80" s="94">
        <v>8500070001</v>
      </c>
      <c r="R80" s="94">
        <v>5000456398</v>
      </c>
      <c r="S80" s="45"/>
      <c r="T80" s="90" t="s">
        <v>87</v>
      </c>
      <c r="U80" s="90">
        <v>8500070000</v>
      </c>
      <c r="V80" s="90">
        <v>5000461089</v>
      </c>
      <c r="W80" s="109" t="s">
        <v>3635</v>
      </c>
      <c r="X80" s="106">
        <f>50+150</f>
        <v>200</v>
      </c>
      <c r="Y80" s="106">
        <f>500+1500</f>
        <v>2000</v>
      </c>
      <c r="Z80" s="106" t="s">
        <v>2085</v>
      </c>
      <c r="AA80" s="106">
        <f t="shared" si="7"/>
        <v>0</v>
      </c>
      <c r="AB80" s="106">
        <f t="shared" si="8"/>
        <v>0</v>
      </c>
      <c r="AC80" s="94"/>
      <c r="AD80" s="94"/>
      <c r="AE80" s="94"/>
      <c r="AF80" s="94"/>
      <c r="AG80" s="94"/>
      <c r="AH80" s="263"/>
    </row>
    <row r="81" spans="1:34" ht="32.25" customHeight="1">
      <c r="A81" s="90" t="s">
        <v>720</v>
      </c>
      <c r="B81" s="88">
        <v>2000001322</v>
      </c>
      <c r="C81" s="2" t="s">
        <v>721</v>
      </c>
      <c r="D81" s="117">
        <v>2000001322</v>
      </c>
      <c r="E81" s="192">
        <v>10</v>
      </c>
      <c r="F81" s="218">
        <v>200</v>
      </c>
      <c r="G81" s="219">
        <f t="shared" si="6"/>
        <v>2000</v>
      </c>
      <c r="H81" s="227" t="s">
        <v>27</v>
      </c>
      <c r="I81" s="128">
        <v>45397</v>
      </c>
      <c r="J81" s="74">
        <v>200</v>
      </c>
      <c r="K81" s="74">
        <v>3</v>
      </c>
      <c r="L81" s="156">
        <v>45394</v>
      </c>
      <c r="M81" s="90">
        <v>2000</v>
      </c>
      <c r="N81" s="90">
        <v>20</v>
      </c>
      <c r="O81" s="90" t="s">
        <v>1582</v>
      </c>
      <c r="P81" s="94" t="s">
        <v>28</v>
      </c>
      <c r="Q81" s="94">
        <v>8500070003</v>
      </c>
      <c r="R81" s="94">
        <v>5000456430</v>
      </c>
      <c r="S81" s="45"/>
      <c r="T81" s="90" t="s">
        <v>1558</v>
      </c>
      <c r="U81" s="90">
        <v>8500070002</v>
      </c>
      <c r="V81" s="90">
        <v>5000442227</v>
      </c>
      <c r="W81" s="109">
        <v>45405</v>
      </c>
      <c r="X81" s="106">
        <v>200</v>
      </c>
      <c r="Y81" s="106">
        <v>2000</v>
      </c>
      <c r="Z81" s="106" t="s">
        <v>2112</v>
      </c>
      <c r="AA81" s="106">
        <f t="shared" si="7"/>
        <v>0</v>
      </c>
      <c r="AB81" s="106">
        <f t="shared" si="8"/>
        <v>0</v>
      </c>
      <c r="AC81" s="94"/>
      <c r="AD81" s="94"/>
      <c r="AE81" s="94"/>
      <c r="AF81" s="94"/>
      <c r="AG81" s="94"/>
      <c r="AH81" s="263"/>
    </row>
    <row r="82" spans="1:34" ht="32.25" customHeight="1">
      <c r="A82" s="90"/>
      <c r="B82" s="88"/>
      <c r="C82" s="2"/>
      <c r="D82" s="362" t="s">
        <v>3369</v>
      </c>
      <c r="E82" s="192">
        <v>10</v>
      </c>
      <c r="F82" s="218">
        <v>100</v>
      </c>
      <c r="G82" s="219">
        <f t="shared" si="6"/>
        <v>1000</v>
      </c>
      <c r="H82" s="227" t="s">
        <v>37</v>
      </c>
      <c r="I82" s="128">
        <v>45397</v>
      </c>
      <c r="J82" s="74">
        <v>100</v>
      </c>
      <c r="K82" s="74">
        <v>1</v>
      </c>
      <c r="L82" s="156">
        <v>45394</v>
      </c>
      <c r="M82" s="90">
        <v>1000</v>
      </c>
      <c r="N82" s="90">
        <v>10</v>
      </c>
      <c r="O82" s="90" t="s">
        <v>1582</v>
      </c>
      <c r="P82" s="94" t="s">
        <v>28</v>
      </c>
      <c r="Q82" s="94">
        <v>8500070003</v>
      </c>
      <c r="R82" s="94">
        <v>5000456430</v>
      </c>
      <c r="S82" s="45"/>
      <c r="T82" s="90" t="s">
        <v>1558</v>
      </c>
      <c r="U82" s="90">
        <v>8500070002</v>
      </c>
      <c r="V82" s="90">
        <v>5000442227</v>
      </c>
      <c r="W82" s="109">
        <v>45405</v>
      </c>
      <c r="X82" s="106">
        <v>100</v>
      </c>
      <c r="Y82" s="106">
        <v>1000</v>
      </c>
      <c r="Z82" s="106" t="s">
        <v>2112</v>
      </c>
      <c r="AA82" s="106">
        <f t="shared" si="7"/>
        <v>0</v>
      </c>
      <c r="AB82" s="106">
        <f t="shared" si="8"/>
        <v>0</v>
      </c>
      <c r="AC82" s="94"/>
      <c r="AD82" s="94"/>
      <c r="AE82" s="94"/>
      <c r="AF82" s="94"/>
      <c r="AG82" s="94"/>
      <c r="AH82" s="263"/>
    </row>
    <row r="83" spans="1:34" ht="32.25" customHeight="1">
      <c r="A83" s="90" t="s">
        <v>1478</v>
      </c>
      <c r="B83" s="88">
        <v>6000030275</v>
      </c>
      <c r="C83" s="2" t="s">
        <v>3328</v>
      </c>
      <c r="D83" s="117" t="s">
        <v>3329</v>
      </c>
      <c r="E83" s="192">
        <v>10</v>
      </c>
      <c r="F83" s="74">
        <v>100</v>
      </c>
      <c r="G83" s="45">
        <f t="shared" si="6"/>
        <v>1000</v>
      </c>
      <c r="H83" s="119" t="s">
        <v>243</v>
      </c>
      <c r="I83" s="128">
        <v>45402</v>
      </c>
      <c r="J83" s="74">
        <v>100</v>
      </c>
      <c r="K83" s="74">
        <f>1+2</f>
        <v>3</v>
      </c>
      <c r="L83" s="156">
        <v>45405</v>
      </c>
      <c r="M83" s="90">
        <v>1000</v>
      </c>
      <c r="N83" s="90">
        <v>5</v>
      </c>
      <c r="O83" s="90" t="s">
        <v>1509</v>
      </c>
      <c r="P83" s="94" t="s">
        <v>28</v>
      </c>
      <c r="Q83" s="94">
        <v>8500070588</v>
      </c>
      <c r="R83" s="94">
        <v>5000480715</v>
      </c>
      <c r="S83" s="74"/>
      <c r="T83" s="90" t="s">
        <v>152</v>
      </c>
      <c r="U83" s="90">
        <v>8500070584</v>
      </c>
      <c r="V83" s="90">
        <v>5000496098</v>
      </c>
      <c r="W83" s="109">
        <v>45411</v>
      </c>
      <c r="X83" s="106">
        <v>100</v>
      </c>
      <c r="Y83" s="106">
        <v>1000</v>
      </c>
      <c r="Z83" s="106" t="s">
        <v>2112</v>
      </c>
      <c r="AA83" s="106">
        <f t="shared" si="7"/>
        <v>0</v>
      </c>
      <c r="AB83" s="106">
        <f t="shared" si="8"/>
        <v>0</v>
      </c>
      <c r="AC83" s="94"/>
      <c r="AD83" s="94"/>
      <c r="AE83" s="94"/>
      <c r="AF83" s="94"/>
      <c r="AG83" s="94"/>
      <c r="AH83" s="263"/>
    </row>
    <row r="84" spans="1:34" ht="32.25" customHeight="1">
      <c r="A84" s="90"/>
      <c r="B84" s="88"/>
      <c r="C84" s="2"/>
      <c r="D84" s="322"/>
      <c r="E84" s="192">
        <v>10</v>
      </c>
      <c r="F84" s="74">
        <v>960</v>
      </c>
      <c r="G84" s="45">
        <f t="shared" si="6"/>
        <v>9600</v>
      </c>
      <c r="H84" s="119" t="s">
        <v>27</v>
      </c>
      <c r="I84" s="128">
        <v>45402</v>
      </c>
      <c r="J84" s="74">
        <v>960</v>
      </c>
      <c r="K84" s="74">
        <f>10+2</f>
        <v>12</v>
      </c>
      <c r="L84" s="156">
        <v>45405</v>
      </c>
      <c r="M84" s="90">
        <v>9600</v>
      </c>
      <c r="N84" s="90">
        <v>48</v>
      </c>
      <c r="O84" s="90"/>
      <c r="P84" s="94" t="s">
        <v>28</v>
      </c>
      <c r="Q84" s="94">
        <v>8500070588</v>
      </c>
      <c r="R84" s="94">
        <v>5000480715</v>
      </c>
      <c r="S84" s="74"/>
      <c r="T84" s="90" t="s">
        <v>152</v>
      </c>
      <c r="U84" s="90">
        <v>8500070584</v>
      </c>
      <c r="V84" s="90">
        <v>5000496098</v>
      </c>
      <c r="W84" s="109">
        <v>45423</v>
      </c>
      <c r="X84" s="106">
        <v>960</v>
      </c>
      <c r="Y84" s="106">
        <v>9600</v>
      </c>
      <c r="Z84" s="106" t="s">
        <v>1980</v>
      </c>
      <c r="AA84" s="106">
        <f t="shared" si="7"/>
        <v>0</v>
      </c>
      <c r="AB84" s="106">
        <f t="shared" si="8"/>
        <v>0</v>
      </c>
      <c r="AC84" s="94"/>
      <c r="AD84" s="94"/>
      <c r="AE84" s="94"/>
      <c r="AF84" s="94"/>
      <c r="AG84" s="94"/>
      <c r="AH84" s="263"/>
    </row>
    <row r="85" spans="1:34" ht="32.25" customHeight="1">
      <c r="A85" s="90"/>
      <c r="B85" s="88"/>
      <c r="C85" s="2"/>
      <c r="D85" s="322"/>
      <c r="E85" s="192">
        <v>10</v>
      </c>
      <c r="F85" s="74">
        <v>800</v>
      </c>
      <c r="G85" s="45">
        <f t="shared" si="6"/>
        <v>8000</v>
      </c>
      <c r="H85" s="119" t="s">
        <v>46</v>
      </c>
      <c r="I85" s="128">
        <v>45402</v>
      </c>
      <c r="J85" s="74">
        <v>800</v>
      </c>
      <c r="K85" s="74">
        <f>8+2</f>
        <v>10</v>
      </c>
      <c r="L85" s="156">
        <v>45405</v>
      </c>
      <c r="M85" s="90">
        <v>8000</v>
      </c>
      <c r="N85" s="90">
        <v>40</v>
      </c>
      <c r="O85" s="90"/>
      <c r="P85" s="94" t="s">
        <v>28</v>
      </c>
      <c r="Q85" s="94">
        <v>8500070588</v>
      </c>
      <c r="R85" s="94">
        <v>5000480715</v>
      </c>
      <c r="S85" s="74"/>
      <c r="T85" s="90" t="s">
        <v>152</v>
      </c>
      <c r="U85" s="90">
        <v>8500070584</v>
      </c>
      <c r="V85" s="90">
        <v>5000496098</v>
      </c>
      <c r="W85" s="109">
        <v>45427</v>
      </c>
      <c r="X85" s="106">
        <v>800</v>
      </c>
      <c r="Y85" s="106">
        <v>8000</v>
      </c>
      <c r="Z85" s="106" t="s">
        <v>267</v>
      </c>
      <c r="AA85" s="106">
        <f t="shared" si="7"/>
        <v>0</v>
      </c>
      <c r="AB85" s="106">
        <f t="shared" si="8"/>
        <v>0</v>
      </c>
      <c r="AC85" s="94"/>
      <c r="AD85" s="94"/>
      <c r="AE85" s="94"/>
      <c r="AF85" s="94"/>
      <c r="AG85" s="94"/>
      <c r="AH85" s="263"/>
    </row>
    <row r="86" spans="1:34" ht="32.25" customHeight="1">
      <c r="A86" s="90"/>
      <c r="B86" s="88"/>
      <c r="C86" s="2"/>
      <c r="D86" s="322"/>
      <c r="E86" s="192">
        <v>10</v>
      </c>
      <c r="F86" s="74">
        <v>100</v>
      </c>
      <c r="G86" s="45">
        <f t="shared" si="6"/>
        <v>1000</v>
      </c>
      <c r="H86" s="119" t="s">
        <v>37</v>
      </c>
      <c r="I86" s="128">
        <v>45402</v>
      </c>
      <c r="J86" s="74">
        <v>100</v>
      </c>
      <c r="K86" s="74">
        <f>1+1</f>
        <v>2</v>
      </c>
      <c r="L86" s="156">
        <v>45405</v>
      </c>
      <c r="M86" s="90">
        <v>1000</v>
      </c>
      <c r="N86" s="90">
        <v>5</v>
      </c>
      <c r="O86" s="100" t="s">
        <v>1509</v>
      </c>
      <c r="P86" s="94" t="s">
        <v>28</v>
      </c>
      <c r="Q86" s="94">
        <v>8500070588</v>
      </c>
      <c r="R86" s="94">
        <v>5000480715</v>
      </c>
      <c r="S86" s="74"/>
      <c r="T86" s="90" t="s">
        <v>152</v>
      </c>
      <c r="U86" s="90">
        <v>8500070584</v>
      </c>
      <c r="V86" s="90">
        <v>5000496098</v>
      </c>
      <c r="W86" s="109">
        <v>45425</v>
      </c>
      <c r="X86" s="106">
        <v>100</v>
      </c>
      <c r="Y86" s="106">
        <v>1000</v>
      </c>
      <c r="Z86" s="106" t="s">
        <v>1988</v>
      </c>
      <c r="AA86" s="106">
        <f t="shared" si="7"/>
        <v>0</v>
      </c>
      <c r="AB86" s="106">
        <f t="shared" si="8"/>
        <v>0</v>
      </c>
      <c r="AC86" s="94"/>
      <c r="AD86" s="94"/>
      <c r="AE86" s="94"/>
      <c r="AF86" s="94"/>
      <c r="AG86" s="94"/>
      <c r="AH86" s="263"/>
    </row>
    <row r="87" spans="1:34" ht="32.25" customHeight="1">
      <c r="A87" s="90" t="s">
        <v>1478</v>
      </c>
      <c r="B87" s="88">
        <v>6000030276</v>
      </c>
      <c r="C87" s="2" t="s">
        <v>3330</v>
      </c>
      <c r="D87" s="117" t="s">
        <v>3331</v>
      </c>
      <c r="E87" s="192">
        <v>10</v>
      </c>
      <c r="F87" s="74">
        <v>500</v>
      </c>
      <c r="G87" s="45">
        <f t="shared" si="6"/>
        <v>5000</v>
      </c>
      <c r="H87" s="119" t="s">
        <v>27</v>
      </c>
      <c r="I87" s="128">
        <v>45404</v>
      </c>
      <c r="J87" s="74">
        <v>500</v>
      </c>
      <c r="K87" s="74">
        <v>5</v>
      </c>
      <c r="L87" s="156">
        <v>45406</v>
      </c>
      <c r="M87" s="90">
        <v>5000</v>
      </c>
      <c r="N87" s="90">
        <v>50</v>
      </c>
      <c r="O87" s="90" t="s">
        <v>3423</v>
      </c>
      <c r="P87" s="94" t="s">
        <v>28</v>
      </c>
      <c r="Q87" s="94">
        <v>8500070591</v>
      </c>
      <c r="R87" s="94">
        <v>5000494955</v>
      </c>
      <c r="S87" s="74"/>
      <c r="T87" s="90" t="s">
        <v>761</v>
      </c>
      <c r="U87" s="90">
        <v>8500070589</v>
      </c>
      <c r="V87" s="90">
        <v>5000501784</v>
      </c>
      <c r="W87" s="127" t="s">
        <v>3566</v>
      </c>
      <c r="X87" s="106">
        <v>500</v>
      </c>
      <c r="Y87" s="106">
        <v>5000</v>
      </c>
      <c r="Z87" s="106" t="s">
        <v>1980</v>
      </c>
      <c r="AA87" s="106">
        <f t="shared" si="7"/>
        <v>0</v>
      </c>
      <c r="AB87" s="106">
        <f t="shared" si="8"/>
        <v>0</v>
      </c>
      <c r="AC87" s="94"/>
      <c r="AD87" s="94"/>
      <c r="AE87" s="94"/>
      <c r="AF87" s="94"/>
      <c r="AG87" s="94"/>
      <c r="AH87" s="263"/>
    </row>
    <row r="88" spans="1:34" ht="32.25" customHeight="1">
      <c r="A88" s="90"/>
      <c r="B88" s="88"/>
      <c r="C88" s="2"/>
      <c r="D88" s="192"/>
      <c r="E88" s="192">
        <v>10</v>
      </c>
      <c r="F88" s="74">
        <v>370</v>
      </c>
      <c r="G88" s="45">
        <f t="shared" si="6"/>
        <v>3700</v>
      </c>
      <c r="H88" s="119" t="s">
        <v>46</v>
      </c>
      <c r="I88" s="128">
        <v>45404</v>
      </c>
      <c r="J88" s="74">
        <v>370</v>
      </c>
      <c r="K88" s="74">
        <v>4</v>
      </c>
      <c r="L88" s="156">
        <v>45406</v>
      </c>
      <c r="M88" s="90">
        <v>3700</v>
      </c>
      <c r="N88" s="90">
        <v>37</v>
      </c>
      <c r="O88" s="90" t="s">
        <v>3138</v>
      </c>
      <c r="P88" s="94" t="s">
        <v>28</v>
      </c>
      <c r="Q88" s="94">
        <v>8500070591</v>
      </c>
      <c r="R88" s="94">
        <v>5000494955</v>
      </c>
      <c r="S88" s="45"/>
      <c r="T88" s="90" t="s">
        <v>761</v>
      </c>
      <c r="U88" s="90">
        <v>8500070589</v>
      </c>
      <c r="V88" s="90">
        <v>5000501784</v>
      </c>
      <c r="W88" s="127">
        <v>45428</v>
      </c>
      <c r="X88" s="106">
        <v>370</v>
      </c>
      <c r="Y88" s="106">
        <v>3700</v>
      </c>
      <c r="Z88" s="106" t="s">
        <v>267</v>
      </c>
      <c r="AA88" s="106">
        <f t="shared" si="7"/>
        <v>0</v>
      </c>
      <c r="AB88" s="106">
        <f t="shared" si="8"/>
        <v>0</v>
      </c>
      <c r="AC88" s="94"/>
      <c r="AD88" s="94"/>
      <c r="AE88" s="94"/>
      <c r="AF88" s="94"/>
      <c r="AG88" s="94"/>
      <c r="AH88" s="263"/>
    </row>
    <row r="89" spans="1:34" ht="32.25" customHeight="1">
      <c r="A89" s="90"/>
      <c r="B89" s="88"/>
      <c r="C89" s="2"/>
      <c r="D89" s="192"/>
      <c r="E89" s="192">
        <v>10</v>
      </c>
      <c r="F89" s="74">
        <v>100</v>
      </c>
      <c r="G89" s="45">
        <f t="shared" si="6"/>
        <v>1000</v>
      </c>
      <c r="H89" s="119" t="s">
        <v>37</v>
      </c>
      <c r="I89" s="128">
        <v>45405</v>
      </c>
      <c r="J89" s="74">
        <v>100</v>
      </c>
      <c r="K89" s="74">
        <f>1+1</f>
        <v>2</v>
      </c>
      <c r="L89" s="156">
        <v>45406</v>
      </c>
      <c r="M89" s="90">
        <v>1000</v>
      </c>
      <c r="N89" s="90">
        <v>20</v>
      </c>
      <c r="O89" s="90" t="s">
        <v>1363</v>
      </c>
      <c r="P89" s="94" t="s">
        <v>28</v>
      </c>
      <c r="Q89" s="94">
        <v>8500070591</v>
      </c>
      <c r="R89" s="94">
        <v>5000496753</v>
      </c>
      <c r="S89" s="45"/>
      <c r="T89" s="90" t="s">
        <v>761</v>
      </c>
      <c r="U89" s="90">
        <v>8500070589</v>
      </c>
      <c r="V89" s="90">
        <v>5000501784</v>
      </c>
      <c r="W89" s="109">
        <v>45425</v>
      </c>
      <c r="X89" s="106">
        <v>100</v>
      </c>
      <c r="Y89" s="106">
        <v>1000</v>
      </c>
      <c r="Z89" s="106" t="s">
        <v>1988</v>
      </c>
      <c r="AA89" s="106">
        <f t="shared" si="7"/>
        <v>0</v>
      </c>
      <c r="AB89" s="106">
        <f t="shared" si="8"/>
        <v>0</v>
      </c>
      <c r="AC89" s="94"/>
      <c r="AD89" s="94"/>
      <c r="AE89" s="94"/>
      <c r="AF89" s="94"/>
      <c r="AG89" s="94"/>
      <c r="AH89" s="263"/>
    </row>
    <row r="90" spans="1:34" ht="32.25" customHeight="1">
      <c r="A90" s="90" t="s">
        <v>2030</v>
      </c>
      <c r="B90" s="88">
        <v>6000029762</v>
      </c>
      <c r="C90" s="2" t="s">
        <v>2031</v>
      </c>
      <c r="D90" s="2">
        <v>6000029762</v>
      </c>
      <c r="E90" s="192">
        <v>10</v>
      </c>
      <c r="F90" s="74">
        <v>700</v>
      </c>
      <c r="G90" s="45">
        <f t="shared" si="6"/>
        <v>7000</v>
      </c>
      <c r="H90" s="119" t="s">
        <v>27</v>
      </c>
      <c r="I90" s="128">
        <v>45407</v>
      </c>
      <c r="J90" s="74">
        <v>700</v>
      </c>
      <c r="K90" s="74">
        <v>10</v>
      </c>
      <c r="L90" s="156">
        <v>45407</v>
      </c>
      <c r="M90" s="90">
        <v>7000</v>
      </c>
      <c r="N90" s="90">
        <v>35</v>
      </c>
      <c r="O90" s="90"/>
      <c r="P90" s="94" t="s">
        <v>1361</v>
      </c>
      <c r="Q90" s="94">
        <v>8500071257</v>
      </c>
      <c r="R90" s="94">
        <v>5000526297</v>
      </c>
      <c r="S90" s="45"/>
      <c r="T90" s="90" t="s">
        <v>1666</v>
      </c>
      <c r="U90" s="90">
        <v>8500071256</v>
      </c>
      <c r="V90" s="90">
        <v>5000526295</v>
      </c>
      <c r="W90" s="109">
        <v>45423</v>
      </c>
      <c r="X90" s="106">
        <v>700</v>
      </c>
      <c r="Y90" s="106">
        <v>7000</v>
      </c>
      <c r="Z90" s="106" t="s">
        <v>1980</v>
      </c>
      <c r="AA90" s="106">
        <f t="shared" si="7"/>
        <v>0</v>
      </c>
      <c r="AB90" s="106">
        <f t="shared" si="8"/>
        <v>0</v>
      </c>
      <c r="AC90" s="485" t="s">
        <v>3454</v>
      </c>
      <c r="AD90" s="94"/>
      <c r="AE90" s="94"/>
      <c r="AF90" s="94"/>
      <c r="AG90" s="94"/>
      <c r="AH90" s="263"/>
    </row>
    <row r="91" spans="1:34" ht="32.25" customHeight="1">
      <c r="A91" s="90"/>
      <c r="B91" s="88"/>
      <c r="C91" s="2"/>
      <c r="D91" s="2"/>
      <c r="E91" s="192">
        <v>10</v>
      </c>
      <c r="F91" s="74">
        <v>1300</v>
      </c>
      <c r="G91" s="45">
        <f t="shared" si="6"/>
        <v>13000</v>
      </c>
      <c r="H91" s="119" t="s">
        <v>46</v>
      </c>
      <c r="I91" s="128">
        <v>45407</v>
      </c>
      <c r="J91" s="74">
        <v>1300</v>
      </c>
      <c r="K91" s="74">
        <v>15</v>
      </c>
      <c r="L91" s="156">
        <v>45411</v>
      </c>
      <c r="M91" s="90">
        <v>13000</v>
      </c>
      <c r="N91" s="90">
        <v>65</v>
      </c>
      <c r="O91" s="90"/>
      <c r="P91" s="94" t="s">
        <v>1361</v>
      </c>
      <c r="Q91" s="94">
        <v>8500071257</v>
      </c>
      <c r="R91" s="94">
        <v>5000526297</v>
      </c>
      <c r="S91" s="45"/>
      <c r="T91" s="90" t="s">
        <v>1666</v>
      </c>
      <c r="U91" s="90">
        <v>8500071256</v>
      </c>
      <c r="V91" s="90">
        <v>5000526295</v>
      </c>
      <c r="W91" s="109" t="s">
        <v>3630</v>
      </c>
      <c r="X91" s="106">
        <f>290+1010</f>
        <v>1300</v>
      </c>
      <c r="Y91" s="106">
        <f>2900+10100</f>
        <v>13000</v>
      </c>
      <c r="Z91" s="106" t="s">
        <v>1885</v>
      </c>
      <c r="AA91" s="106">
        <f t="shared" si="7"/>
        <v>0</v>
      </c>
      <c r="AB91" s="106">
        <f t="shared" si="8"/>
        <v>0</v>
      </c>
      <c r="AC91" s="486"/>
      <c r="AD91" s="94"/>
      <c r="AE91" s="94"/>
      <c r="AF91" s="94"/>
      <c r="AG91" s="94"/>
      <c r="AH91" s="263"/>
    </row>
    <row r="92" spans="1:34" ht="32.25" customHeight="1">
      <c r="A92" s="90"/>
      <c r="B92" s="88"/>
      <c r="C92" s="2"/>
      <c r="D92" s="2"/>
      <c r="E92" s="192">
        <v>10</v>
      </c>
      <c r="F92" s="74">
        <v>1400</v>
      </c>
      <c r="G92" s="45">
        <f t="shared" si="6"/>
        <v>14000</v>
      </c>
      <c r="H92" s="119" t="s">
        <v>37</v>
      </c>
      <c r="I92" s="128">
        <v>45407</v>
      </c>
      <c r="J92" s="74">
        <v>1400</v>
      </c>
      <c r="K92" s="74">
        <v>16</v>
      </c>
      <c r="L92" s="156">
        <v>45407</v>
      </c>
      <c r="M92" s="90">
        <v>14000</v>
      </c>
      <c r="N92" s="90">
        <v>70</v>
      </c>
      <c r="O92" s="90"/>
      <c r="P92" s="94" t="s">
        <v>1361</v>
      </c>
      <c r="Q92" s="94">
        <v>8500071257</v>
      </c>
      <c r="R92" s="94">
        <v>5000526297</v>
      </c>
      <c r="S92" s="74"/>
      <c r="T92" s="90" t="s">
        <v>1666</v>
      </c>
      <c r="U92" s="90">
        <v>8500071256</v>
      </c>
      <c r="V92" s="90">
        <v>5000526295</v>
      </c>
      <c r="W92" s="109" t="s">
        <v>3631</v>
      </c>
      <c r="X92" s="106">
        <f>115+1285</f>
        <v>1400</v>
      </c>
      <c r="Y92" s="106">
        <f>1150+12850</f>
        <v>14000</v>
      </c>
      <c r="Z92" s="106" t="s">
        <v>1898</v>
      </c>
      <c r="AA92" s="106">
        <f t="shared" si="7"/>
        <v>0</v>
      </c>
      <c r="AB92" s="106">
        <f t="shared" si="8"/>
        <v>0</v>
      </c>
      <c r="AC92" s="486"/>
      <c r="AD92" s="94"/>
      <c r="AE92" s="94"/>
      <c r="AF92" s="94"/>
      <c r="AG92" s="94"/>
      <c r="AH92" s="263"/>
    </row>
    <row r="93" spans="1:34" ht="32.25" customHeight="1">
      <c r="A93" s="90"/>
      <c r="B93" s="88"/>
      <c r="C93" s="2"/>
      <c r="D93" s="2"/>
      <c r="E93" s="192">
        <v>10</v>
      </c>
      <c r="F93" s="74">
        <v>300</v>
      </c>
      <c r="G93" s="45">
        <f t="shared" si="6"/>
        <v>3000</v>
      </c>
      <c r="H93" s="119" t="s">
        <v>146</v>
      </c>
      <c r="I93" s="128">
        <v>45411</v>
      </c>
      <c r="J93" s="74">
        <v>300</v>
      </c>
      <c r="K93" s="74">
        <v>7</v>
      </c>
      <c r="L93" s="156">
        <v>45407</v>
      </c>
      <c r="M93" s="90">
        <v>3000</v>
      </c>
      <c r="N93" s="90">
        <v>15</v>
      </c>
      <c r="O93" s="90" t="s">
        <v>3430</v>
      </c>
      <c r="P93" s="94" t="s">
        <v>1361</v>
      </c>
      <c r="Q93" s="94">
        <v>8500071257</v>
      </c>
      <c r="R93" s="94">
        <v>5000526297</v>
      </c>
      <c r="S93" s="74"/>
      <c r="T93" s="90" t="s">
        <v>1666</v>
      </c>
      <c r="U93" s="90">
        <v>8500071256</v>
      </c>
      <c r="V93" s="90">
        <v>5000526295</v>
      </c>
      <c r="W93" s="109">
        <v>45415</v>
      </c>
      <c r="X93" s="106">
        <v>300</v>
      </c>
      <c r="Y93" s="106">
        <v>3000</v>
      </c>
      <c r="Z93" s="106" t="s">
        <v>800</v>
      </c>
      <c r="AA93" s="106">
        <f t="shared" si="7"/>
        <v>0</v>
      </c>
      <c r="AB93" s="106">
        <f t="shared" si="8"/>
        <v>0</v>
      </c>
      <c r="AC93" s="487"/>
      <c r="AD93" s="94"/>
      <c r="AE93" s="94"/>
      <c r="AF93" s="94"/>
      <c r="AG93" s="94"/>
      <c r="AH93" s="263"/>
    </row>
    <row r="94" spans="1:34" ht="32.25" customHeight="1">
      <c r="A94" s="90" t="s">
        <v>2030</v>
      </c>
      <c r="B94" s="88">
        <v>6000029762</v>
      </c>
      <c r="C94" s="2" t="s">
        <v>3332</v>
      </c>
      <c r="D94" s="2">
        <v>6000029762</v>
      </c>
      <c r="E94" s="192">
        <v>10</v>
      </c>
      <c r="F94" s="271">
        <v>100</v>
      </c>
      <c r="G94" s="329">
        <f t="shared" si="6"/>
        <v>1000</v>
      </c>
      <c r="H94" s="331" t="s">
        <v>46</v>
      </c>
      <c r="I94" s="128" t="s">
        <v>1597</v>
      </c>
      <c r="J94" s="74"/>
      <c r="K94" s="74">
        <v>4</v>
      </c>
      <c r="L94" s="156"/>
      <c r="M94" s="90"/>
      <c r="N94" s="90">
        <v>2</v>
      </c>
      <c r="O94" s="90"/>
      <c r="P94" s="94"/>
      <c r="Q94" s="94">
        <v>8500071259</v>
      </c>
      <c r="R94" s="94">
        <v>5000526299</v>
      </c>
      <c r="S94" s="74"/>
      <c r="T94" s="90"/>
      <c r="U94" s="90">
        <v>8500071258</v>
      </c>
      <c r="V94" s="90">
        <v>5000526298</v>
      </c>
      <c r="W94" s="109"/>
      <c r="X94" s="106"/>
      <c r="Y94" s="106"/>
      <c r="Z94" s="106"/>
      <c r="AA94" s="106">
        <f t="shared" si="7"/>
        <v>0</v>
      </c>
      <c r="AB94" s="106">
        <f t="shared" si="8"/>
        <v>0</v>
      </c>
      <c r="AC94" s="94"/>
      <c r="AD94" s="94"/>
      <c r="AE94" s="94"/>
      <c r="AF94" s="94"/>
      <c r="AG94" s="94"/>
      <c r="AH94" s="263"/>
    </row>
    <row r="95" spans="1:34" ht="32.25" customHeight="1">
      <c r="A95" s="90"/>
      <c r="B95" s="88"/>
      <c r="C95" s="2"/>
      <c r="D95" s="2"/>
      <c r="E95" s="192">
        <v>10</v>
      </c>
      <c r="F95" s="271">
        <v>100</v>
      </c>
      <c r="G95" s="329">
        <f t="shared" si="6"/>
        <v>1000</v>
      </c>
      <c r="H95" s="331" t="s">
        <v>37</v>
      </c>
      <c r="I95" s="128" t="s">
        <v>1597</v>
      </c>
      <c r="J95" s="74"/>
      <c r="K95" s="74">
        <v>3</v>
      </c>
      <c r="L95" s="156"/>
      <c r="M95" s="90"/>
      <c r="N95" s="90">
        <v>3</v>
      </c>
      <c r="O95" s="90"/>
      <c r="P95" s="94"/>
      <c r="Q95" s="94">
        <v>8500071259</v>
      </c>
      <c r="R95" s="94">
        <v>5000526299</v>
      </c>
      <c r="S95" s="74"/>
      <c r="T95" s="90"/>
      <c r="U95" s="90">
        <v>8500071258</v>
      </c>
      <c r="V95" s="90">
        <v>5000526298</v>
      </c>
      <c r="W95" s="109"/>
      <c r="X95" s="106"/>
      <c r="Y95" s="106"/>
      <c r="Z95" s="106"/>
      <c r="AA95" s="106">
        <f t="shared" si="7"/>
        <v>0</v>
      </c>
      <c r="AB95" s="106">
        <f t="shared" si="8"/>
        <v>0</v>
      </c>
      <c r="AC95" s="94"/>
      <c r="AD95" s="94"/>
      <c r="AE95" s="94"/>
      <c r="AF95" s="94"/>
      <c r="AG95" s="94"/>
      <c r="AH95" s="263"/>
    </row>
    <row r="96" spans="1:34" ht="32.25" customHeight="1">
      <c r="A96" s="90" t="s">
        <v>2030</v>
      </c>
      <c r="B96" s="88">
        <v>6000029762</v>
      </c>
      <c r="C96" s="2" t="s">
        <v>3333</v>
      </c>
      <c r="D96" s="117">
        <v>6000029762</v>
      </c>
      <c r="E96" s="192">
        <v>10</v>
      </c>
      <c r="F96" s="271">
        <v>300</v>
      </c>
      <c r="G96" s="329">
        <f t="shared" si="6"/>
        <v>3000</v>
      </c>
      <c r="H96" s="331" t="s">
        <v>365</v>
      </c>
      <c r="I96" s="128" t="s">
        <v>1597</v>
      </c>
      <c r="J96" s="74"/>
      <c r="K96" s="74">
        <v>1</v>
      </c>
      <c r="L96" s="156"/>
      <c r="M96" s="90"/>
      <c r="N96" s="90">
        <v>13</v>
      </c>
      <c r="O96" s="90"/>
      <c r="P96" s="94"/>
      <c r="Q96" s="94">
        <v>8500071261</v>
      </c>
      <c r="R96" s="94">
        <v>5000526311</v>
      </c>
      <c r="S96" s="74"/>
      <c r="T96" s="90"/>
      <c r="U96" s="90">
        <v>8500071260</v>
      </c>
      <c r="V96" s="90">
        <v>5000526310</v>
      </c>
      <c r="W96" s="109"/>
      <c r="X96" s="106"/>
      <c r="Y96" s="106"/>
      <c r="Z96" s="106"/>
      <c r="AA96" s="106">
        <f t="shared" si="7"/>
        <v>0</v>
      </c>
      <c r="AB96" s="106">
        <f t="shared" si="8"/>
        <v>0</v>
      </c>
      <c r="AC96" s="94"/>
      <c r="AD96" s="94"/>
      <c r="AE96" s="94"/>
      <c r="AF96" s="94"/>
      <c r="AG96" s="94"/>
      <c r="AH96" s="263"/>
    </row>
    <row r="97" spans="1:34" ht="32.25" customHeight="1">
      <c r="A97" s="90" t="s">
        <v>1742</v>
      </c>
      <c r="B97" s="88">
        <v>6000029593</v>
      </c>
      <c r="C97" s="2" t="s">
        <v>2118</v>
      </c>
      <c r="D97" s="117" t="s">
        <v>3347</v>
      </c>
      <c r="E97" s="192">
        <v>12</v>
      </c>
      <c r="F97" s="271">
        <v>417</v>
      </c>
      <c r="G97" s="329">
        <f t="shared" si="6"/>
        <v>5004</v>
      </c>
      <c r="H97" s="331" t="s">
        <v>46</v>
      </c>
      <c r="I97" s="128">
        <v>45397</v>
      </c>
      <c r="J97" s="74">
        <v>417</v>
      </c>
      <c r="K97" s="74">
        <v>4</v>
      </c>
      <c r="L97" s="156">
        <v>45397</v>
      </c>
      <c r="M97" s="90">
        <v>5004</v>
      </c>
      <c r="N97" s="90">
        <v>25</v>
      </c>
      <c r="O97" s="90" t="s">
        <v>1613</v>
      </c>
      <c r="P97" s="94" t="s">
        <v>28</v>
      </c>
      <c r="Q97" s="94">
        <v>8500069744</v>
      </c>
      <c r="R97" s="94">
        <v>5000456701</v>
      </c>
      <c r="S97" s="74"/>
      <c r="T97" s="90" t="s">
        <v>152</v>
      </c>
      <c r="U97" s="90">
        <v>8500069743</v>
      </c>
      <c r="V97" s="90">
        <v>5000462253</v>
      </c>
      <c r="W97" s="109">
        <v>45405</v>
      </c>
      <c r="X97" s="106">
        <v>417</v>
      </c>
      <c r="Y97" s="106">
        <v>5004</v>
      </c>
      <c r="Z97" s="106" t="s">
        <v>2112</v>
      </c>
      <c r="AA97" s="106">
        <f t="shared" si="7"/>
        <v>0</v>
      </c>
      <c r="AB97" s="106">
        <f t="shared" si="8"/>
        <v>0</v>
      </c>
      <c r="AC97" s="94"/>
      <c r="AD97" s="94"/>
      <c r="AE97" s="94"/>
      <c r="AF97" s="94"/>
      <c r="AG97" s="94"/>
      <c r="AH97" s="263"/>
    </row>
    <row r="98" spans="1:34" ht="32.25" customHeight="1">
      <c r="A98" s="90" t="s">
        <v>240</v>
      </c>
      <c r="B98" s="88">
        <v>6000029755</v>
      </c>
      <c r="C98" s="2" t="s">
        <v>1385</v>
      </c>
      <c r="D98" s="117" t="s">
        <v>3348</v>
      </c>
      <c r="E98" s="192">
        <v>20</v>
      </c>
      <c r="F98" s="74">
        <v>50</v>
      </c>
      <c r="G98" s="45">
        <f t="shared" si="6"/>
        <v>1000</v>
      </c>
      <c r="H98" s="119" t="s">
        <v>243</v>
      </c>
      <c r="I98" s="128">
        <v>45397</v>
      </c>
      <c r="J98" s="74">
        <v>50</v>
      </c>
      <c r="K98" s="74">
        <v>1</v>
      </c>
      <c r="L98" s="156">
        <v>45404</v>
      </c>
      <c r="M98" s="90">
        <v>1000</v>
      </c>
      <c r="N98" s="90">
        <v>10</v>
      </c>
      <c r="O98" s="90" t="s">
        <v>1362</v>
      </c>
      <c r="P98" s="94" t="s">
        <v>28</v>
      </c>
      <c r="Q98" s="94">
        <v>8500069984</v>
      </c>
      <c r="R98" s="94">
        <v>5000456702</v>
      </c>
      <c r="S98" s="74"/>
      <c r="T98" s="90" t="s">
        <v>794</v>
      </c>
      <c r="U98" s="90">
        <v>8500069983</v>
      </c>
      <c r="V98" s="90">
        <v>5000495170</v>
      </c>
      <c r="W98" s="109">
        <v>45421</v>
      </c>
      <c r="X98" s="106">
        <v>50</v>
      </c>
      <c r="Y98" s="106">
        <v>1000</v>
      </c>
      <c r="Z98" s="106" t="s">
        <v>3282</v>
      </c>
      <c r="AA98" s="106">
        <f t="shared" si="7"/>
        <v>0</v>
      </c>
      <c r="AB98" s="106">
        <f t="shared" si="8"/>
        <v>0</v>
      </c>
      <c r="AC98" s="94"/>
      <c r="AD98" s="94"/>
      <c r="AE98" s="94"/>
      <c r="AF98" s="94"/>
      <c r="AG98" s="94"/>
      <c r="AH98" s="263"/>
    </row>
    <row r="99" spans="1:34" ht="32.25" customHeight="1">
      <c r="A99" s="90"/>
      <c r="B99" s="88"/>
      <c r="C99" s="2"/>
      <c r="D99" s="192"/>
      <c r="E99" s="192">
        <v>20</v>
      </c>
      <c r="F99" s="74">
        <v>200</v>
      </c>
      <c r="G99" s="45">
        <f t="shared" si="6"/>
        <v>4000</v>
      </c>
      <c r="H99" s="119" t="s">
        <v>27</v>
      </c>
      <c r="I99" s="128">
        <v>45397</v>
      </c>
      <c r="J99" s="74">
        <v>200</v>
      </c>
      <c r="K99" s="74">
        <v>2</v>
      </c>
      <c r="L99" s="156">
        <v>45404</v>
      </c>
      <c r="M99" s="90">
        <v>4000</v>
      </c>
      <c r="N99" s="90">
        <v>40</v>
      </c>
      <c r="O99" s="90" t="s">
        <v>857</v>
      </c>
      <c r="P99" s="94" t="s">
        <v>28</v>
      </c>
      <c r="Q99" s="94">
        <v>8500069986</v>
      </c>
      <c r="R99" s="94">
        <v>5000456703</v>
      </c>
      <c r="S99" s="74"/>
      <c r="T99" s="90" t="s">
        <v>794</v>
      </c>
      <c r="U99" s="90">
        <v>8500069985</v>
      </c>
      <c r="V99" s="90">
        <v>5000495171</v>
      </c>
      <c r="W99" s="109" t="s">
        <v>3586</v>
      </c>
      <c r="X99" s="106">
        <f>97+103</f>
        <v>200</v>
      </c>
      <c r="Y99" s="106">
        <f>1940+2060</f>
        <v>4000</v>
      </c>
      <c r="Z99" s="106" t="s">
        <v>1785</v>
      </c>
      <c r="AA99" s="106">
        <f t="shared" si="7"/>
        <v>0</v>
      </c>
      <c r="AB99" s="106">
        <f t="shared" si="8"/>
        <v>0</v>
      </c>
      <c r="AC99" s="94"/>
      <c r="AD99" s="94"/>
      <c r="AE99" s="94"/>
      <c r="AF99" s="94"/>
      <c r="AG99" s="94"/>
      <c r="AH99" s="263"/>
    </row>
    <row r="100" spans="1:34" ht="32.25" customHeight="1">
      <c r="A100" s="90"/>
      <c r="B100" s="88"/>
      <c r="C100" s="2"/>
      <c r="D100" s="192"/>
      <c r="E100" s="192">
        <v>20</v>
      </c>
      <c r="F100" s="74">
        <v>230</v>
      </c>
      <c r="G100" s="45">
        <f t="shared" si="6"/>
        <v>4600</v>
      </c>
      <c r="H100" s="119" t="s">
        <v>46</v>
      </c>
      <c r="I100" s="128">
        <v>45397</v>
      </c>
      <c r="J100" s="74">
        <v>230</v>
      </c>
      <c r="K100" s="74">
        <v>4</v>
      </c>
      <c r="L100" s="156">
        <v>45404</v>
      </c>
      <c r="M100" s="90">
        <v>4600</v>
      </c>
      <c r="N100" s="90">
        <v>46</v>
      </c>
      <c r="O100" s="90" t="s">
        <v>1412</v>
      </c>
      <c r="P100" s="94" t="s">
        <v>28</v>
      </c>
      <c r="Q100" s="94">
        <v>8500069986</v>
      </c>
      <c r="R100" s="94">
        <v>5000456703</v>
      </c>
      <c r="S100" s="74"/>
      <c r="T100" s="90" t="s">
        <v>794</v>
      </c>
      <c r="U100" s="90">
        <v>8500069985</v>
      </c>
      <c r="V100" s="90">
        <v>5000495171</v>
      </c>
      <c r="W100" s="109" t="s">
        <v>3587</v>
      </c>
      <c r="X100" s="106">
        <f>70+160</f>
        <v>230</v>
      </c>
      <c r="Y100" s="106">
        <f>1400+3200</f>
        <v>4600</v>
      </c>
      <c r="Z100" s="106" t="s">
        <v>1785</v>
      </c>
      <c r="AA100" s="106">
        <f t="shared" si="7"/>
        <v>0</v>
      </c>
      <c r="AB100" s="106">
        <f t="shared" si="8"/>
        <v>0</v>
      </c>
      <c r="AC100" s="94"/>
      <c r="AD100" s="94"/>
      <c r="AE100" s="94"/>
      <c r="AF100" s="94"/>
      <c r="AG100" s="94"/>
      <c r="AH100" s="263"/>
    </row>
    <row r="101" spans="1:34" ht="32.25" customHeight="1">
      <c r="A101" s="90"/>
      <c r="B101" s="88"/>
      <c r="C101" s="2"/>
      <c r="D101" s="192"/>
      <c r="E101" s="192">
        <v>20</v>
      </c>
      <c r="F101" s="74">
        <v>150</v>
      </c>
      <c r="G101" s="45">
        <f t="shared" si="6"/>
        <v>3000</v>
      </c>
      <c r="H101" s="119" t="s">
        <v>37</v>
      </c>
      <c r="I101" s="128">
        <v>45397</v>
      </c>
      <c r="J101" s="74">
        <v>150</v>
      </c>
      <c r="K101" s="74">
        <v>2</v>
      </c>
      <c r="L101" s="156">
        <v>45404</v>
      </c>
      <c r="M101" s="90">
        <v>3000</v>
      </c>
      <c r="N101" s="90">
        <v>30</v>
      </c>
      <c r="O101" s="90" t="s">
        <v>1412</v>
      </c>
      <c r="P101" s="94" t="s">
        <v>28</v>
      </c>
      <c r="Q101" s="94">
        <v>8500069984</v>
      </c>
      <c r="R101" s="94">
        <v>5000456702</v>
      </c>
      <c r="S101" s="74"/>
      <c r="T101" s="90" t="s">
        <v>794</v>
      </c>
      <c r="U101" s="90">
        <v>8500069983</v>
      </c>
      <c r="V101" s="90">
        <v>5000495170</v>
      </c>
      <c r="W101" s="109">
        <v>45426</v>
      </c>
      <c r="X101" s="106">
        <v>150</v>
      </c>
      <c r="Y101" s="106">
        <v>3000</v>
      </c>
      <c r="Z101" s="106" t="s">
        <v>800</v>
      </c>
      <c r="AA101" s="106">
        <f t="shared" si="7"/>
        <v>0</v>
      </c>
      <c r="AB101" s="106">
        <f t="shared" si="8"/>
        <v>0</v>
      </c>
      <c r="AC101" s="94"/>
      <c r="AD101" s="94"/>
      <c r="AE101" s="94"/>
      <c r="AF101" s="94"/>
      <c r="AG101" s="94"/>
      <c r="AH101" s="263"/>
    </row>
    <row r="102" spans="1:34" ht="32.25" customHeight="1">
      <c r="A102" s="90"/>
      <c r="B102" s="88"/>
      <c r="C102" s="2"/>
      <c r="D102" s="192"/>
      <c r="E102" s="192">
        <v>20</v>
      </c>
      <c r="F102" s="74">
        <v>50</v>
      </c>
      <c r="G102" s="45">
        <f t="shared" si="6"/>
        <v>1000</v>
      </c>
      <c r="H102" s="119" t="s">
        <v>146</v>
      </c>
      <c r="I102" s="128">
        <v>45397</v>
      </c>
      <c r="J102" s="74">
        <v>50</v>
      </c>
      <c r="K102" s="74">
        <v>1</v>
      </c>
      <c r="L102" s="156">
        <v>45416</v>
      </c>
      <c r="M102" s="90">
        <v>1000</v>
      </c>
      <c r="N102" s="90">
        <v>10</v>
      </c>
      <c r="O102" s="90" t="s">
        <v>1556</v>
      </c>
      <c r="P102" s="94" t="s">
        <v>28</v>
      </c>
      <c r="Q102" s="94">
        <v>8500069984</v>
      </c>
      <c r="R102" s="94">
        <v>5000456702</v>
      </c>
      <c r="S102" s="74"/>
      <c r="T102" s="90" t="s">
        <v>794</v>
      </c>
      <c r="U102" s="90">
        <v>8500069983</v>
      </c>
      <c r="V102" s="90">
        <v>5000545155</v>
      </c>
      <c r="W102" s="109">
        <v>45427</v>
      </c>
      <c r="X102" s="106">
        <v>50</v>
      </c>
      <c r="Y102" s="106">
        <v>1000</v>
      </c>
      <c r="Z102" s="106" t="s">
        <v>800</v>
      </c>
      <c r="AA102" s="106">
        <f t="shared" si="7"/>
        <v>0</v>
      </c>
      <c r="AB102" s="106">
        <f t="shared" si="8"/>
        <v>0</v>
      </c>
      <c r="AC102" s="94"/>
      <c r="AD102" s="94"/>
      <c r="AE102" s="94"/>
      <c r="AF102" s="94"/>
      <c r="AG102" s="94"/>
      <c r="AH102" s="263"/>
    </row>
    <row r="103" spans="1:34" ht="32.25" customHeight="1">
      <c r="A103" s="90" t="s">
        <v>573</v>
      </c>
      <c r="B103" s="88">
        <v>6000030038</v>
      </c>
      <c r="C103" s="2" t="s">
        <v>574</v>
      </c>
      <c r="D103" s="117">
        <v>6000030038</v>
      </c>
      <c r="E103" s="192">
        <v>10</v>
      </c>
      <c r="F103" s="74">
        <v>500</v>
      </c>
      <c r="G103" s="45">
        <f t="shared" si="6"/>
        <v>5000</v>
      </c>
      <c r="H103" s="119" t="s">
        <v>27</v>
      </c>
      <c r="I103" s="128">
        <v>45404</v>
      </c>
      <c r="J103" s="74">
        <v>500</v>
      </c>
      <c r="K103" s="74">
        <f>7+1</f>
        <v>8</v>
      </c>
      <c r="L103" s="156">
        <v>45427</v>
      </c>
      <c r="M103" s="90">
        <v>5000</v>
      </c>
      <c r="N103" s="90">
        <v>50</v>
      </c>
      <c r="O103" s="90" t="s">
        <v>745</v>
      </c>
      <c r="P103" s="94" t="s">
        <v>160</v>
      </c>
      <c r="Q103" s="94">
        <v>8500070033</v>
      </c>
      <c r="R103" s="94">
        <v>5000491310</v>
      </c>
      <c r="S103" s="74"/>
      <c r="T103" s="90" t="s">
        <v>1558</v>
      </c>
      <c r="U103" s="90">
        <v>8500070032</v>
      </c>
      <c r="V103" s="90">
        <v>5000456843</v>
      </c>
      <c r="W103" s="109">
        <v>45425</v>
      </c>
      <c r="X103" s="106">
        <v>500</v>
      </c>
      <c r="Y103" s="106">
        <v>5000</v>
      </c>
      <c r="Z103" s="106" t="s">
        <v>826</v>
      </c>
      <c r="AA103" s="106">
        <f t="shared" si="7"/>
        <v>0</v>
      </c>
      <c r="AB103" s="106">
        <f t="shared" si="8"/>
        <v>0</v>
      </c>
      <c r="AC103" s="94"/>
      <c r="AD103" s="94"/>
      <c r="AE103" s="94"/>
      <c r="AF103" s="94"/>
      <c r="AG103" s="94"/>
      <c r="AH103" s="263"/>
    </row>
    <row r="104" spans="1:34" ht="32.25" customHeight="1">
      <c r="A104" s="90"/>
      <c r="B104" s="88"/>
      <c r="C104" s="2"/>
      <c r="D104" s="192"/>
      <c r="E104" s="192">
        <v>10</v>
      </c>
      <c r="F104" s="74">
        <v>1550</v>
      </c>
      <c r="G104" s="45">
        <f t="shared" si="6"/>
        <v>15500</v>
      </c>
      <c r="H104" s="119" t="s">
        <v>46</v>
      </c>
      <c r="I104" s="128">
        <v>45405</v>
      </c>
      <c r="J104" s="74">
        <v>1550</v>
      </c>
      <c r="K104" s="74">
        <f>17+3</f>
        <v>20</v>
      </c>
      <c r="L104" s="156">
        <v>45427</v>
      </c>
      <c r="M104" s="90">
        <v>15500</v>
      </c>
      <c r="N104" s="90">
        <v>155</v>
      </c>
      <c r="O104" s="90"/>
      <c r="P104" s="94" t="s">
        <v>160</v>
      </c>
      <c r="Q104" s="94">
        <v>8500070033</v>
      </c>
      <c r="R104" s="94">
        <v>5000496701</v>
      </c>
      <c r="S104" s="74"/>
      <c r="T104" s="90" t="s">
        <v>1558</v>
      </c>
      <c r="U104" s="90">
        <v>8500070032</v>
      </c>
      <c r="V104" s="90">
        <v>5000456843</v>
      </c>
      <c r="W104" s="109">
        <v>45409</v>
      </c>
      <c r="X104" s="106">
        <v>1550</v>
      </c>
      <c r="Y104" s="106">
        <v>15500</v>
      </c>
      <c r="Z104" s="106" t="s">
        <v>3415</v>
      </c>
      <c r="AA104" s="106">
        <f t="shared" si="7"/>
        <v>0</v>
      </c>
      <c r="AB104" s="106">
        <f t="shared" si="8"/>
        <v>0</v>
      </c>
      <c r="AC104" s="94"/>
      <c r="AD104" s="94"/>
      <c r="AE104" s="94"/>
      <c r="AF104" s="94"/>
      <c r="AG104" s="94"/>
      <c r="AH104" s="263"/>
    </row>
    <row r="105" spans="1:34" ht="32.25" customHeight="1">
      <c r="A105" s="90"/>
      <c r="B105" s="88"/>
      <c r="C105" s="2"/>
      <c r="D105" s="192"/>
      <c r="E105" s="192">
        <v>10</v>
      </c>
      <c r="F105" s="74">
        <v>1700</v>
      </c>
      <c r="G105" s="45">
        <f t="shared" si="6"/>
        <v>17000</v>
      </c>
      <c r="H105" s="119" t="s">
        <v>37</v>
      </c>
      <c r="I105" s="128">
        <v>45399</v>
      </c>
      <c r="J105" s="74">
        <v>1700</v>
      </c>
      <c r="K105" s="74">
        <f>19+21</f>
        <v>40</v>
      </c>
      <c r="L105" s="156">
        <v>45427</v>
      </c>
      <c r="M105" s="90">
        <v>17000</v>
      </c>
      <c r="N105" s="90">
        <v>170</v>
      </c>
      <c r="O105" s="90"/>
      <c r="P105" s="94" t="s">
        <v>160</v>
      </c>
      <c r="Q105" s="94">
        <v>8500070033</v>
      </c>
      <c r="R105" s="94">
        <v>5000466795</v>
      </c>
      <c r="S105" s="74"/>
      <c r="T105" s="90" t="s">
        <v>1558</v>
      </c>
      <c r="U105" s="90">
        <v>8500070032</v>
      </c>
      <c r="V105" s="90">
        <v>5000456843</v>
      </c>
      <c r="W105" s="109">
        <v>45406</v>
      </c>
      <c r="X105" s="106">
        <v>1700</v>
      </c>
      <c r="Y105" s="106">
        <v>17000</v>
      </c>
      <c r="Z105" s="106" t="s">
        <v>3374</v>
      </c>
      <c r="AA105" s="106">
        <f t="shared" si="7"/>
        <v>0</v>
      </c>
      <c r="AB105" s="106">
        <f t="shared" si="8"/>
        <v>0</v>
      </c>
      <c r="AC105" s="94"/>
      <c r="AD105" s="94"/>
      <c r="AE105" s="94"/>
      <c r="AF105" s="94"/>
      <c r="AG105" s="94"/>
      <c r="AH105" s="263"/>
    </row>
    <row r="106" spans="1:34" ht="32.25" customHeight="1">
      <c r="A106" s="90"/>
      <c r="B106" s="88"/>
      <c r="C106" s="2"/>
      <c r="D106" s="192"/>
      <c r="E106" s="192">
        <v>10</v>
      </c>
      <c r="F106" s="74">
        <v>600</v>
      </c>
      <c r="G106" s="45">
        <f t="shared" si="6"/>
        <v>6000</v>
      </c>
      <c r="H106" s="119" t="s">
        <v>146</v>
      </c>
      <c r="I106" s="128">
        <v>45399</v>
      </c>
      <c r="J106" s="74">
        <v>600</v>
      </c>
      <c r="K106" s="74">
        <f>8+8</f>
        <v>16</v>
      </c>
      <c r="L106" s="156">
        <v>45427</v>
      </c>
      <c r="M106" s="90">
        <v>6000</v>
      </c>
      <c r="N106" s="90">
        <v>60</v>
      </c>
      <c r="O106" s="90" t="s">
        <v>795</v>
      </c>
      <c r="P106" s="94" t="s">
        <v>160</v>
      </c>
      <c r="Q106" s="94">
        <v>8500070033</v>
      </c>
      <c r="R106" s="94">
        <v>5000466795</v>
      </c>
      <c r="S106" s="74"/>
      <c r="T106" s="90" t="s">
        <v>1558</v>
      </c>
      <c r="U106" s="90">
        <v>8500070032</v>
      </c>
      <c r="V106" s="90">
        <v>5000456843</v>
      </c>
      <c r="W106" s="109">
        <v>45421</v>
      </c>
      <c r="X106" s="106">
        <v>600</v>
      </c>
      <c r="Y106" s="106">
        <v>6000</v>
      </c>
      <c r="Z106" s="106" t="s">
        <v>3282</v>
      </c>
      <c r="AA106" s="106">
        <f t="shared" si="7"/>
        <v>0</v>
      </c>
      <c r="AB106" s="106">
        <f t="shared" si="8"/>
        <v>0</v>
      </c>
      <c r="AC106" s="94"/>
      <c r="AD106" s="94"/>
      <c r="AE106" s="94"/>
      <c r="AF106" s="94"/>
      <c r="AG106" s="94"/>
      <c r="AH106" s="263"/>
    </row>
    <row r="107" spans="1:34" ht="32.25" customHeight="1">
      <c r="A107" s="90" t="s">
        <v>136</v>
      </c>
      <c r="B107" s="88">
        <v>6000029872</v>
      </c>
      <c r="C107" s="2" t="s">
        <v>137</v>
      </c>
      <c r="D107" s="117">
        <v>37071</v>
      </c>
      <c r="E107" s="192">
        <v>10</v>
      </c>
      <c r="F107" s="74">
        <v>4820</v>
      </c>
      <c r="G107" s="45">
        <f t="shared" si="6"/>
        <v>48200</v>
      </c>
      <c r="H107" s="119" t="s">
        <v>27</v>
      </c>
      <c r="I107" s="128" t="s">
        <v>3517</v>
      </c>
      <c r="J107" s="74">
        <f>4770+50</f>
        <v>4820</v>
      </c>
      <c r="K107" s="74">
        <f>50+4</f>
        <v>54</v>
      </c>
      <c r="L107" s="156">
        <v>45397</v>
      </c>
      <c r="M107" s="90">
        <v>48200</v>
      </c>
      <c r="N107" s="90">
        <v>241</v>
      </c>
      <c r="O107" s="90"/>
      <c r="P107" s="94" t="s">
        <v>160</v>
      </c>
      <c r="Q107" s="94">
        <v>8500070067</v>
      </c>
      <c r="R107" s="94">
        <v>5000491318</v>
      </c>
      <c r="S107" s="74"/>
      <c r="T107" s="90" t="s">
        <v>152</v>
      </c>
      <c r="U107" s="90">
        <v>8500070065</v>
      </c>
      <c r="V107" s="90">
        <v>5000457763</v>
      </c>
      <c r="W107" s="109" t="s">
        <v>3532</v>
      </c>
      <c r="X107" s="106">
        <f>1000+1000+1000+1820</f>
        <v>4820</v>
      </c>
      <c r="Y107" s="106">
        <f>10000+10000+10000+18200</f>
        <v>48200</v>
      </c>
      <c r="Z107" s="106" t="s">
        <v>3533</v>
      </c>
      <c r="AA107" s="106">
        <f t="shared" si="7"/>
        <v>0</v>
      </c>
      <c r="AB107" s="106">
        <f t="shared" si="8"/>
        <v>0</v>
      </c>
      <c r="AC107" s="94"/>
      <c r="AD107" s="94"/>
      <c r="AE107" s="94"/>
      <c r="AF107" s="94"/>
      <c r="AG107" s="94"/>
      <c r="AH107" s="263"/>
    </row>
    <row r="108" spans="1:34" ht="32.25" customHeight="1">
      <c r="A108" s="90" t="s">
        <v>136</v>
      </c>
      <c r="B108" s="88">
        <v>6000029873</v>
      </c>
      <c r="C108" s="2" t="s">
        <v>137</v>
      </c>
      <c r="D108" s="117">
        <v>37072</v>
      </c>
      <c r="E108" s="192">
        <v>10</v>
      </c>
      <c r="F108" s="74">
        <v>720</v>
      </c>
      <c r="G108" s="45">
        <f t="shared" si="6"/>
        <v>7200</v>
      </c>
      <c r="H108" s="119" t="s">
        <v>27</v>
      </c>
      <c r="I108" s="128" t="s">
        <v>3456</v>
      </c>
      <c r="J108" s="74">
        <f>646+74</f>
        <v>720</v>
      </c>
      <c r="K108" s="74">
        <f>9+9</f>
        <v>18</v>
      </c>
      <c r="L108" s="156">
        <v>45402</v>
      </c>
      <c r="M108" s="90">
        <v>7200</v>
      </c>
      <c r="N108" s="90">
        <v>36</v>
      </c>
      <c r="O108" s="90" t="s">
        <v>1657</v>
      </c>
      <c r="P108" s="94" t="s">
        <v>160</v>
      </c>
      <c r="Q108" s="94">
        <v>8500070074</v>
      </c>
      <c r="R108" s="94">
        <v>5000496680</v>
      </c>
      <c r="S108" s="74"/>
      <c r="T108" s="90" t="s">
        <v>152</v>
      </c>
      <c r="U108" s="90">
        <v>8500070070</v>
      </c>
      <c r="V108" s="90">
        <v>5000490183</v>
      </c>
      <c r="W108" s="109">
        <v>45427</v>
      </c>
      <c r="X108" s="112">
        <v>720</v>
      </c>
      <c r="Y108" s="106">
        <v>7200</v>
      </c>
      <c r="Z108" s="106" t="s">
        <v>1513</v>
      </c>
      <c r="AA108" s="106">
        <f t="shared" si="7"/>
        <v>0</v>
      </c>
      <c r="AB108" s="106">
        <f t="shared" si="8"/>
        <v>0</v>
      </c>
      <c r="AC108" s="94"/>
      <c r="AD108" s="94"/>
      <c r="AE108" s="94"/>
      <c r="AF108" s="94"/>
      <c r="AG108" s="94"/>
      <c r="AH108" s="263"/>
    </row>
    <row r="109" spans="1:34" ht="32.25" customHeight="1">
      <c r="A109" s="90" t="s">
        <v>136</v>
      </c>
      <c r="B109" s="88">
        <v>6000029873</v>
      </c>
      <c r="C109" s="2" t="s">
        <v>3156</v>
      </c>
      <c r="D109" s="117">
        <v>37072</v>
      </c>
      <c r="E109" s="192">
        <v>10</v>
      </c>
      <c r="F109" s="74">
        <v>360</v>
      </c>
      <c r="G109" s="45">
        <f t="shared" si="6"/>
        <v>3600</v>
      </c>
      <c r="H109" s="119" t="s">
        <v>27</v>
      </c>
      <c r="I109" s="128">
        <v>45405</v>
      </c>
      <c r="J109" s="74">
        <v>360</v>
      </c>
      <c r="K109" s="74">
        <v>5</v>
      </c>
      <c r="L109" s="156">
        <v>45404</v>
      </c>
      <c r="M109" s="90">
        <v>3600</v>
      </c>
      <c r="N109" s="90">
        <v>18</v>
      </c>
      <c r="O109" s="90" t="s">
        <v>1403</v>
      </c>
      <c r="P109" s="94" t="s">
        <v>160</v>
      </c>
      <c r="Q109" s="94">
        <v>8500070077</v>
      </c>
      <c r="R109" s="94">
        <v>5000496690</v>
      </c>
      <c r="S109" s="74"/>
      <c r="T109" s="90" t="s">
        <v>152</v>
      </c>
      <c r="U109" s="90">
        <v>8500070076</v>
      </c>
      <c r="V109" s="90">
        <v>5000491439</v>
      </c>
      <c r="W109" s="109">
        <v>45421</v>
      </c>
      <c r="X109" s="106">
        <v>360</v>
      </c>
      <c r="Y109" s="106">
        <v>3600</v>
      </c>
      <c r="Z109" s="106" t="s">
        <v>3282</v>
      </c>
      <c r="AA109" s="106">
        <f t="shared" si="7"/>
        <v>0</v>
      </c>
      <c r="AB109" s="106">
        <f t="shared" si="8"/>
        <v>0</v>
      </c>
      <c r="AC109" s="94"/>
      <c r="AD109" s="94"/>
      <c r="AE109" s="94"/>
      <c r="AF109" s="94"/>
      <c r="AG109" s="94"/>
      <c r="AH109" s="263"/>
    </row>
    <row r="110" spans="1:34" ht="32.25" customHeight="1">
      <c r="A110" s="90"/>
      <c r="B110" s="88"/>
      <c r="C110" s="2"/>
      <c r="D110" s="192"/>
      <c r="E110" s="192">
        <v>10</v>
      </c>
      <c r="F110" s="74">
        <v>960</v>
      </c>
      <c r="G110" s="45">
        <f t="shared" si="6"/>
        <v>9600</v>
      </c>
      <c r="H110" s="119" t="s">
        <v>46</v>
      </c>
      <c r="I110" s="128">
        <v>45405</v>
      </c>
      <c r="J110" s="74">
        <v>960</v>
      </c>
      <c r="K110" s="74">
        <f>4+13</f>
        <v>17</v>
      </c>
      <c r="L110" s="156">
        <v>45404</v>
      </c>
      <c r="M110" s="90">
        <v>9600</v>
      </c>
      <c r="N110" s="90">
        <v>48</v>
      </c>
      <c r="O110" s="90" t="s">
        <v>1784</v>
      </c>
      <c r="P110" s="94" t="s">
        <v>160</v>
      </c>
      <c r="Q110" s="94">
        <v>8500070077</v>
      </c>
      <c r="R110" s="94">
        <v>5000496690</v>
      </c>
      <c r="S110" s="74"/>
      <c r="T110" s="90" t="s">
        <v>152</v>
      </c>
      <c r="U110" s="90">
        <v>8500070076</v>
      </c>
      <c r="V110" s="90">
        <v>5000491439</v>
      </c>
      <c r="W110" s="109">
        <v>45416</v>
      </c>
      <c r="X110" s="106">
        <v>960</v>
      </c>
      <c r="Y110" s="106">
        <v>9600</v>
      </c>
      <c r="Z110" s="106" t="s">
        <v>3502</v>
      </c>
      <c r="AA110" s="106">
        <f t="shared" si="7"/>
        <v>0</v>
      </c>
      <c r="AB110" s="106">
        <f t="shared" si="8"/>
        <v>0</v>
      </c>
      <c r="AC110" s="94"/>
      <c r="AD110" s="94"/>
      <c r="AE110" s="94"/>
      <c r="AF110" s="94"/>
      <c r="AG110" s="94"/>
      <c r="AH110" s="263"/>
    </row>
    <row r="111" spans="1:34" ht="32.25" customHeight="1">
      <c r="A111" s="90"/>
      <c r="B111" s="88"/>
      <c r="C111" s="192"/>
      <c r="D111" s="192"/>
      <c r="E111" s="192">
        <v>10</v>
      </c>
      <c r="F111" s="74">
        <v>670</v>
      </c>
      <c r="G111" s="45">
        <f t="shared" si="6"/>
        <v>6700</v>
      </c>
      <c r="H111" s="119" t="s">
        <v>37</v>
      </c>
      <c r="I111" s="128" t="s">
        <v>3600</v>
      </c>
      <c r="J111" s="74">
        <f>631+33+6</f>
        <v>670</v>
      </c>
      <c r="K111" s="74">
        <f>8+4</f>
        <v>12</v>
      </c>
      <c r="L111" s="156">
        <v>45404</v>
      </c>
      <c r="M111" s="90">
        <v>6700</v>
      </c>
      <c r="N111" s="90">
        <v>34</v>
      </c>
      <c r="O111" s="90" t="s">
        <v>1403</v>
      </c>
      <c r="P111" s="94" t="s">
        <v>160</v>
      </c>
      <c r="Q111" s="94">
        <v>8500070077</v>
      </c>
      <c r="R111" s="94">
        <v>5000529305</v>
      </c>
      <c r="S111" s="74"/>
      <c r="T111" s="90" t="s">
        <v>152</v>
      </c>
      <c r="U111" s="90">
        <v>8500070076</v>
      </c>
      <c r="V111" s="90">
        <v>5000491439</v>
      </c>
      <c r="W111" s="109">
        <v>45426</v>
      </c>
      <c r="X111" s="106">
        <v>670</v>
      </c>
      <c r="Y111" s="106">
        <v>6700</v>
      </c>
      <c r="Z111" s="106" t="s">
        <v>927</v>
      </c>
      <c r="AA111" s="106">
        <f t="shared" si="7"/>
        <v>0</v>
      </c>
      <c r="AB111" s="106">
        <f t="shared" si="8"/>
        <v>0</v>
      </c>
      <c r="AC111" s="94"/>
      <c r="AD111" s="94"/>
      <c r="AE111" s="94"/>
      <c r="AF111" s="94"/>
      <c r="AG111" s="94"/>
      <c r="AH111" s="263"/>
    </row>
    <row r="112" spans="1:34" ht="32.25" customHeight="1">
      <c r="A112" s="90" t="s">
        <v>136</v>
      </c>
      <c r="B112" s="88">
        <v>6000029873</v>
      </c>
      <c r="C112" s="2" t="s">
        <v>3157</v>
      </c>
      <c r="D112" s="192"/>
      <c r="E112" s="192">
        <v>10</v>
      </c>
      <c r="F112" s="74">
        <v>630</v>
      </c>
      <c r="G112" s="45">
        <f t="shared" si="6"/>
        <v>6300</v>
      </c>
      <c r="H112" s="119" t="s">
        <v>27</v>
      </c>
      <c r="I112" s="128">
        <v>45405</v>
      </c>
      <c r="J112" s="74">
        <v>630</v>
      </c>
      <c r="K112" s="74">
        <f>8+2</f>
        <v>10</v>
      </c>
      <c r="L112" s="156">
        <v>45402</v>
      </c>
      <c r="M112" s="90">
        <v>6300</v>
      </c>
      <c r="N112" s="90">
        <v>32</v>
      </c>
      <c r="O112" s="90" t="s">
        <v>1580</v>
      </c>
      <c r="P112" s="94" t="s">
        <v>160</v>
      </c>
      <c r="Q112" s="94">
        <v>8500070083</v>
      </c>
      <c r="R112" s="94">
        <v>5000496686</v>
      </c>
      <c r="S112" s="74"/>
      <c r="T112" s="90" t="s">
        <v>152</v>
      </c>
      <c r="U112" s="90">
        <v>8500070080</v>
      </c>
      <c r="V112" s="90">
        <v>5000490193</v>
      </c>
      <c r="W112" s="109" t="s">
        <v>3590</v>
      </c>
      <c r="X112" s="106">
        <f>250+380</f>
        <v>630</v>
      </c>
      <c r="Y112" s="106">
        <f>2500+3800</f>
        <v>6300</v>
      </c>
      <c r="Z112" s="106" t="s">
        <v>2008</v>
      </c>
      <c r="AA112" s="106">
        <f t="shared" si="7"/>
        <v>0</v>
      </c>
      <c r="AB112" s="106">
        <f t="shared" si="8"/>
        <v>0</v>
      </c>
      <c r="AC112" s="94"/>
      <c r="AD112" s="94"/>
      <c r="AE112" s="94"/>
      <c r="AF112" s="94"/>
      <c r="AG112" s="94"/>
      <c r="AH112" s="263"/>
    </row>
    <row r="113" spans="1:34" ht="32.25" customHeight="1">
      <c r="A113" s="90"/>
      <c r="B113" s="88"/>
      <c r="C113" s="192"/>
      <c r="D113" s="192"/>
      <c r="E113" s="192">
        <v>10</v>
      </c>
      <c r="F113" s="74">
        <v>820</v>
      </c>
      <c r="G113" s="45">
        <f t="shared" si="6"/>
        <v>8200</v>
      </c>
      <c r="H113" s="119" t="s">
        <v>46</v>
      </c>
      <c r="I113" s="128">
        <v>45405</v>
      </c>
      <c r="J113" s="74">
        <v>820</v>
      </c>
      <c r="K113" s="74">
        <f>10+7</f>
        <v>17</v>
      </c>
      <c r="L113" s="156">
        <v>45402</v>
      </c>
      <c r="M113" s="90">
        <v>8200</v>
      </c>
      <c r="N113" s="90">
        <v>41</v>
      </c>
      <c r="O113" s="90" t="s">
        <v>858</v>
      </c>
      <c r="P113" s="94" t="s">
        <v>160</v>
      </c>
      <c r="Q113" s="94">
        <v>8500070083</v>
      </c>
      <c r="R113" s="94">
        <v>5000496686</v>
      </c>
      <c r="S113" s="74"/>
      <c r="T113" s="90" t="s">
        <v>152</v>
      </c>
      <c r="U113" s="90">
        <v>8500070080</v>
      </c>
      <c r="V113" s="90">
        <v>5000490193</v>
      </c>
      <c r="W113" s="109">
        <v>45416</v>
      </c>
      <c r="X113" s="106">
        <v>820</v>
      </c>
      <c r="Y113" s="106">
        <v>8200</v>
      </c>
      <c r="Z113" s="106" t="s">
        <v>3502</v>
      </c>
      <c r="AA113" s="106">
        <f t="shared" si="7"/>
        <v>0</v>
      </c>
      <c r="AB113" s="106">
        <f t="shared" si="8"/>
        <v>0</v>
      </c>
      <c r="AC113" s="94"/>
      <c r="AD113" s="94"/>
      <c r="AE113" s="94"/>
      <c r="AF113" s="94"/>
      <c r="AG113" s="94"/>
      <c r="AH113" s="263"/>
    </row>
    <row r="114" spans="1:34" ht="32.25" customHeight="1">
      <c r="A114" s="90"/>
      <c r="B114" s="88"/>
      <c r="C114" s="192"/>
      <c r="D114" s="192"/>
      <c r="E114" s="192">
        <v>10</v>
      </c>
      <c r="F114" s="74">
        <v>260</v>
      </c>
      <c r="G114" s="45">
        <f t="shared" si="6"/>
        <v>2600</v>
      </c>
      <c r="H114" s="119" t="s">
        <v>37</v>
      </c>
      <c r="I114" s="128">
        <v>45405</v>
      </c>
      <c r="J114" s="74">
        <v>260</v>
      </c>
      <c r="K114" s="74">
        <f>4+3</f>
        <v>7</v>
      </c>
      <c r="L114" s="156">
        <v>45402</v>
      </c>
      <c r="M114" s="90">
        <v>2600</v>
      </c>
      <c r="N114" s="90">
        <v>13</v>
      </c>
      <c r="O114" s="90" t="s">
        <v>1344</v>
      </c>
      <c r="P114" s="94" t="s">
        <v>160</v>
      </c>
      <c r="Q114" s="94">
        <v>8500070083</v>
      </c>
      <c r="R114" s="94">
        <v>5000496686</v>
      </c>
      <c r="S114" s="74"/>
      <c r="T114" s="90" t="s">
        <v>152</v>
      </c>
      <c r="U114" s="90">
        <v>8500070080</v>
      </c>
      <c r="V114" s="90">
        <v>5000490193</v>
      </c>
      <c r="W114" s="109">
        <v>45428</v>
      </c>
      <c r="X114" s="106">
        <v>260</v>
      </c>
      <c r="Y114" s="106">
        <v>2600</v>
      </c>
      <c r="Z114" s="106" t="s">
        <v>800</v>
      </c>
      <c r="AA114" s="106">
        <f t="shared" si="7"/>
        <v>0</v>
      </c>
      <c r="AB114" s="106">
        <f t="shared" si="8"/>
        <v>0</v>
      </c>
      <c r="AC114" s="94"/>
      <c r="AD114" s="94"/>
      <c r="AE114" s="94"/>
      <c r="AF114" s="94"/>
      <c r="AG114" s="94"/>
      <c r="AH114" s="263"/>
    </row>
    <row r="115" spans="1:34" ht="32.25" customHeight="1">
      <c r="A115" s="90" t="s">
        <v>136</v>
      </c>
      <c r="B115" s="88">
        <v>6000029873</v>
      </c>
      <c r="C115" s="2" t="s">
        <v>3166</v>
      </c>
      <c r="D115" s="192"/>
      <c r="E115" s="192">
        <v>10</v>
      </c>
      <c r="F115" s="74">
        <v>170</v>
      </c>
      <c r="G115" s="45">
        <f t="shared" si="6"/>
        <v>1700</v>
      </c>
      <c r="H115" s="119" t="s">
        <v>27</v>
      </c>
      <c r="I115" s="128">
        <v>45405</v>
      </c>
      <c r="J115" s="74">
        <v>170</v>
      </c>
      <c r="K115" s="74">
        <f>4+9</f>
        <v>13</v>
      </c>
      <c r="L115" s="156">
        <v>45402</v>
      </c>
      <c r="M115" s="45">
        <v>1700</v>
      </c>
      <c r="N115" s="90">
        <v>9</v>
      </c>
      <c r="O115" s="90" t="s">
        <v>1344</v>
      </c>
      <c r="P115" s="94" t="s">
        <v>160</v>
      </c>
      <c r="Q115" s="94">
        <v>8500070087</v>
      </c>
      <c r="R115" s="94">
        <v>5000496697</v>
      </c>
      <c r="S115" s="74"/>
      <c r="T115" s="90" t="s">
        <v>152</v>
      </c>
      <c r="U115" s="90">
        <v>8500070088</v>
      </c>
      <c r="V115" s="90">
        <v>5000490210</v>
      </c>
      <c r="W115" s="109">
        <v>45430</v>
      </c>
      <c r="X115" s="106">
        <v>170</v>
      </c>
      <c r="Y115" s="106">
        <v>1700</v>
      </c>
      <c r="Z115" s="106" t="s">
        <v>1513</v>
      </c>
      <c r="AA115" s="106">
        <f t="shared" si="7"/>
        <v>0</v>
      </c>
      <c r="AB115" s="106">
        <f t="shared" si="8"/>
        <v>0</v>
      </c>
      <c r="AC115" s="94" t="s">
        <v>3562</v>
      </c>
      <c r="AD115" s="94"/>
      <c r="AE115" s="94"/>
      <c r="AF115" s="94"/>
      <c r="AG115" s="94"/>
      <c r="AH115" s="263"/>
    </row>
    <row r="116" spans="1:34" ht="32.25" customHeight="1">
      <c r="A116" s="90"/>
      <c r="B116" s="88"/>
      <c r="C116" s="192"/>
      <c r="D116" s="192"/>
      <c r="E116" s="192">
        <v>10</v>
      </c>
      <c r="F116" s="74">
        <v>100</v>
      </c>
      <c r="G116" s="45">
        <f t="shared" si="6"/>
        <v>1000</v>
      </c>
      <c r="H116" s="119" t="s">
        <v>46</v>
      </c>
      <c r="I116" s="128">
        <v>45405</v>
      </c>
      <c r="J116" s="74">
        <v>100</v>
      </c>
      <c r="K116" s="74">
        <f>2+5</f>
        <v>7</v>
      </c>
      <c r="L116" s="156">
        <v>45402</v>
      </c>
      <c r="M116" s="45">
        <v>1000</v>
      </c>
      <c r="N116" s="90">
        <v>5</v>
      </c>
      <c r="O116" s="90" t="s">
        <v>1344</v>
      </c>
      <c r="P116" s="94" t="s">
        <v>160</v>
      </c>
      <c r="Q116" s="94">
        <v>8500070087</v>
      </c>
      <c r="R116" s="94">
        <v>5000496697</v>
      </c>
      <c r="S116" s="74"/>
      <c r="T116" s="90" t="s">
        <v>152</v>
      </c>
      <c r="U116" s="90">
        <v>8500070088</v>
      </c>
      <c r="V116" s="90">
        <v>5000490210</v>
      </c>
      <c r="W116" s="109">
        <v>45428</v>
      </c>
      <c r="X116" s="106">
        <v>100</v>
      </c>
      <c r="Y116" s="106">
        <v>1000</v>
      </c>
      <c r="Z116" s="106" t="s">
        <v>800</v>
      </c>
      <c r="AA116" s="106">
        <f t="shared" si="7"/>
        <v>0</v>
      </c>
      <c r="AB116" s="106">
        <f t="shared" si="8"/>
        <v>0</v>
      </c>
      <c r="AC116" s="94"/>
      <c r="AD116" s="94"/>
      <c r="AE116" s="94"/>
      <c r="AF116" s="94"/>
      <c r="AG116" s="94"/>
      <c r="AH116" s="263"/>
    </row>
    <row r="117" spans="1:34" ht="32.25" customHeight="1">
      <c r="A117" s="90"/>
      <c r="B117" s="88"/>
      <c r="C117" s="192"/>
      <c r="D117" s="192"/>
      <c r="E117" s="192">
        <v>10</v>
      </c>
      <c r="F117" s="74">
        <v>130</v>
      </c>
      <c r="G117" s="45">
        <f t="shared" si="6"/>
        <v>1300</v>
      </c>
      <c r="H117" s="119" t="s">
        <v>37</v>
      </c>
      <c r="I117" s="128">
        <v>45405</v>
      </c>
      <c r="J117" s="74">
        <v>130</v>
      </c>
      <c r="K117" s="74">
        <f>3+7</f>
        <v>10</v>
      </c>
      <c r="L117" s="156">
        <v>45402</v>
      </c>
      <c r="M117" s="45">
        <v>1300</v>
      </c>
      <c r="N117" s="90">
        <v>7</v>
      </c>
      <c r="O117" s="90" t="s">
        <v>1344</v>
      </c>
      <c r="P117" s="94" t="s">
        <v>160</v>
      </c>
      <c r="Q117" s="94">
        <v>8500070087</v>
      </c>
      <c r="R117" s="53">
        <v>5000496697</v>
      </c>
      <c r="S117" s="74"/>
      <c r="T117" s="90" t="s">
        <v>152</v>
      </c>
      <c r="U117" s="90">
        <v>8500070088</v>
      </c>
      <c r="V117" s="90">
        <v>5000490210</v>
      </c>
      <c r="W117" s="109">
        <v>45428</v>
      </c>
      <c r="X117" s="106">
        <v>130</v>
      </c>
      <c r="Y117" s="106">
        <v>1300</v>
      </c>
      <c r="Z117" s="106" t="s">
        <v>800</v>
      </c>
      <c r="AA117" s="106">
        <f t="shared" si="7"/>
        <v>0</v>
      </c>
      <c r="AB117" s="106">
        <f t="shared" si="8"/>
        <v>0</v>
      </c>
      <c r="AC117" s="94"/>
      <c r="AD117" s="94"/>
      <c r="AE117" s="94"/>
      <c r="AF117" s="94"/>
      <c r="AG117" s="94"/>
      <c r="AH117" s="263"/>
    </row>
    <row r="118" spans="1:34" ht="32.25" customHeight="1">
      <c r="A118" s="90" t="s">
        <v>136</v>
      </c>
      <c r="B118" s="88">
        <v>6000029874</v>
      </c>
      <c r="C118" s="2" t="s">
        <v>137</v>
      </c>
      <c r="D118" s="192">
        <v>37073</v>
      </c>
      <c r="E118" s="192">
        <v>10</v>
      </c>
      <c r="F118" s="74">
        <v>720</v>
      </c>
      <c r="G118" s="45">
        <f t="shared" si="6"/>
        <v>7200</v>
      </c>
      <c r="H118" s="119" t="s">
        <v>27</v>
      </c>
      <c r="I118" s="128">
        <v>45419</v>
      </c>
      <c r="J118" s="74">
        <v>720</v>
      </c>
      <c r="K118" s="74">
        <f>9+1</f>
        <v>10</v>
      </c>
      <c r="L118" s="156">
        <v>45402</v>
      </c>
      <c r="M118" s="45">
        <v>7200</v>
      </c>
      <c r="N118" s="90">
        <v>36</v>
      </c>
      <c r="O118" s="90" t="s">
        <v>1554</v>
      </c>
      <c r="P118" s="94" t="s">
        <v>160</v>
      </c>
      <c r="Q118" s="94">
        <v>8500070069</v>
      </c>
      <c r="R118" s="53">
        <v>5000558282</v>
      </c>
      <c r="S118" s="74"/>
      <c r="T118" s="90" t="s">
        <v>152</v>
      </c>
      <c r="U118" s="90">
        <v>8500070068</v>
      </c>
      <c r="V118" s="90">
        <v>5000490214</v>
      </c>
      <c r="W118" s="109">
        <v>45423</v>
      </c>
      <c r="X118" s="106">
        <v>720</v>
      </c>
      <c r="Y118" s="106">
        <v>7200</v>
      </c>
      <c r="Z118" s="106" t="s">
        <v>1513</v>
      </c>
      <c r="AA118" s="106">
        <f>J118-X118</f>
        <v>0</v>
      </c>
      <c r="AB118" s="106">
        <f>M118-Y118</f>
        <v>0</v>
      </c>
      <c r="AC118" s="94"/>
      <c r="AD118" s="94"/>
      <c r="AE118" s="94"/>
      <c r="AF118" s="94"/>
      <c r="AG118" s="94"/>
      <c r="AH118" s="263"/>
    </row>
    <row r="119" spans="1:34" ht="32.25" customHeight="1">
      <c r="A119" s="90"/>
      <c r="B119" s="88"/>
      <c r="C119" s="192"/>
      <c r="D119" s="192"/>
      <c r="E119" s="192">
        <v>10</v>
      </c>
      <c r="F119" s="74">
        <v>1770</v>
      </c>
      <c r="G119" s="45">
        <f t="shared" si="6"/>
        <v>17700</v>
      </c>
      <c r="H119" s="119" t="s">
        <v>46</v>
      </c>
      <c r="I119" s="128">
        <v>45419</v>
      </c>
      <c r="J119" s="74">
        <v>1770</v>
      </c>
      <c r="K119" s="74">
        <f>19</f>
        <v>19</v>
      </c>
      <c r="L119" s="156">
        <v>45404</v>
      </c>
      <c r="M119" s="45">
        <v>17700</v>
      </c>
      <c r="N119" s="90">
        <v>89</v>
      </c>
      <c r="O119" s="90" t="s">
        <v>1784</v>
      </c>
      <c r="P119" s="94" t="s">
        <v>160</v>
      </c>
      <c r="Q119" s="94">
        <v>8500070069</v>
      </c>
      <c r="R119" s="53">
        <v>5000558282</v>
      </c>
      <c r="S119" s="74"/>
      <c r="T119" s="90" t="s">
        <v>152</v>
      </c>
      <c r="U119" s="90">
        <v>8500070068</v>
      </c>
      <c r="V119" s="90">
        <v>5000491438</v>
      </c>
      <c r="W119" s="109">
        <v>45421</v>
      </c>
      <c r="X119" s="106">
        <v>1770</v>
      </c>
      <c r="Y119" s="106">
        <v>17700</v>
      </c>
      <c r="Z119" s="106" t="s">
        <v>197</v>
      </c>
      <c r="AA119" s="106">
        <f>J119-X119</f>
        <v>0</v>
      </c>
      <c r="AB119" s="106">
        <f>M119-Y119</f>
        <v>0</v>
      </c>
      <c r="AC119" s="94"/>
      <c r="AD119" s="94"/>
      <c r="AE119" s="94"/>
      <c r="AF119" s="94"/>
      <c r="AG119" s="94"/>
      <c r="AH119" s="263"/>
    </row>
    <row r="120" spans="1:34" ht="32.25" customHeight="1">
      <c r="A120" s="90"/>
      <c r="B120" s="88"/>
      <c r="C120" s="192"/>
      <c r="D120" s="192"/>
      <c r="E120" s="192">
        <v>10</v>
      </c>
      <c r="F120" s="74">
        <v>2330</v>
      </c>
      <c r="G120" s="45">
        <f t="shared" si="6"/>
        <v>23300</v>
      </c>
      <c r="H120" s="119" t="s">
        <v>37</v>
      </c>
      <c r="I120" s="128" t="s">
        <v>3577</v>
      </c>
      <c r="J120" s="74">
        <f>2260+70</f>
        <v>2330</v>
      </c>
      <c r="K120" s="74">
        <f>22+6+9</f>
        <v>37</v>
      </c>
      <c r="L120" s="156">
        <v>45404</v>
      </c>
      <c r="M120" s="45">
        <v>23300</v>
      </c>
      <c r="N120" s="90">
        <v>117</v>
      </c>
      <c r="O120" s="90" t="s">
        <v>1784</v>
      </c>
      <c r="P120" s="94" t="s">
        <v>160</v>
      </c>
      <c r="Q120" s="94">
        <v>8500070069</v>
      </c>
      <c r="R120" s="53">
        <v>5000558282</v>
      </c>
      <c r="S120" s="74"/>
      <c r="T120" s="90" t="s">
        <v>152</v>
      </c>
      <c r="U120" s="90">
        <v>8500070068</v>
      </c>
      <c r="V120" s="90">
        <v>5000491438</v>
      </c>
      <c r="W120" s="109" t="s">
        <v>3591</v>
      </c>
      <c r="X120" s="106">
        <f>623+549+1158</f>
        <v>2330</v>
      </c>
      <c r="Y120" s="106">
        <f>6230+5490+11580</f>
        <v>23300</v>
      </c>
      <c r="Z120" s="106" t="s">
        <v>3592</v>
      </c>
      <c r="AA120" s="106">
        <f>J120-X120</f>
        <v>0</v>
      </c>
      <c r="AB120" s="106">
        <f>M120-Y120</f>
        <v>0</v>
      </c>
      <c r="AC120" s="94"/>
      <c r="AD120" s="94"/>
      <c r="AE120" s="94"/>
      <c r="AF120" s="94"/>
      <c r="AG120" s="94"/>
      <c r="AH120" s="263"/>
    </row>
    <row r="121" spans="1:34" ht="32.25" customHeight="1">
      <c r="A121" s="90" t="s">
        <v>1563</v>
      </c>
      <c r="B121" s="88">
        <v>6000029935</v>
      </c>
      <c r="C121" s="2" t="s">
        <v>2413</v>
      </c>
      <c r="D121" s="117">
        <v>6000029935</v>
      </c>
      <c r="E121" s="192">
        <v>10</v>
      </c>
      <c r="F121" s="74">
        <v>900</v>
      </c>
      <c r="G121" s="45">
        <f t="shared" si="6"/>
        <v>9000</v>
      </c>
      <c r="H121" s="119" t="s">
        <v>27</v>
      </c>
      <c r="I121" s="128">
        <v>45401</v>
      </c>
      <c r="J121" s="74">
        <v>900</v>
      </c>
      <c r="K121" s="74">
        <v>20</v>
      </c>
      <c r="L121" s="156">
        <v>45399</v>
      </c>
      <c r="M121" s="45">
        <v>9000</v>
      </c>
      <c r="N121" s="90">
        <v>100</v>
      </c>
      <c r="O121" s="90" t="s">
        <v>1784</v>
      </c>
      <c r="P121" s="94" t="s">
        <v>924</v>
      </c>
      <c r="Q121" s="94">
        <v>8500070102</v>
      </c>
      <c r="R121" s="94">
        <v>5000477415</v>
      </c>
      <c r="S121" s="74"/>
      <c r="T121" s="90" t="s">
        <v>655</v>
      </c>
      <c r="U121" s="90">
        <v>8500070101</v>
      </c>
      <c r="V121" s="90">
        <v>5000466437</v>
      </c>
      <c r="W121" s="109">
        <v>45426</v>
      </c>
      <c r="X121" s="106">
        <v>900</v>
      </c>
      <c r="Y121" s="106">
        <v>9000</v>
      </c>
      <c r="Z121" s="106" t="s">
        <v>1980</v>
      </c>
      <c r="AA121" s="106">
        <f t="shared" si="7"/>
        <v>0</v>
      </c>
      <c r="AB121" s="106">
        <f t="shared" si="8"/>
        <v>0</v>
      </c>
      <c r="AC121" s="94"/>
      <c r="AD121" s="94"/>
      <c r="AE121" s="94"/>
      <c r="AF121" s="94"/>
      <c r="AG121" s="94"/>
      <c r="AH121" s="263"/>
    </row>
    <row r="122" spans="1:34" ht="32.25" customHeight="1">
      <c r="A122" s="90"/>
      <c r="B122" s="88"/>
      <c r="C122" s="2"/>
      <c r="D122" s="117"/>
      <c r="E122" s="192">
        <v>10</v>
      </c>
      <c r="F122" s="74">
        <v>1300</v>
      </c>
      <c r="G122" s="45">
        <f t="shared" si="6"/>
        <v>13000</v>
      </c>
      <c r="H122" s="119" t="s">
        <v>46</v>
      </c>
      <c r="I122" s="128" t="s">
        <v>3386</v>
      </c>
      <c r="J122" s="74">
        <f>860+440</f>
        <v>1300</v>
      </c>
      <c r="K122" s="74">
        <v>20</v>
      </c>
      <c r="L122" s="156">
        <v>45399</v>
      </c>
      <c r="M122" s="90">
        <v>13000</v>
      </c>
      <c r="N122" s="90">
        <v>100</v>
      </c>
      <c r="O122" s="90" t="s">
        <v>741</v>
      </c>
      <c r="P122" s="94" t="s">
        <v>924</v>
      </c>
      <c r="Q122" s="94">
        <v>8500070102</v>
      </c>
      <c r="R122" s="94">
        <v>5000477415</v>
      </c>
      <c r="S122" s="74"/>
      <c r="T122" s="90" t="s">
        <v>655</v>
      </c>
      <c r="U122" s="90">
        <v>8500070101</v>
      </c>
      <c r="V122" s="90">
        <v>5000466437</v>
      </c>
      <c r="W122" s="109">
        <v>45437</v>
      </c>
      <c r="X122" s="106">
        <v>1300</v>
      </c>
      <c r="Y122" s="106">
        <v>13000</v>
      </c>
      <c r="Z122" s="106" t="s">
        <v>267</v>
      </c>
      <c r="AA122" s="106">
        <f t="shared" si="7"/>
        <v>0</v>
      </c>
      <c r="AB122" s="106">
        <f t="shared" si="8"/>
        <v>0</v>
      </c>
      <c r="AC122" s="94"/>
      <c r="AD122" s="94"/>
      <c r="AE122" s="94"/>
      <c r="AF122" s="94"/>
      <c r="AG122" s="94"/>
      <c r="AH122" s="263"/>
    </row>
    <row r="123" spans="1:34" ht="32.25" customHeight="1">
      <c r="A123" s="90"/>
      <c r="B123" s="88"/>
      <c r="C123" s="2"/>
      <c r="D123" s="117"/>
      <c r="E123" s="192">
        <v>10</v>
      </c>
      <c r="F123" s="74">
        <v>400</v>
      </c>
      <c r="G123" s="45">
        <f t="shared" si="6"/>
        <v>4000</v>
      </c>
      <c r="H123" s="119" t="s">
        <v>37</v>
      </c>
      <c r="I123" s="128">
        <v>45404</v>
      </c>
      <c r="J123" s="158">
        <v>400</v>
      </c>
      <c r="K123" s="74">
        <v>20</v>
      </c>
      <c r="L123" s="156">
        <v>45399</v>
      </c>
      <c r="M123" s="90">
        <v>4000</v>
      </c>
      <c r="N123" s="90">
        <v>50</v>
      </c>
      <c r="O123" s="90" t="s">
        <v>1547</v>
      </c>
      <c r="P123" s="94" t="s">
        <v>924</v>
      </c>
      <c r="Q123" s="94">
        <v>8500070102</v>
      </c>
      <c r="R123" s="94">
        <v>5000490713</v>
      </c>
      <c r="S123" s="158"/>
      <c r="T123" s="90" t="s">
        <v>655</v>
      </c>
      <c r="U123" s="90">
        <v>8500070101</v>
      </c>
      <c r="V123" s="90">
        <v>5000466437</v>
      </c>
      <c r="W123" s="109">
        <v>45448</v>
      </c>
      <c r="X123" s="106">
        <v>400</v>
      </c>
      <c r="Y123" s="106">
        <v>4000</v>
      </c>
      <c r="Z123" s="106" t="s">
        <v>35</v>
      </c>
      <c r="AA123" s="106">
        <f t="shared" si="7"/>
        <v>0</v>
      </c>
      <c r="AB123" s="106">
        <f t="shared" si="8"/>
        <v>0</v>
      </c>
      <c r="AC123" s="94"/>
      <c r="AD123" s="94"/>
      <c r="AE123" s="94"/>
      <c r="AF123" s="94"/>
      <c r="AG123" s="94"/>
      <c r="AH123" s="263"/>
    </row>
    <row r="124" spans="1:34" ht="32.25" customHeight="1">
      <c r="A124" s="90"/>
      <c r="B124" s="88"/>
      <c r="C124" s="2"/>
      <c r="D124" s="117"/>
      <c r="E124" s="192">
        <v>10</v>
      </c>
      <c r="F124" s="74">
        <v>250</v>
      </c>
      <c r="G124" s="45">
        <f t="shared" si="6"/>
        <v>2500</v>
      </c>
      <c r="H124" s="119" t="s">
        <v>146</v>
      </c>
      <c r="I124" s="128">
        <v>45404</v>
      </c>
      <c r="J124" s="158">
        <v>250</v>
      </c>
      <c r="K124" s="74">
        <v>10</v>
      </c>
      <c r="L124" s="156">
        <v>45399</v>
      </c>
      <c r="M124" s="90">
        <v>2500</v>
      </c>
      <c r="N124" s="90">
        <v>20</v>
      </c>
      <c r="O124" s="90" t="s">
        <v>1875</v>
      </c>
      <c r="P124" s="94" t="s">
        <v>924</v>
      </c>
      <c r="Q124" s="94">
        <v>8500070102</v>
      </c>
      <c r="R124" s="94">
        <v>5000490713</v>
      </c>
      <c r="S124" s="158"/>
      <c r="T124" s="90" t="s">
        <v>655</v>
      </c>
      <c r="U124" s="90">
        <v>8500070101</v>
      </c>
      <c r="V124" s="90">
        <v>5000466437</v>
      </c>
      <c r="W124" s="109">
        <v>45439</v>
      </c>
      <c r="X124" s="106">
        <v>250</v>
      </c>
      <c r="Y124" s="106">
        <v>2500</v>
      </c>
      <c r="Z124" s="106" t="s">
        <v>759</v>
      </c>
      <c r="AA124" s="106">
        <f t="shared" si="7"/>
        <v>0</v>
      </c>
      <c r="AB124" s="106">
        <f t="shared" si="8"/>
        <v>0</v>
      </c>
      <c r="AC124" s="94"/>
      <c r="AD124" s="94"/>
      <c r="AE124" s="94"/>
      <c r="AF124" s="94"/>
      <c r="AG124" s="94"/>
      <c r="AH124" s="263"/>
    </row>
    <row r="125" spans="1:34" ht="32.25" customHeight="1">
      <c r="A125" s="90" t="s">
        <v>1563</v>
      </c>
      <c r="B125" s="88">
        <v>6000029935</v>
      </c>
      <c r="C125" s="2" t="s">
        <v>3352</v>
      </c>
      <c r="D125" s="117" t="s">
        <v>3351</v>
      </c>
      <c r="E125" s="192">
        <v>10</v>
      </c>
      <c r="F125" s="74">
        <v>150</v>
      </c>
      <c r="G125" s="45">
        <f t="shared" si="6"/>
        <v>1500</v>
      </c>
      <c r="H125" s="119" t="s">
        <v>27</v>
      </c>
      <c r="I125" s="128">
        <v>45404</v>
      </c>
      <c r="J125" s="74">
        <v>150</v>
      </c>
      <c r="K125" s="74">
        <f>7+2</f>
        <v>9</v>
      </c>
      <c r="L125" s="156">
        <v>45408</v>
      </c>
      <c r="M125" s="90">
        <v>1500</v>
      </c>
      <c r="N125" s="90">
        <v>30</v>
      </c>
      <c r="O125" s="90" t="s">
        <v>1663</v>
      </c>
      <c r="P125" s="94" t="s">
        <v>28</v>
      </c>
      <c r="Q125" s="94">
        <v>8500070104</v>
      </c>
      <c r="R125" s="94">
        <v>5000494945</v>
      </c>
      <c r="S125" s="74"/>
      <c r="T125" s="90" t="s">
        <v>655</v>
      </c>
      <c r="U125" s="90">
        <v>8500070103</v>
      </c>
      <c r="V125" s="90">
        <v>5000510996</v>
      </c>
      <c r="W125" s="109">
        <v>45421</v>
      </c>
      <c r="X125" s="106">
        <v>150</v>
      </c>
      <c r="Y125" s="106">
        <v>1500</v>
      </c>
      <c r="Z125" s="106" t="s">
        <v>1980</v>
      </c>
      <c r="AA125" s="106">
        <f t="shared" si="7"/>
        <v>0</v>
      </c>
      <c r="AB125" s="106">
        <f t="shared" si="8"/>
        <v>0</v>
      </c>
      <c r="AC125" s="94"/>
      <c r="AD125" s="94"/>
      <c r="AE125" s="94"/>
      <c r="AF125" s="94"/>
      <c r="AG125" s="94"/>
      <c r="AH125" s="263"/>
    </row>
    <row r="126" spans="1:34" ht="32.25" customHeight="1">
      <c r="A126" s="90"/>
      <c r="B126" s="88"/>
      <c r="C126" s="2"/>
      <c r="D126" s="117"/>
      <c r="E126" s="192">
        <v>10</v>
      </c>
      <c r="F126" s="74">
        <v>350</v>
      </c>
      <c r="G126" s="45">
        <f t="shared" si="6"/>
        <v>3500</v>
      </c>
      <c r="H126" s="119" t="s">
        <v>46</v>
      </c>
      <c r="I126" s="128">
        <v>45404</v>
      </c>
      <c r="J126" s="74">
        <v>350</v>
      </c>
      <c r="K126" s="74">
        <v>9</v>
      </c>
      <c r="L126" s="156">
        <v>45408</v>
      </c>
      <c r="M126" s="90">
        <v>3500</v>
      </c>
      <c r="N126" s="90">
        <v>50</v>
      </c>
      <c r="O126" s="90" t="s">
        <v>1340</v>
      </c>
      <c r="P126" s="94" t="s">
        <v>28</v>
      </c>
      <c r="Q126" s="94">
        <v>8500070104</v>
      </c>
      <c r="R126" s="94">
        <v>5000494945</v>
      </c>
      <c r="S126" s="74"/>
      <c r="T126" s="90" t="s">
        <v>655</v>
      </c>
      <c r="U126" s="90">
        <v>8500070103</v>
      </c>
      <c r="V126" s="90">
        <v>5000510996</v>
      </c>
      <c r="W126" s="109">
        <v>45440</v>
      </c>
      <c r="X126" s="106">
        <v>350</v>
      </c>
      <c r="Y126" s="106">
        <v>3500</v>
      </c>
      <c r="Z126" s="106" t="s">
        <v>817</v>
      </c>
      <c r="AA126" s="106">
        <f t="shared" si="7"/>
        <v>0</v>
      </c>
      <c r="AB126" s="106">
        <f t="shared" si="8"/>
        <v>0</v>
      </c>
      <c r="AC126" s="94"/>
      <c r="AD126" s="94"/>
      <c r="AE126" s="94"/>
      <c r="AF126" s="94"/>
      <c r="AG126" s="94"/>
      <c r="AH126" s="263"/>
    </row>
    <row r="127" spans="1:34" ht="32.25" customHeight="1">
      <c r="A127" s="90"/>
      <c r="B127" s="88"/>
      <c r="C127" s="2"/>
      <c r="D127" s="117"/>
      <c r="E127" s="192">
        <v>10</v>
      </c>
      <c r="F127" s="74">
        <v>350</v>
      </c>
      <c r="G127" s="45">
        <f t="shared" si="6"/>
        <v>3500</v>
      </c>
      <c r="H127" s="119" t="s">
        <v>37</v>
      </c>
      <c r="I127" s="128">
        <v>45404</v>
      </c>
      <c r="J127" s="74">
        <v>350</v>
      </c>
      <c r="K127" s="74">
        <f>10+3</f>
        <v>13</v>
      </c>
      <c r="L127" s="156">
        <v>45408</v>
      </c>
      <c r="M127" s="90">
        <v>3500</v>
      </c>
      <c r="N127" s="90">
        <v>50</v>
      </c>
      <c r="O127" s="90" t="s">
        <v>1583</v>
      </c>
      <c r="P127" s="94" t="s">
        <v>28</v>
      </c>
      <c r="Q127" s="94">
        <v>8500070104</v>
      </c>
      <c r="R127" s="94">
        <v>5000494945</v>
      </c>
      <c r="S127" s="74"/>
      <c r="T127" s="90" t="s">
        <v>655</v>
      </c>
      <c r="U127" s="90">
        <v>8500070103</v>
      </c>
      <c r="V127" s="90">
        <v>5000510996</v>
      </c>
      <c r="W127" s="109">
        <v>45448</v>
      </c>
      <c r="X127" s="106">
        <v>350</v>
      </c>
      <c r="Y127" s="106">
        <v>3500</v>
      </c>
      <c r="Z127" s="106" t="s">
        <v>35</v>
      </c>
      <c r="AA127" s="106">
        <f t="shared" si="7"/>
        <v>0</v>
      </c>
      <c r="AB127" s="106">
        <f t="shared" si="8"/>
        <v>0</v>
      </c>
      <c r="AC127" s="94"/>
      <c r="AD127" s="94"/>
      <c r="AE127" s="94"/>
      <c r="AF127" s="94"/>
      <c r="AG127" s="94"/>
      <c r="AH127" s="263"/>
    </row>
    <row r="128" spans="1:34" ht="32.25" customHeight="1">
      <c r="A128" s="90"/>
      <c r="B128" s="88"/>
      <c r="C128" s="2"/>
      <c r="D128" s="117"/>
      <c r="E128" s="192">
        <v>10</v>
      </c>
      <c r="F128" s="74">
        <v>200</v>
      </c>
      <c r="G128" s="45">
        <f t="shared" si="6"/>
        <v>2000</v>
      </c>
      <c r="H128" s="119" t="s">
        <v>146</v>
      </c>
      <c r="I128" s="128">
        <v>45404</v>
      </c>
      <c r="J128" s="74">
        <v>200</v>
      </c>
      <c r="K128" s="74">
        <f>7+2</f>
        <v>9</v>
      </c>
      <c r="L128" s="156">
        <v>45408</v>
      </c>
      <c r="M128" s="90">
        <v>2000</v>
      </c>
      <c r="N128" s="90">
        <v>50</v>
      </c>
      <c r="O128" s="90" t="s">
        <v>1340</v>
      </c>
      <c r="P128" s="94" t="s">
        <v>28</v>
      </c>
      <c r="Q128" s="94">
        <v>8500070104</v>
      </c>
      <c r="R128" s="94">
        <v>5000494945</v>
      </c>
      <c r="S128" s="74"/>
      <c r="T128" s="90" t="s">
        <v>655</v>
      </c>
      <c r="U128" s="90">
        <v>8500070103</v>
      </c>
      <c r="V128" s="90">
        <v>5000510996</v>
      </c>
      <c r="W128" s="109">
        <v>45439</v>
      </c>
      <c r="X128" s="106">
        <v>200</v>
      </c>
      <c r="Y128" s="106">
        <v>2000</v>
      </c>
      <c r="Z128" s="106" t="s">
        <v>759</v>
      </c>
      <c r="AA128" s="106">
        <f t="shared" si="7"/>
        <v>0</v>
      </c>
      <c r="AB128" s="106">
        <f t="shared" si="8"/>
        <v>0</v>
      </c>
      <c r="AC128" s="94"/>
      <c r="AD128" s="94"/>
      <c r="AE128" s="94"/>
      <c r="AF128" s="94"/>
      <c r="AG128" s="94"/>
      <c r="AH128" s="263"/>
    </row>
    <row r="129" spans="1:34" ht="32.25" customHeight="1">
      <c r="A129" s="90" t="s">
        <v>1563</v>
      </c>
      <c r="B129" s="88">
        <v>6000029936</v>
      </c>
      <c r="C129" s="2" t="s">
        <v>2413</v>
      </c>
      <c r="D129" s="117">
        <v>6000029936</v>
      </c>
      <c r="E129" s="192">
        <v>10</v>
      </c>
      <c r="F129" s="74">
        <v>1000</v>
      </c>
      <c r="G129" s="45">
        <f t="shared" si="6"/>
        <v>10000</v>
      </c>
      <c r="H129" s="119" t="s">
        <v>27</v>
      </c>
      <c r="I129" s="128">
        <v>45401</v>
      </c>
      <c r="J129" s="74">
        <v>1000</v>
      </c>
      <c r="K129" s="74">
        <v>20</v>
      </c>
      <c r="L129" s="156">
        <v>45399</v>
      </c>
      <c r="M129" s="90">
        <v>10000</v>
      </c>
      <c r="N129" s="90">
        <v>100</v>
      </c>
      <c r="O129" s="90" t="s">
        <v>1784</v>
      </c>
      <c r="P129" s="94" t="s">
        <v>924</v>
      </c>
      <c r="Q129" s="94">
        <v>8500070100</v>
      </c>
      <c r="R129" s="94">
        <v>5000477430</v>
      </c>
      <c r="S129" s="74"/>
      <c r="T129" s="90" t="s">
        <v>655</v>
      </c>
      <c r="U129" s="90">
        <v>8500070099</v>
      </c>
      <c r="V129" s="90">
        <v>5000466439</v>
      </c>
      <c r="W129" s="109">
        <v>45430</v>
      </c>
      <c r="X129" s="106">
        <v>1000</v>
      </c>
      <c r="Y129" s="106">
        <v>10000</v>
      </c>
      <c r="Z129" s="106" t="s">
        <v>1980</v>
      </c>
      <c r="AA129" s="106">
        <f t="shared" si="7"/>
        <v>0</v>
      </c>
      <c r="AB129" s="106">
        <f t="shared" si="8"/>
        <v>0</v>
      </c>
      <c r="AC129" s="94"/>
      <c r="AD129" s="94"/>
      <c r="AE129" s="94"/>
      <c r="AF129" s="94"/>
      <c r="AG129" s="94"/>
      <c r="AH129" s="263"/>
    </row>
    <row r="130" spans="1:34" s="97" customFormat="1" ht="32.25" customHeight="1">
      <c r="A130" s="90"/>
      <c r="B130" s="88"/>
      <c r="C130" s="192"/>
      <c r="D130" s="192"/>
      <c r="E130" s="192">
        <v>10</v>
      </c>
      <c r="F130" s="74">
        <v>1800</v>
      </c>
      <c r="G130" s="45">
        <f t="shared" si="6"/>
        <v>18000</v>
      </c>
      <c r="H130" s="119" t="s">
        <v>46</v>
      </c>
      <c r="I130" s="128">
        <v>45401</v>
      </c>
      <c r="J130" s="74">
        <v>1800</v>
      </c>
      <c r="K130" s="74">
        <v>20</v>
      </c>
      <c r="L130" s="156" t="s">
        <v>3353</v>
      </c>
      <c r="M130" s="90">
        <f>13400+4600</f>
        <v>18000</v>
      </c>
      <c r="N130" s="90">
        <v>100</v>
      </c>
      <c r="O130" s="90" t="s">
        <v>3354</v>
      </c>
      <c r="P130" s="94" t="s">
        <v>924</v>
      </c>
      <c r="Q130" s="94">
        <v>8500070100</v>
      </c>
      <c r="R130" s="94">
        <v>5000477430</v>
      </c>
      <c r="S130" s="74"/>
      <c r="T130" s="90" t="s">
        <v>655</v>
      </c>
      <c r="U130" s="90">
        <v>8500070099</v>
      </c>
      <c r="V130" s="90">
        <v>5000462469</v>
      </c>
      <c r="W130" s="109">
        <v>45439</v>
      </c>
      <c r="X130" s="106">
        <v>1800</v>
      </c>
      <c r="Y130" s="106">
        <v>18000</v>
      </c>
      <c r="Z130" s="106" t="s">
        <v>267</v>
      </c>
      <c r="AA130" s="106">
        <f t="shared" si="7"/>
        <v>0</v>
      </c>
      <c r="AB130" s="106">
        <f t="shared" si="8"/>
        <v>0</v>
      </c>
      <c r="AC130" s="94"/>
      <c r="AD130" s="94"/>
      <c r="AE130" s="110"/>
      <c r="AF130" s="110"/>
      <c r="AG130" s="110"/>
      <c r="AH130" s="99"/>
    </row>
    <row r="131" spans="1:34" s="97" customFormat="1" ht="32.25" customHeight="1">
      <c r="A131" s="90"/>
      <c r="B131" s="88"/>
      <c r="C131" s="192"/>
      <c r="D131" s="192"/>
      <c r="E131" s="192">
        <v>10</v>
      </c>
      <c r="F131" s="74">
        <v>800</v>
      </c>
      <c r="G131" s="45">
        <f t="shared" si="6"/>
        <v>8000</v>
      </c>
      <c r="H131" s="119" t="s">
        <v>37</v>
      </c>
      <c r="I131" s="128">
        <v>45401</v>
      </c>
      <c r="J131" s="74">
        <v>800</v>
      </c>
      <c r="K131" s="74">
        <v>13</v>
      </c>
      <c r="L131" s="156">
        <v>45398</v>
      </c>
      <c r="M131" s="90">
        <v>8000</v>
      </c>
      <c r="N131" s="90">
        <v>100</v>
      </c>
      <c r="O131" s="90" t="s">
        <v>1848</v>
      </c>
      <c r="P131" s="94" t="s">
        <v>924</v>
      </c>
      <c r="Q131" s="94">
        <v>8500070100</v>
      </c>
      <c r="R131" s="94">
        <v>5000477430</v>
      </c>
      <c r="S131" s="74"/>
      <c r="T131" s="90" t="s">
        <v>655</v>
      </c>
      <c r="U131" s="90">
        <v>8500070099</v>
      </c>
      <c r="V131" s="90">
        <v>5000462469</v>
      </c>
      <c r="W131" s="109">
        <v>45449</v>
      </c>
      <c r="X131" s="106">
        <v>800</v>
      </c>
      <c r="Y131" s="106">
        <v>8000</v>
      </c>
      <c r="Z131" s="106" t="s">
        <v>35</v>
      </c>
      <c r="AA131" s="106">
        <f t="shared" si="7"/>
        <v>0</v>
      </c>
      <c r="AB131" s="106">
        <f t="shared" si="8"/>
        <v>0</v>
      </c>
      <c r="AC131" s="94"/>
      <c r="AD131" s="94"/>
      <c r="AE131" s="110"/>
      <c r="AF131" s="110"/>
      <c r="AG131" s="110"/>
      <c r="AH131" s="99"/>
    </row>
    <row r="132" spans="1:34" s="97" customFormat="1" ht="32.25" customHeight="1">
      <c r="A132" s="90"/>
      <c r="B132" s="88"/>
      <c r="C132" s="192"/>
      <c r="D132" s="192"/>
      <c r="E132" s="192">
        <v>10</v>
      </c>
      <c r="F132" s="74">
        <v>300</v>
      </c>
      <c r="G132" s="45">
        <f t="shared" si="6"/>
        <v>3000</v>
      </c>
      <c r="H132" s="119" t="s">
        <v>146</v>
      </c>
      <c r="I132" s="128">
        <v>45404</v>
      </c>
      <c r="J132" s="74">
        <v>300</v>
      </c>
      <c r="K132" s="74">
        <f>10+10</f>
        <v>20</v>
      </c>
      <c r="L132" s="156">
        <v>45399</v>
      </c>
      <c r="M132" s="90">
        <v>3000</v>
      </c>
      <c r="N132" s="90">
        <v>30</v>
      </c>
      <c r="O132" s="90" t="s">
        <v>1875</v>
      </c>
      <c r="P132" s="94" t="s">
        <v>924</v>
      </c>
      <c r="Q132" s="94">
        <v>8500070100</v>
      </c>
      <c r="R132" s="94">
        <v>5000490767</v>
      </c>
      <c r="S132" s="74"/>
      <c r="T132" s="90" t="s">
        <v>655</v>
      </c>
      <c r="U132" s="90">
        <v>8500070099</v>
      </c>
      <c r="V132" s="90">
        <v>5000466439</v>
      </c>
      <c r="W132" s="109">
        <v>45409</v>
      </c>
      <c r="X132" s="106">
        <v>300</v>
      </c>
      <c r="Y132" s="106">
        <v>3000</v>
      </c>
      <c r="Z132" s="106" t="s">
        <v>759</v>
      </c>
      <c r="AA132" s="106">
        <f t="shared" si="7"/>
        <v>0</v>
      </c>
      <c r="AB132" s="106">
        <f t="shared" si="8"/>
        <v>0</v>
      </c>
      <c r="AC132" s="94"/>
      <c r="AD132" s="94"/>
      <c r="AE132" s="110"/>
      <c r="AF132" s="110"/>
      <c r="AG132" s="110"/>
      <c r="AH132" s="99"/>
    </row>
    <row r="133" spans="1:34" s="97" customFormat="1" ht="32.25" customHeight="1">
      <c r="A133" s="90" t="s">
        <v>692</v>
      </c>
      <c r="B133" s="88">
        <v>6000029898</v>
      </c>
      <c r="C133" s="2" t="s">
        <v>1399</v>
      </c>
      <c r="D133" s="117" t="s">
        <v>3355</v>
      </c>
      <c r="E133" s="192">
        <v>10</v>
      </c>
      <c r="F133" s="74">
        <v>700</v>
      </c>
      <c r="G133" s="45">
        <f t="shared" si="6"/>
        <v>7000</v>
      </c>
      <c r="H133" s="119" t="s">
        <v>27</v>
      </c>
      <c r="I133" s="128">
        <v>45399</v>
      </c>
      <c r="J133" s="74">
        <v>700</v>
      </c>
      <c r="K133" s="74">
        <f>14+4</f>
        <v>18</v>
      </c>
      <c r="L133" s="156">
        <v>45401</v>
      </c>
      <c r="M133" s="90">
        <v>7000</v>
      </c>
      <c r="N133" s="90">
        <v>70</v>
      </c>
      <c r="O133" s="90"/>
      <c r="P133" s="94" t="s">
        <v>160</v>
      </c>
      <c r="Q133" s="94">
        <v>8500069917</v>
      </c>
      <c r="R133" s="94">
        <v>5000466772</v>
      </c>
      <c r="S133" s="74"/>
      <c r="T133" s="90" t="s">
        <v>1558</v>
      </c>
      <c r="U133" s="90">
        <v>8500069916</v>
      </c>
      <c r="V133" s="90">
        <v>5000475930</v>
      </c>
      <c r="W133" s="109">
        <v>45409</v>
      </c>
      <c r="X133" s="106">
        <v>700</v>
      </c>
      <c r="Y133" s="106">
        <v>7000</v>
      </c>
      <c r="Z133" s="106" t="s">
        <v>800</v>
      </c>
      <c r="AA133" s="106">
        <f t="shared" si="7"/>
        <v>0</v>
      </c>
      <c r="AB133" s="106">
        <f t="shared" si="8"/>
        <v>0</v>
      </c>
      <c r="AC133" s="499"/>
      <c r="AD133" s="94"/>
      <c r="AE133" s="110"/>
      <c r="AF133" s="110"/>
      <c r="AG133" s="110"/>
      <c r="AH133" s="99"/>
    </row>
    <row r="134" spans="1:34" s="97" customFormat="1" ht="32.25" customHeight="1">
      <c r="A134" s="90"/>
      <c r="B134" s="88"/>
      <c r="C134" s="2"/>
      <c r="D134" s="117" t="s">
        <v>3356</v>
      </c>
      <c r="E134" s="192">
        <v>10</v>
      </c>
      <c r="F134" s="74">
        <v>1222</v>
      </c>
      <c r="G134" s="45">
        <f t="shared" si="6"/>
        <v>12220</v>
      </c>
      <c r="H134" s="119" t="s">
        <v>46</v>
      </c>
      <c r="I134" s="128">
        <v>45399</v>
      </c>
      <c r="J134" s="74">
        <v>1222</v>
      </c>
      <c r="K134" s="74">
        <f>25+4</f>
        <v>29</v>
      </c>
      <c r="L134" s="156">
        <v>45401</v>
      </c>
      <c r="M134" s="90">
        <v>12220</v>
      </c>
      <c r="N134" s="90">
        <v>122</v>
      </c>
      <c r="O134" s="90"/>
      <c r="P134" s="94" t="s">
        <v>160</v>
      </c>
      <c r="Q134" s="94">
        <v>8500069915</v>
      </c>
      <c r="R134" s="94">
        <v>5000466773</v>
      </c>
      <c r="S134" s="74"/>
      <c r="T134" s="90" t="s">
        <v>1558</v>
      </c>
      <c r="U134" s="90">
        <v>8500069914</v>
      </c>
      <c r="V134" s="90">
        <v>5000475932</v>
      </c>
      <c r="W134" s="109">
        <v>45402</v>
      </c>
      <c r="X134" s="106">
        <v>1222</v>
      </c>
      <c r="Y134" s="106">
        <v>12220</v>
      </c>
      <c r="Z134" s="106" t="s">
        <v>3389</v>
      </c>
      <c r="AA134" s="106">
        <f t="shared" si="7"/>
        <v>0</v>
      </c>
      <c r="AB134" s="106">
        <f t="shared" si="8"/>
        <v>0</v>
      </c>
      <c r="AC134" s="497"/>
      <c r="AD134" s="94"/>
      <c r="AE134" s="110"/>
      <c r="AF134" s="110"/>
      <c r="AG134" s="110"/>
      <c r="AH134" s="99"/>
    </row>
    <row r="135" spans="1:34" ht="32.25" customHeight="1">
      <c r="A135" s="90"/>
      <c r="B135" s="88"/>
      <c r="C135" s="2"/>
      <c r="D135" s="117" t="s">
        <v>3357</v>
      </c>
      <c r="E135" s="192">
        <v>10</v>
      </c>
      <c r="F135" s="74">
        <v>700</v>
      </c>
      <c r="G135" s="45">
        <f t="shared" si="6"/>
        <v>7000</v>
      </c>
      <c r="H135" s="119" t="s">
        <v>37</v>
      </c>
      <c r="I135" s="128">
        <v>45399</v>
      </c>
      <c r="J135" s="74">
        <v>700</v>
      </c>
      <c r="K135" s="74">
        <f>14+1</f>
        <v>15</v>
      </c>
      <c r="L135" s="156">
        <v>45401</v>
      </c>
      <c r="M135" s="90">
        <v>7000</v>
      </c>
      <c r="N135" s="90">
        <v>70</v>
      </c>
      <c r="O135" s="90"/>
      <c r="P135" s="94" t="s">
        <v>160</v>
      </c>
      <c r="Q135" s="94">
        <v>8500069913</v>
      </c>
      <c r="R135" s="94">
        <v>5000466774</v>
      </c>
      <c r="S135" s="74"/>
      <c r="T135" s="90" t="s">
        <v>1558</v>
      </c>
      <c r="U135" s="90">
        <v>8500069912</v>
      </c>
      <c r="V135" s="90">
        <v>5000475934</v>
      </c>
      <c r="W135" s="109" t="s">
        <v>3503</v>
      </c>
      <c r="X135" s="106">
        <f>183+90+180+247</f>
        <v>700</v>
      </c>
      <c r="Y135" s="106">
        <f>1830+900+1800+2470</f>
        <v>7000</v>
      </c>
      <c r="Z135" s="106" t="s">
        <v>3504</v>
      </c>
      <c r="AA135" s="106">
        <f t="shared" si="7"/>
        <v>0</v>
      </c>
      <c r="AB135" s="106">
        <f t="shared" si="8"/>
        <v>0</v>
      </c>
      <c r="AC135" s="94"/>
      <c r="AD135" s="94"/>
      <c r="AE135" s="94"/>
      <c r="AF135" s="94"/>
      <c r="AG135" s="94"/>
      <c r="AH135" s="263"/>
    </row>
    <row r="136" spans="1:34" ht="32.25" customHeight="1">
      <c r="A136" s="90"/>
      <c r="B136" s="88"/>
      <c r="C136" s="2"/>
      <c r="D136" s="117" t="s">
        <v>3358</v>
      </c>
      <c r="E136" s="192">
        <v>10</v>
      </c>
      <c r="F136" s="74">
        <v>150</v>
      </c>
      <c r="G136" s="45">
        <f t="shared" si="6"/>
        <v>1500</v>
      </c>
      <c r="H136" s="119" t="s">
        <v>146</v>
      </c>
      <c r="I136" s="128">
        <v>45399</v>
      </c>
      <c r="J136" s="74">
        <v>150</v>
      </c>
      <c r="K136" s="74">
        <f>3+3</f>
        <v>6</v>
      </c>
      <c r="L136" s="156">
        <v>45399</v>
      </c>
      <c r="M136" s="90">
        <v>1500</v>
      </c>
      <c r="N136" s="90">
        <v>15</v>
      </c>
      <c r="O136" s="90" t="s">
        <v>1628</v>
      </c>
      <c r="P136" s="94" t="s">
        <v>160</v>
      </c>
      <c r="Q136" s="94">
        <v>8500069920</v>
      </c>
      <c r="R136" s="94">
        <v>5000466776</v>
      </c>
      <c r="S136" s="74"/>
      <c r="T136" s="90" t="s">
        <v>1558</v>
      </c>
      <c r="U136" s="90">
        <v>8500069919</v>
      </c>
      <c r="V136" s="90">
        <v>5000467111</v>
      </c>
      <c r="W136" s="109">
        <v>45423</v>
      </c>
      <c r="X136" s="106">
        <v>150</v>
      </c>
      <c r="Y136" s="106">
        <v>1500</v>
      </c>
      <c r="Z136" s="106">
        <v>0</v>
      </c>
      <c r="AA136" s="106">
        <f t="shared" si="7"/>
        <v>0</v>
      </c>
      <c r="AB136" s="106">
        <f t="shared" si="8"/>
        <v>0</v>
      </c>
      <c r="AC136" s="94"/>
      <c r="AD136" s="94"/>
      <c r="AE136" s="94"/>
      <c r="AF136" s="94"/>
      <c r="AG136" s="94"/>
      <c r="AH136" s="263"/>
    </row>
    <row r="137" spans="1:34" ht="32.25" customHeight="1">
      <c r="A137" s="90" t="s">
        <v>692</v>
      </c>
      <c r="B137" s="88">
        <v>6000029899</v>
      </c>
      <c r="C137" s="2" t="s">
        <v>1399</v>
      </c>
      <c r="D137" s="117" t="s">
        <v>3359</v>
      </c>
      <c r="E137" s="192">
        <v>10</v>
      </c>
      <c r="F137" s="74">
        <v>700</v>
      </c>
      <c r="G137" s="45">
        <f t="shared" ref="G137:G144" si="9">F137*E137</f>
        <v>7000</v>
      </c>
      <c r="H137" s="119" t="s">
        <v>27</v>
      </c>
      <c r="I137" s="128">
        <v>45399</v>
      </c>
      <c r="J137" s="74">
        <v>700</v>
      </c>
      <c r="K137" s="74">
        <f>14+2</f>
        <v>16</v>
      </c>
      <c r="L137" s="156">
        <v>45399</v>
      </c>
      <c r="M137" s="90">
        <v>7000</v>
      </c>
      <c r="N137" s="90">
        <v>70</v>
      </c>
      <c r="O137" s="90" t="s">
        <v>1784</v>
      </c>
      <c r="P137" s="94" t="s">
        <v>160</v>
      </c>
      <c r="Q137" s="94">
        <v>8500069951</v>
      </c>
      <c r="R137" s="94">
        <v>5000466777</v>
      </c>
      <c r="S137" s="74"/>
      <c r="T137" s="90" t="s">
        <v>1558</v>
      </c>
      <c r="U137" s="90">
        <v>8500069950</v>
      </c>
      <c r="V137" s="90">
        <v>5000467090</v>
      </c>
      <c r="W137" s="109" t="s">
        <v>3588</v>
      </c>
      <c r="X137" s="106">
        <f>300+400</f>
        <v>700</v>
      </c>
      <c r="Y137" s="106">
        <f>3000+4000</f>
        <v>7000</v>
      </c>
      <c r="Z137" s="106" t="s">
        <v>1464</v>
      </c>
      <c r="AA137" s="106">
        <f t="shared" ref="AA137:AA202" si="10">J137-X137</f>
        <v>0</v>
      </c>
      <c r="AB137" s="106">
        <f t="shared" ref="AB137:AB202" si="11">M137-Y137</f>
        <v>0</v>
      </c>
      <c r="AC137" s="94"/>
      <c r="AD137" s="94"/>
      <c r="AE137" s="94"/>
      <c r="AF137" s="94"/>
      <c r="AG137" s="94"/>
      <c r="AH137" s="263"/>
    </row>
    <row r="138" spans="1:34" ht="32.25" customHeight="1">
      <c r="A138" s="90"/>
      <c r="B138" s="88"/>
      <c r="C138" s="2"/>
      <c r="D138" s="117" t="s">
        <v>3360</v>
      </c>
      <c r="E138" s="192">
        <v>10</v>
      </c>
      <c r="F138" s="74">
        <v>1222</v>
      </c>
      <c r="G138" s="45">
        <f t="shared" si="9"/>
        <v>12220</v>
      </c>
      <c r="H138" s="119" t="s">
        <v>46</v>
      </c>
      <c r="I138" s="128">
        <v>45399</v>
      </c>
      <c r="J138" s="74">
        <v>1222</v>
      </c>
      <c r="K138" s="74">
        <f>25+5</f>
        <v>30</v>
      </c>
      <c r="L138" s="156">
        <v>45399</v>
      </c>
      <c r="M138" s="90">
        <v>12220</v>
      </c>
      <c r="N138" s="90">
        <v>122</v>
      </c>
      <c r="O138" s="90" t="s">
        <v>1784</v>
      </c>
      <c r="P138" s="94" t="s">
        <v>160</v>
      </c>
      <c r="Q138" s="94">
        <v>8500069949</v>
      </c>
      <c r="R138" s="94">
        <v>5000466778</v>
      </c>
      <c r="S138" s="74"/>
      <c r="T138" s="90" t="s">
        <v>1558</v>
      </c>
      <c r="U138" s="90">
        <v>8500069948</v>
      </c>
      <c r="V138" s="90">
        <v>5000467091</v>
      </c>
      <c r="W138" s="109" t="s">
        <v>3403</v>
      </c>
      <c r="X138" s="106">
        <f>535+308+379</f>
        <v>1222</v>
      </c>
      <c r="Y138" s="106">
        <f>5350+3080+3790</f>
        <v>12220</v>
      </c>
      <c r="Z138" s="106" t="s">
        <v>1810</v>
      </c>
      <c r="AA138" s="106">
        <f t="shared" si="10"/>
        <v>0</v>
      </c>
      <c r="AB138" s="106">
        <f t="shared" si="11"/>
        <v>0</v>
      </c>
      <c r="AC138" s="94"/>
      <c r="AD138" s="94"/>
      <c r="AE138" s="94"/>
      <c r="AF138" s="94"/>
      <c r="AG138" s="94"/>
      <c r="AH138" s="263"/>
    </row>
    <row r="139" spans="1:34" ht="32.25" customHeight="1">
      <c r="A139" s="90"/>
      <c r="B139" s="88"/>
      <c r="C139" s="2"/>
      <c r="D139" s="117" t="s">
        <v>3361</v>
      </c>
      <c r="E139" s="192">
        <v>10</v>
      </c>
      <c r="F139" s="74">
        <v>700</v>
      </c>
      <c r="G139" s="45">
        <f t="shared" si="9"/>
        <v>7000</v>
      </c>
      <c r="H139" s="119" t="s">
        <v>37</v>
      </c>
      <c r="I139" s="128">
        <v>45399</v>
      </c>
      <c r="J139" s="74">
        <v>700</v>
      </c>
      <c r="K139" s="74">
        <f>14+6</f>
        <v>20</v>
      </c>
      <c r="L139" s="156">
        <v>45399</v>
      </c>
      <c r="M139" s="90">
        <v>7000</v>
      </c>
      <c r="N139" s="90">
        <v>70</v>
      </c>
      <c r="O139" s="90" t="s">
        <v>1784</v>
      </c>
      <c r="P139" s="94" t="s">
        <v>160</v>
      </c>
      <c r="Q139" s="94">
        <v>8500069947</v>
      </c>
      <c r="R139" s="94">
        <v>5000466779</v>
      </c>
      <c r="S139" s="74"/>
      <c r="T139" s="90" t="s">
        <v>1558</v>
      </c>
      <c r="U139" s="90">
        <v>8500069946</v>
      </c>
      <c r="V139" s="90">
        <v>5000467092</v>
      </c>
      <c r="W139" s="109" t="s">
        <v>3475</v>
      </c>
      <c r="X139" s="106">
        <f>400+300</f>
        <v>700</v>
      </c>
      <c r="Y139" s="106">
        <f>4000+3000</f>
        <v>7000</v>
      </c>
      <c r="Z139" s="106" t="s">
        <v>3484</v>
      </c>
      <c r="AA139" s="106">
        <f t="shared" si="10"/>
        <v>0</v>
      </c>
      <c r="AB139" s="106">
        <f t="shared" si="11"/>
        <v>0</v>
      </c>
      <c r="AC139" s="94"/>
      <c r="AD139" s="94"/>
      <c r="AE139" s="94"/>
      <c r="AF139" s="94"/>
      <c r="AG139" s="94"/>
      <c r="AH139" s="263"/>
    </row>
    <row r="140" spans="1:34" ht="32.25" customHeight="1">
      <c r="A140" s="90"/>
      <c r="B140" s="88"/>
      <c r="C140" s="2"/>
      <c r="D140" s="117" t="s">
        <v>3362</v>
      </c>
      <c r="E140" s="192">
        <v>10</v>
      </c>
      <c r="F140" s="74">
        <v>150</v>
      </c>
      <c r="G140" s="45">
        <f t="shared" si="9"/>
        <v>1500</v>
      </c>
      <c r="H140" s="119" t="s">
        <v>146</v>
      </c>
      <c r="I140" s="128">
        <v>45399</v>
      </c>
      <c r="J140" s="74">
        <v>150</v>
      </c>
      <c r="K140" s="74">
        <f>3+2</f>
        <v>5</v>
      </c>
      <c r="L140" s="156">
        <v>45399</v>
      </c>
      <c r="M140" s="90">
        <v>1500</v>
      </c>
      <c r="N140" s="90">
        <v>15</v>
      </c>
      <c r="O140" s="90" t="s">
        <v>1574</v>
      </c>
      <c r="P140" s="94" t="s">
        <v>160</v>
      </c>
      <c r="Q140" s="94">
        <v>8500069953</v>
      </c>
      <c r="R140" s="94">
        <v>5000466790</v>
      </c>
      <c r="S140" s="74"/>
      <c r="T140" s="90" t="s">
        <v>1558</v>
      </c>
      <c r="U140" s="90">
        <v>8500069952</v>
      </c>
      <c r="V140" s="90">
        <v>5000467093</v>
      </c>
      <c r="W140" s="109">
        <v>45433</v>
      </c>
      <c r="X140" s="106">
        <v>150</v>
      </c>
      <c r="Y140" s="106">
        <v>1500</v>
      </c>
      <c r="Z140" s="106" t="s">
        <v>800</v>
      </c>
      <c r="AA140" s="106">
        <f t="shared" si="10"/>
        <v>0</v>
      </c>
      <c r="AB140" s="106">
        <f t="shared" si="11"/>
        <v>0</v>
      </c>
      <c r="AC140" s="94"/>
      <c r="AD140" s="94"/>
      <c r="AE140" s="94"/>
      <c r="AF140" s="94"/>
      <c r="AG140" s="94"/>
      <c r="AH140" s="263"/>
    </row>
    <row r="141" spans="1:34" ht="32.25" customHeight="1">
      <c r="A141" s="90" t="s">
        <v>692</v>
      </c>
      <c r="B141" s="88">
        <v>6000029900</v>
      </c>
      <c r="C141" s="2" t="s">
        <v>1399</v>
      </c>
      <c r="D141" s="117" t="s">
        <v>3364</v>
      </c>
      <c r="E141" s="192">
        <v>10</v>
      </c>
      <c r="F141" s="74">
        <v>700</v>
      </c>
      <c r="G141" s="45">
        <f t="shared" si="9"/>
        <v>7000</v>
      </c>
      <c r="H141" s="119" t="s">
        <v>27</v>
      </c>
      <c r="I141" s="128">
        <v>45399</v>
      </c>
      <c r="J141" s="74">
        <v>700</v>
      </c>
      <c r="K141" s="74">
        <f>14+10</f>
        <v>24</v>
      </c>
      <c r="L141" s="156">
        <v>45399</v>
      </c>
      <c r="M141" s="90">
        <v>7000</v>
      </c>
      <c r="N141" s="90">
        <v>70</v>
      </c>
      <c r="O141" s="90" t="s">
        <v>1784</v>
      </c>
      <c r="P141" s="94" t="s">
        <v>160</v>
      </c>
      <c r="Q141" s="94">
        <v>8500069942</v>
      </c>
      <c r="R141" s="94">
        <v>5000466791</v>
      </c>
      <c r="S141" s="74"/>
      <c r="T141" s="90" t="s">
        <v>1558</v>
      </c>
      <c r="U141" s="90">
        <v>8500069941</v>
      </c>
      <c r="V141" s="90">
        <v>5000467054</v>
      </c>
      <c r="W141" s="109" t="s">
        <v>3652</v>
      </c>
      <c r="X141" s="106">
        <f>500+200</f>
        <v>700</v>
      </c>
      <c r="Y141" s="106">
        <f>5000+2000</f>
        <v>7000</v>
      </c>
      <c r="Z141" s="106" t="s">
        <v>3653</v>
      </c>
      <c r="AA141" s="106">
        <f t="shared" si="10"/>
        <v>0</v>
      </c>
      <c r="AB141" s="106">
        <f t="shared" si="11"/>
        <v>0</v>
      </c>
      <c r="AC141" s="94"/>
      <c r="AD141" s="94"/>
      <c r="AE141" s="94"/>
      <c r="AF141" s="94"/>
      <c r="AG141" s="94"/>
      <c r="AH141" s="263"/>
    </row>
    <row r="142" spans="1:34" ht="32.25" customHeight="1">
      <c r="A142" s="90"/>
      <c r="B142" s="88"/>
      <c r="C142" s="192"/>
      <c r="D142" s="117" t="s">
        <v>3365</v>
      </c>
      <c r="E142" s="192">
        <v>10</v>
      </c>
      <c r="F142" s="74">
        <v>1222</v>
      </c>
      <c r="G142" s="45">
        <f t="shared" si="9"/>
        <v>12220</v>
      </c>
      <c r="H142" s="119" t="s">
        <v>46</v>
      </c>
      <c r="I142" s="128">
        <v>45399</v>
      </c>
      <c r="J142" s="74">
        <v>1222</v>
      </c>
      <c r="K142" s="74">
        <f>25+4</f>
        <v>29</v>
      </c>
      <c r="L142" s="156">
        <v>45399</v>
      </c>
      <c r="M142" s="90">
        <v>12220</v>
      </c>
      <c r="N142" s="90">
        <v>122</v>
      </c>
      <c r="O142" s="90" t="s">
        <v>1784</v>
      </c>
      <c r="P142" s="94" t="s">
        <v>160</v>
      </c>
      <c r="Q142" s="94">
        <v>8500069939</v>
      </c>
      <c r="R142" s="94">
        <v>5000466792</v>
      </c>
      <c r="S142" s="94"/>
      <c r="T142" s="90" t="s">
        <v>1558</v>
      </c>
      <c r="U142" s="90">
        <v>8500069935</v>
      </c>
      <c r="V142" s="90">
        <v>5000467055</v>
      </c>
      <c r="W142" s="109">
        <v>45400</v>
      </c>
      <c r="X142" s="106">
        <v>1222</v>
      </c>
      <c r="Y142" s="106">
        <v>12220</v>
      </c>
      <c r="Z142" s="106" t="s">
        <v>3380</v>
      </c>
      <c r="AA142" s="106">
        <f t="shared" si="10"/>
        <v>0</v>
      </c>
      <c r="AB142" s="106">
        <f t="shared" si="11"/>
        <v>0</v>
      </c>
      <c r="AC142" s="94" t="s">
        <v>3378</v>
      </c>
      <c r="AD142" s="94"/>
      <c r="AE142" s="94"/>
      <c r="AF142" s="94"/>
      <c r="AG142" s="94"/>
      <c r="AH142" s="263"/>
    </row>
    <row r="143" spans="1:34" ht="32.25" customHeight="1">
      <c r="A143" s="90"/>
      <c r="B143" s="88"/>
      <c r="C143" s="192"/>
      <c r="D143" s="117" t="s">
        <v>3363</v>
      </c>
      <c r="E143" s="192">
        <v>10</v>
      </c>
      <c r="F143" s="74">
        <v>700</v>
      </c>
      <c r="G143" s="45">
        <f t="shared" si="9"/>
        <v>7000</v>
      </c>
      <c r="H143" s="119" t="s">
        <v>37</v>
      </c>
      <c r="I143" s="128">
        <v>45399</v>
      </c>
      <c r="J143" s="74">
        <v>700</v>
      </c>
      <c r="K143" s="74">
        <f>14+6</f>
        <v>20</v>
      </c>
      <c r="L143" s="156">
        <v>45399</v>
      </c>
      <c r="M143" s="90">
        <v>7000</v>
      </c>
      <c r="N143" s="90">
        <v>70</v>
      </c>
      <c r="O143" s="90" t="s">
        <v>1784</v>
      </c>
      <c r="P143" s="94" t="s">
        <v>160</v>
      </c>
      <c r="Q143" s="94">
        <v>8500069934</v>
      </c>
      <c r="R143" s="94">
        <v>5000466793</v>
      </c>
      <c r="S143" s="74"/>
      <c r="T143" s="90" t="s">
        <v>1558</v>
      </c>
      <c r="U143" s="90">
        <v>8500069931</v>
      </c>
      <c r="V143" s="90">
        <v>5000467056</v>
      </c>
      <c r="W143" s="109">
        <v>45401</v>
      </c>
      <c r="X143" s="106">
        <v>700</v>
      </c>
      <c r="Y143" s="106">
        <v>7000</v>
      </c>
      <c r="Z143" s="106" t="s">
        <v>3374</v>
      </c>
      <c r="AA143" s="106">
        <f t="shared" si="10"/>
        <v>0</v>
      </c>
      <c r="AB143" s="106">
        <f t="shared" si="11"/>
        <v>0</v>
      </c>
      <c r="AC143" s="94"/>
      <c r="AD143" s="94"/>
      <c r="AE143" s="94"/>
      <c r="AF143" s="94"/>
      <c r="AG143" s="94"/>
      <c r="AH143" s="263"/>
    </row>
    <row r="144" spans="1:34" ht="32.25" customHeight="1">
      <c r="A144" s="90"/>
      <c r="B144" s="88"/>
      <c r="C144" s="192"/>
      <c r="D144" s="117" t="s">
        <v>3366</v>
      </c>
      <c r="E144" s="192">
        <v>10</v>
      </c>
      <c r="F144" s="74">
        <v>150</v>
      </c>
      <c r="G144" s="45">
        <f t="shared" si="9"/>
        <v>1500</v>
      </c>
      <c r="H144" s="119" t="s">
        <v>146</v>
      </c>
      <c r="I144" s="128">
        <v>45399</v>
      </c>
      <c r="J144" s="74">
        <v>150</v>
      </c>
      <c r="K144" s="74">
        <f>3+2</f>
        <v>5</v>
      </c>
      <c r="L144" s="156">
        <v>45399</v>
      </c>
      <c r="M144" s="90">
        <v>1500</v>
      </c>
      <c r="N144" s="90">
        <v>15</v>
      </c>
      <c r="O144" s="90" t="s">
        <v>1387</v>
      </c>
      <c r="P144" s="94" t="s">
        <v>160</v>
      </c>
      <c r="Q144" s="94">
        <v>8500069944</v>
      </c>
      <c r="R144" s="94">
        <v>5000466794</v>
      </c>
      <c r="S144" s="94"/>
      <c r="T144" s="90" t="s">
        <v>1558</v>
      </c>
      <c r="U144" s="90">
        <v>8500069943</v>
      </c>
      <c r="V144" s="90">
        <v>5000467057</v>
      </c>
      <c r="W144" s="109">
        <v>45434</v>
      </c>
      <c r="X144" s="106">
        <v>150</v>
      </c>
      <c r="Y144" s="106">
        <v>1500</v>
      </c>
      <c r="Z144" s="106" t="s">
        <v>800</v>
      </c>
      <c r="AA144" s="106">
        <f t="shared" si="10"/>
        <v>0</v>
      </c>
      <c r="AB144" s="106">
        <f t="shared" si="11"/>
        <v>0</v>
      </c>
      <c r="AC144" s="94"/>
      <c r="AD144" s="94"/>
      <c r="AE144" s="94"/>
      <c r="AF144" s="94"/>
      <c r="AG144" s="94"/>
      <c r="AH144" s="263"/>
    </row>
    <row r="145" spans="1:34" ht="32.25" customHeight="1">
      <c r="A145" s="90" t="s">
        <v>707</v>
      </c>
      <c r="B145" s="88">
        <v>2000001324</v>
      </c>
      <c r="C145" s="192" t="s">
        <v>3370</v>
      </c>
      <c r="D145" s="117">
        <v>2000001324</v>
      </c>
      <c r="E145" s="74">
        <v>10</v>
      </c>
      <c r="F145" s="271">
        <v>150</v>
      </c>
      <c r="G145" s="329">
        <f t="shared" ref="G145:G192" si="12">F145*E145</f>
        <v>1500</v>
      </c>
      <c r="H145" s="331" t="s">
        <v>27</v>
      </c>
      <c r="I145" s="128" t="s">
        <v>1597</v>
      </c>
      <c r="J145" s="74"/>
      <c r="K145" s="74">
        <v>7</v>
      </c>
      <c r="L145" s="156"/>
      <c r="M145" s="90"/>
      <c r="N145" s="90">
        <v>19</v>
      </c>
      <c r="O145" s="90"/>
      <c r="P145" s="95" t="s">
        <v>895</v>
      </c>
      <c r="Q145" s="94">
        <v>8500070645</v>
      </c>
      <c r="R145" s="94">
        <v>5000516532</v>
      </c>
      <c r="S145" s="94"/>
      <c r="T145" s="90" t="s">
        <v>895</v>
      </c>
      <c r="U145" s="90">
        <v>8500070644</v>
      </c>
      <c r="V145" s="90">
        <v>5000506130</v>
      </c>
      <c r="W145" s="109"/>
      <c r="X145" s="106"/>
      <c r="Y145" s="106"/>
      <c r="Z145" s="106"/>
      <c r="AA145" s="106">
        <f t="shared" si="10"/>
        <v>0</v>
      </c>
      <c r="AB145" s="106">
        <f t="shared" si="11"/>
        <v>0</v>
      </c>
      <c r="AC145" s="94"/>
      <c r="AD145" s="94"/>
      <c r="AE145" s="94"/>
      <c r="AF145" s="94"/>
      <c r="AG145" s="94"/>
      <c r="AH145" s="263"/>
    </row>
    <row r="146" spans="1:34" ht="32.25" customHeight="1">
      <c r="A146" s="90"/>
      <c r="B146" s="88"/>
      <c r="C146" s="192"/>
      <c r="D146" s="192"/>
      <c r="E146" s="94">
        <v>10</v>
      </c>
      <c r="F146" s="74">
        <v>160</v>
      </c>
      <c r="G146" s="45">
        <f t="shared" si="12"/>
        <v>1600</v>
      </c>
      <c r="H146" s="119" t="s">
        <v>46</v>
      </c>
      <c r="I146" s="128">
        <v>45411</v>
      </c>
      <c r="J146" s="74">
        <v>160</v>
      </c>
      <c r="K146" s="74">
        <f>7+1</f>
        <v>8</v>
      </c>
      <c r="L146" s="156">
        <v>45408</v>
      </c>
      <c r="M146" s="90">
        <v>1600</v>
      </c>
      <c r="N146" s="90">
        <v>16</v>
      </c>
      <c r="O146" s="90" t="s">
        <v>1961</v>
      </c>
      <c r="P146" s="94" t="s">
        <v>28</v>
      </c>
      <c r="Q146" s="94">
        <v>8500070645</v>
      </c>
      <c r="R146" s="94">
        <v>5000526397</v>
      </c>
      <c r="S146" s="94"/>
      <c r="T146" s="90" t="s">
        <v>1558</v>
      </c>
      <c r="U146" s="90">
        <v>8500070644</v>
      </c>
      <c r="V146" s="90">
        <v>5000514777</v>
      </c>
      <c r="W146" s="109">
        <v>45422</v>
      </c>
      <c r="X146" s="106">
        <v>160</v>
      </c>
      <c r="Y146" s="106">
        <v>1600</v>
      </c>
      <c r="Z146" s="106" t="s">
        <v>3282</v>
      </c>
      <c r="AA146" s="106">
        <f t="shared" si="10"/>
        <v>0</v>
      </c>
      <c r="AB146" s="106">
        <f t="shared" si="11"/>
        <v>0</v>
      </c>
      <c r="AC146" s="94"/>
      <c r="AD146" s="94"/>
      <c r="AE146" s="94"/>
      <c r="AF146" s="94"/>
      <c r="AG146" s="94"/>
      <c r="AH146" s="263"/>
    </row>
    <row r="147" spans="1:34" ht="32.25" customHeight="1">
      <c r="A147" s="90"/>
      <c r="B147" s="88"/>
      <c r="C147" s="192"/>
      <c r="D147" s="267" t="s">
        <v>3372</v>
      </c>
      <c r="E147" s="94">
        <v>10</v>
      </c>
      <c r="F147" s="74">
        <v>100</v>
      </c>
      <c r="G147" s="45">
        <f t="shared" si="12"/>
        <v>1000</v>
      </c>
      <c r="H147" s="119" t="s">
        <v>37</v>
      </c>
      <c r="I147" s="128">
        <v>45411</v>
      </c>
      <c r="J147" s="74">
        <v>100</v>
      </c>
      <c r="K147" s="74">
        <v>5</v>
      </c>
      <c r="L147" s="156">
        <v>45408</v>
      </c>
      <c r="M147" s="90">
        <v>1000</v>
      </c>
      <c r="N147" s="90">
        <v>10</v>
      </c>
      <c r="O147" s="90" t="s">
        <v>1961</v>
      </c>
      <c r="P147" s="94" t="s">
        <v>28</v>
      </c>
      <c r="Q147" s="94">
        <v>8500070645</v>
      </c>
      <c r="R147" s="94">
        <v>5000526397</v>
      </c>
      <c r="S147" s="94"/>
      <c r="T147" s="90" t="s">
        <v>1558</v>
      </c>
      <c r="U147" s="90">
        <v>8500070644</v>
      </c>
      <c r="V147" s="90">
        <v>5000514777</v>
      </c>
      <c r="W147" s="109" t="s">
        <v>3632</v>
      </c>
      <c r="X147" s="106">
        <f>30+70</f>
        <v>100</v>
      </c>
      <c r="Y147" s="106">
        <f>300+700</f>
        <v>1000</v>
      </c>
      <c r="Z147" s="106" t="s">
        <v>2085</v>
      </c>
      <c r="AA147" s="106">
        <f t="shared" si="10"/>
        <v>0</v>
      </c>
      <c r="AB147" s="106">
        <f t="shared" si="11"/>
        <v>0</v>
      </c>
      <c r="AC147" s="94"/>
      <c r="AD147" s="94"/>
      <c r="AE147" s="94"/>
      <c r="AF147" s="94"/>
      <c r="AG147" s="94"/>
      <c r="AH147" s="263"/>
    </row>
    <row r="148" spans="1:34" ht="32.25" customHeight="1">
      <c r="A148" s="90" t="s">
        <v>707</v>
      </c>
      <c r="B148" s="88">
        <v>2000001324</v>
      </c>
      <c r="C148" s="2" t="s">
        <v>3371</v>
      </c>
      <c r="D148" s="267"/>
      <c r="E148" s="269">
        <v>10</v>
      </c>
      <c r="F148" s="271">
        <v>110</v>
      </c>
      <c r="G148" s="329">
        <f t="shared" si="12"/>
        <v>1100</v>
      </c>
      <c r="H148" s="331" t="s">
        <v>243</v>
      </c>
      <c r="I148" s="128" t="s">
        <v>1597</v>
      </c>
      <c r="J148" s="74"/>
      <c r="K148" s="74">
        <v>4</v>
      </c>
      <c r="L148" s="156"/>
      <c r="M148" s="90"/>
      <c r="N148" s="90">
        <v>14</v>
      </c>
      <c r="O148" s="90"/>
      <c r="P148" s="95" t="s">
        <v>895</v>
      </c>
      <c r="Q148" s="94">
        <v>8500070651</v>
      </c>
      <c r="R148" s="94">
        <v>5000516509</v>
      </c>
      <c r="S148" s="94"/>
      <c r="T148" s="90" t="s">
        <v>2073</v>
      </c>
      <c r="U148" s="90">
        <v>5000506133</v>
      </c>
      <c r="V148" s="90">
        <v>5000506133</v>
      </c>
      <c r="W148" s="109"/>
      <c r="X148" s="106"/>
      <c r="Y148" s="106"/>
      <c r="Z148" s="106"/>
      <c r="AA148" s="106">
        <f t="shared" si="10"/>
        <v>0</v>
      </c>
      <c r="AB148" s="106">
        <f t="shared" si="11"/>
        <v>0</v>
      </c>
      <c r="AC148" s="94"/>
      <c r="AD148" s="94"/>
      <c r="AE148" s="94"/>
      <c r="AF148" s="94"/>
      <c r="AG148" s="94"/>
      <c r="AH148" s="263"/>
    </row>
    <row r="149" spans="1:34" ht="32.25" customHeight="1">
      <c r="A149" s="90"/>
      <c r="B149" s="88"/>
      <c r="C149" s="192"/>
      <c r="D149" s="267"/>
      <c r="E149" s="269">
        <v>10</v>
      </c>
      <c r="F149" s="271">
        <v>150</v>
      </c>
      <c r="G149" s="329">
        <f t="shared" si="12"/>
        <v>1500</v>
      </c>
      <c r="H149" s="331" t="s">
        <v>27</v>
      </c>
      <c r="I149" s="128" t="s">
        <v>1597</v>
      </c>
      <c r="J149" s="74"/>
      <c r="K149" s="74">
        <v>3</v>
      </c>
      <c r="L149" s="156"/>
      <c r="M149" s="90"/>
      <c r="N149" s="90">
        <v>20</v>
      </c>
      <c r="O149" s="90"/>
      <c r="P149" s="95" t="s">
        <v>895</v>
      </c>
      <c r="Q149" s="94">
        <v>8500070651</v>
      </c>
      <c r="R149" s="94">
        <v>5000516509</v>
      </c>
      <c r="S149" s="94"/>
      <c r="T149" s="90" t="s">
        <v>2073</v>
      </c>
      <c r="U149" s="90">
        <v>5000506133</v>
      </c>
      <c r="V149" s="90">
        <v>5000506133</v>
      </c>
      <c r="W149" s="109"/>
      <c r="X149" s="106"/>
      <c r="Y149" s="106"/>
      <c r="Z149" s="106"/>
      <c r="AA149" s="106">
        <f t="shared" si="10"/>
        <v>0</v>
      </c>
      <c r="AB149" s="106">
        <f t="shared" si="11"/>
        <v>0</v>
      </c>
      <c r="AC149" s="94"/>
      <c r="AD149" s="94"/>
      <c r="AE149" s="94"/>
      <c r="AF149" s="94"/>
      <c r="AG149" s="94"/>
      <c r="AH149" s="263"/>
    </row>
    <row r="150" spans="1:34" ht="32.25" customHeight="1">
      <c r="A150" s="90"/>
      <c r="B150" s="88"/>
      <c r="C150" s="192"/>
      <c r="D150" s="192"/>
      <c r="E150" s="94">
        <v>10</v>
      </c>
      <c r="F150" s="74">
        <v>150</v>
      </c>
      <c r="G150" s="45">
        <f t="shared" si="12"/>
        <v>1500</v>
      </c>
      <c r="H150" s="119" t="s">
        <v>46</v>
      </c>
      <c r="I150" s="128">
        <v>45374</v>
      </c>
      <c r="J150" s="74">
        <v>150</v>
      </c>
      <c r="K150" s="74">
        <v>5</v>
      </c>
      <c r="L150" s="156">
        <v>45374</v>
      </c>
      <c r="M150" s="90">
        <v>1500</v>
      </c>
      <c r="N150" s="90">
        <v>21</v>
      </c>
      <c r="O150" s="90"/>
      <c r="P150" s="95" t="s">
        <v>1765</v>
      </c>
      <c r="Q150" s="94">
        <v>8500070651</v>
      </c>
      <c r="R150" s="94">
        <v>5000516509</v>
      </c>
      <c r="S150" s="94"/>
      <c r="T150" s="90" t="s">
        <v>1666</v>
      </c>
      <c r="U150" s="90">
        <v>5000506133</v>
      </c>
      <c r="V150" s="90">
        <v>5000506133</v>
      </c>
      <c r="W150" s="109">
        <v>45450</v>
      </c>
      <c r="X150" s="106">
        <v>150</v>
      </c>
      <c r="Y150" s="106">
        <v>1500</v>
      </c>
      <c r="Z150" s="106" t="s">
        <v>1460</v>
      </c>
      <c r="AA150" s="106">
        <f t="shared" si="10"/>
        <v>0</v>
      </c>
      <c r="AB150" s="106">
        <f t="shared" si="11"/>
        <v>0</v>
      </c>
      <c r="AC150" s="94"/>
      <c r="AD150" s="94"/>
      <c r="AE150" s="94"/>
      <c r="AF150" s="94"/>
      <c r="AG150" s="94"/>
      <c r="AH150" s="263"/>
    </row>
    <row r="151" spans="1:34" ht="32.25" customHeight="1">
      <c r="A151" s="90"/>
      <c r="B151" s="88"/>
      <c r="C151" s="192"/>
      <c r="D151" s="267"/>
      <c r="E151" s="269">
        <v>10</v>
      </c>
      <c r="F151" s="271">
        <v>100</v>
      </c>
      <c r="G151" s="329">
        <f t="shared" si="12"/>
        <v>1000</v>
      </c>
      <c r="H151" s="331" t="s">
        <v>37</v>
      </c>
      <c r="I151" s="128" t="s">
        <v>1597</v>
      </c>
      <c r="J151" s="74"/>
      <c r="K151" s="74">
        <v>5</v>
      </c>
      <c r="L151" s="156"/>
      <c r="M151" s="90"/>
      <c r="N151" s="90">
        <v>14</v>
      </c>
      <c r="O151" s="90"/>
      <c r="P151" s="95" t="s">
        <v>895</v>
      </c>
      <c r="Q151" s="94">
        <v>8500070651</v>
      </c>
      <c r="R151" s="94">
        <v>5000516509</v>
      </c>
      <c r="S151" s="94"/>
      <c r="T151" s="90" t="s">
        <v>2073</v>
      </c>
      <c r="U151" s="90">
        <v>5000506133</v>
      </c>
      <c r="V151" s="90">
        <v>5000506133</v>
      </c>
      <c r="W151" s="109"/>
      <c r="X151" s="106"/>
      <c r="Y151" s="106"/>
      <c r="Z151" s="106"/>
      <c r="AA151" s="106">
        <f t="shared" si="10"/>
        <v>0</v>
      </c>
      <c r="AB151" s="106">
        <f t="shared" si="11"/>
        <v>0</v>
      </c>
      <c r="AC151" s="94"/>
      <c r="AD151" s="94"/>
      <c r="AE151" s="94"/>
      <c r="AF151" s="94"/>
      <c r="AG151" s="94"/>
      <c r="AH151" s="263"/>
    </row>
    <row r="152" spans="1:34" ht="32.25" customHeight="1">
      <c r="A152" s="90" t="s">
        <v>707</v>
      </c>
      <c r="B152" s="88">
        <v>2000001336</v>
      </c>
      <c r="C152" s="192" t="s">
        <v>1675</v>
      </c>
      <c r="D152" s="117">
        <v>2000001336</v>
      </c>
      <c r="E152" s="94">
        <v>10</v>
      </c>
      <c r="F152" s="74">
        <v>600</v>
      </c>
      <c r="G152" s="45">
        <f t="shared" si="12"/>
        <v>6000</v>
      </c>
      <c r="H152" s="119" t="s">
        <v>27</v>
      </c>
      <c r="I152" s="128" t="s">
        <v>1597</v>
      </c>
      <c r="J152" s="74"/>
      <c r="K152" s="74">
        <v>10</v>
      </c>
      <c r="L152" s="156">
        <v>45399</v>
      </c>
      <c r="M152" s="90">
        <v>6000</v>
      </c>
      <c r="N152" s="90">
        <v>60</v>
      </c>
      <c r="O152" s="90" t="s">
        <v>3373</v>
      </c>
      <c r="P152" s="95" t="s">
        <v>895</v>
      </c>
      <c r="Q152" s="94">
        <v>8500070229</v>
      </c>
      <c r="R152" s="94">
        <v>5000552014</v>
      </c>
      <c r="S152" s="94"/>
      <c r="T152" s="90" t="s">
        <v>1558</v>
      </c>
      <c r="U152" s="90">
        <v>8500070228</v>
      </c>
      <c r="V152" s="90">
        <v>5000467018</v>
      </c>
      <c r="W152" s="109">
        <v>45405</v>
      </c>
      <c r="X152" s="106"/>
      <c r="Y152" s="106">
        <v>6000</v>
      </c>
      <c r="Z152" s="106" t="s">
        <v>2112</v>
      </c>
      <c r="AA152" s="106">
        <f t="shared" si="10"/>
        <v>0</v>
      </c>
      <c r="AB152" s="106">
        <f t="shared" si="11"/>
        <v>0</v>
      </c>
      <c r="AC152" s="94"/>
      <c r="AD152" s="94"/>
      <c r="AE152" s="94"/>
      <c r="AF152" s="94"/>
      <c r="AG152" s="94"/>
      <c r="AH152" s="263"/>
    </row>
    <row r="153" spans="1:34" ht="32.25" customHeight="1">
      <c r="A153" s="90"/>
      <c r="B153" s="88"/>
      <c r="C153" s="192"/>
      <c r="D153" s="192"/>
      <c r="E153" s="192">
        <v>10</v>
      </c>
      <c r="F153" s="74">
        <v>250</v>
      </c>
      <c r="G153" s="45">
        <f t="shared" si="12"/>
        <v>2500</v>
      </c>
      <c r="H153" s="119" t="s">
        <v>46</v>
      </c>
      <c r="I153" s="128">
        <v>45411</v>
      </c>
      <c r="J153" s="74">
        <v>250</v>
      </c>
      <c r="K153" s="74">
        <f>6+4</f>
        <v>10</v>
      </c>
      <c r="L153" s="156">
        <v>45399</v>
      </c>
      <c r="M153" s="90">
        <v>2500</v>
      </c>
      <c r="N153" s="90">
        <v>25</v>
      </c>
      <c r="O153" s="90" t="s">
        <v>790</v>
      </c>
      <c r="P153" s="94" t="s">
        <v>160</v>
      </c>
      <c r="Q153" s="94">
        <v>8500070229</v>
      </c>
      <c r="R153" s="94">
        <v>5000529370</v>
      </c>
      <c r="S153" s="94"/>
      <c r="T153" s="90" t="s">
        <v>1558</v>
      </c>
      <c r="U153" s="90">
        <v>8500070228</v>
      </c>
      <c r="V153" s="90">
        <v>5000467018</v>
      </c>
      <c r="W153" s="109">
        <v>45416</v>
      </c>
      <c r="X153" s="106">
        <v>250</v>
      </c>
      <c r="Y153" s="106">
        <v>2500</v>
      </c>
      <c r="Z153" s="106" t="s">
        <v>800</v>
      </c>
      <c r="AA153" s="106">
        <f t="shared" si="10"/>
        <v>0</v>
      </c>
      <c r="AB153" s="106">
        <f t="shared" si="11"/>
        <v>0</v>
      </c>
      <c r="AC153" s="94"/>
      <c r="AD153" s="94"/>
      <c r="AE153" s="94"/>
      <c r="AF153" s="94"/>
      <c r="AG153" s="94"/>
      <c r="AH153" s="263"/>
    </row>
    <row r="154" spans="1:34" ht="32.25" customHeight="1">
      <c r="A154" s="90" t="s">
        <v>707</v>
      </c>
      <c r="B154" s="88">
        <v>2000001325</v>
      </c>
      <c r="C154" s="192" t="s">
        <v>2044</v>
      </c>
      <c r="D154" s="117">
        <v>2000001325</v>
      </c>
      <c r="E154" s="192">
        <v>10</v>
      </c>
      <c r="F154" s="74">
        <v>224</v>
      </c>
      <c r="G154" s="45">
        <f t="shared" si="12"/>
        <v>2240</v>
      </c>
      <c r="H154" s="119" t="s">
        <v>27</v>
      </c>
      <c r="I154" s="128">
        <v>45404</v>
      </c>
      <c r="J154" s="74">
        <v>224</v>
      </c>
      <c r="K154" s="74">
        <v>2</v>
      </c>
      <c r="L154" s="156">
        <v>45395</v>
      </c>
      <c r="M154" s="90">
        <v>2240</v>
      </c>
      <c r="N154" s="90" t="s">
        <v>3375</v>
      </c>
      <c r="O154" s="90"/>
      <c r="P154" s="94" t="s">
        <v>28</v>
      </c>
      <c r="Q154" s="94">
        <v>8500070014</v>
      </c>
      <c r="R154" s="94">
        <v>5000490332</v>
      </c>
      <c r="S154" s="94"/>
      <c r="T154" s="90" t="s">
        <v>924</v>
      </c>
      <c r="U154" s="90">
        <v>8500070015</v>
      </c>
      <c r="V154" s="90">
        <v>5000475754</v>
      </c>
      <c r="W154" s="109">
        <v>45415</v>
      </c>
      <c r="X154" s="106">
        <v>224</v>
      </c>
      <c r="Y154" s="106">
        <v>2240</v>
      </c>
      <c r="Z154" s="106" t="s">
        <v>800</v>
      </c>
      <c r="AA154" s="106">
        <f t="shared" si="10"/>
        <v>0</v>
      </c>
      <c r="AB154" s="106">
        <f t="shared" si="11"/>
        <v>0</v>
      </c>
      <c r="AC154" s="94"/>
      <c r="AD154" s="94"/>
      <c r="AE154" s="94"/>
      <c r="AF154" s="94"/>
      <c r="AG154" s="94"/>
      <c r="AH154" s="263"/>
    </row>
    <row r="155" spans="1:34" ht="32.25" customHeight="1">
      <c r="A155" s="90"/>
      <c r="B155" s="88"/>
      <c r="C155" s="192"/>
      <c r="D155" s="192"/>
      <c r="E155" s="192">
        <v>10</v>
      </c>
      <c r="F155" s="74">
        <v>121</v>
      </c>
      <c r="G155" s="45">
        <f t="shared" si="12"/>
        <v>1210</v>
      </c>
      <c r="H155" s="119" t="s">
        <v>46</v>
      </c>
      <c r="I155" s="128">
        <v>45404</v>
      </c>
      <c r="J155" s="74">
        <v>121</v>
      </c>
      <c r="K155" s="74">
        <f>1+1</f>
        <v>2</v>
      </c>
      <c r="L155" s="156">
        <v>45395</v>
      </c>
      <c r="M155" s="90">
        <v>1210</v>
      </c>
      <c r="N155" s="90" t="s">
        <v>3376</v>
      </c>
      <c r="O155" s="90"/>
      <c r="P155" s="94" t="s">
        <v>28</v>
      </c>
      <c r="Q155" s="94">
        <v>8500070014</v>
      </c>
      <c r="R155" s="94">
        <v>5000490332</v>
      </c>
      <c r="S155" s="74"/>
      <c r="T155" s="90" t="s">
        <v>924</v>
      </c>
      <c r="U155" s="90">
        <v>8500070015</v>
      </c>
      <c r="V155" s="90">
        <v>5000475754</v>
      </c>
      <c r="W155" s="109">
        <v>45415</v>
      </c>
      <c r="X155" s="106">
        <v>121</v>
      </c>
      <c r="Y155" s="106">
        <v>1210</v>
      </c>
      <c r="Z155" s="106" t="s">
        <v>800</v>
      </c>
      <c r="AA155" s="106">
        <f t="shared" si="10"/>
        <v>0</v>
      </c>
      <c r="AB155" s="106">
        <f t="shared" si="11"/>
        <v>0</v>
      </c>
      <c r="AC155" s="94"/>
      <c r="AD155" s="94"/>
      <c r="AE155" s="94"/>
      <c r="AF155" s="94"/>
      <c r="AG155" s="94"/>
      <c r="AH155" s="263"/>
    </row>
    <row r="156" spans="1:34" ht="32.25" customHeight="1">
      <c r="A156" s="90"/>
      <c r="B156" s="88"/>
      <c r="C156" s="192"/>
      <c r="D156" s="192"/>
      <c r="E156" s="192">
        <v>10</v>
      </c>
      <c r="F156" s="74">
        <v>40</v>
      </c>
      <c r="G156" s="45">
        <f t="shared" si="12"/>
        <v>400</v>
      </c>
      <c r="H156" s="119" t="s">
        <v>37</v>
      </c>
      <c r="I156" s="128">
        <v>45404</v>
      </c>
      <c r="J156" s="74">
        <v>40</v>
      </c>
      <c r="K156" s="74">
        <v>0</v>
      </c>
      <c r="L156" s="156">
        <v>45395</v>
      </c>
      <c r="M156" s="90">
        <v>400</v>
      </c>
      <c r="N156" s="90" t="s">
        <v>3377</v>
      </c>
      <c r="O156" s="90"/>
      <c r="P156" s="94" t="s">
        <v>28</v>
      </c>
      <c r="Q156" s="94">
        <v>8500070014</v>
      </c>
      <c r="R156" s="94">
        <v>5000490332</v>
      </c>
      <c r="S156" s="94"/>
      <c r="T156" s="90" t="s">
        <v>924</v>
      </c>
      <c r="U156" s="90">
        <v>8500070015</v>
      </c>
      <c r="V156" s="90">
        <v>5000475754</v>
      </c>
      <c r="W156" s="109">
        <v>45415</v>
      </c>
      <c r="X156" s="106">
        <v>40</v>
      </c>
      <c r="Y156" s="106">
        <v>400</v>
      </c>
      <c r="Z156" s="106" t="s">
        <v>800</v>
      </c>
      <c r="AA156" s="106">
        <f t="shared" si="10"/>
        <v>0</v>
      </c>
      <c r="AB156" s="106">
        <f t="shared" si="11"/>
        <v>0</v>
      </c>
      <c r="AC156" s="94"/>
      <c r="AD156" s="94"/>
      <c r="AE156" s="94"/>
      <c r="AF156" s="94"/>
      <c r="AG156" s="94"/>
      <c r="AH156" s="263"/>
    </row>
    <row r="157" spans="1:34" ht="32.25" customHeight="1">
      <c r="A157" s="90" t="s">
        <v>715</v>
      </c>
      <c r="B157" s="88">
        <v>6000029783</v>
      </c>
      <c r="C157" s="192" t="s">
        <v>716</v>
      </c>
      <c r="D157" s="117">
        <v>6000029783</v>
      </c>
      <c r="E157" s="94">
        <v>10</v>
      </c>
      <c r="F157" s="74">
        <v>150</v>
      </c>
      <c r="G157" s="45">
        <f t="shared" si="12"/>
        <v>1500</v>
      </c>
      <c r="H157" s="119" t="s">
        <v>146</v>
      </c>
      <c r="I157" s="128">
        <v>45401</v>
      </c>
      <c r="J157" s="74">
        <v>150</v>
      </c>
      <c r="K157" s="74">
        <v>10</v>
      </c>
      <c r="L157" s="156">
        <v>45407</v>
      </c>
      <c r="M157" s="90">
        <v>1500</v>
      </c>
      <c r="N157" s="90"/>
      <c r="O157" s="90" t="s">
        <v>735</v>
      </c>
      <c r="P157" s="94" t="s">
        <v>924</v>
      </c>
      <c r="Q157" s="94">
        <v>8500069830</v>
      </c>
      <c r="R157" s="94" t="s">
        <v>3017</v>
      </c>
      <c r="S157" s="74"/>
      <c r="T157" s="90" t="s">
        <v>1361</v>
      </c>
      <c r="U157" s="90"/>
      <c r="V157" s="90"/>
      <c r="W157" s="109">
        <v>45409</v>
      </c>
      <c r="X157" s="106">
        <v>150</v>
      </c>
      <c r="Y157" s="106">
        <v>1500</v>
      </c>
      <c r="Z157" s="106" t="s">
        <v>759</v>
      </c>
      <c r="AA157" s="106">
        <f t="shared" si="10"/>
        <v>0</v>
      </c>
      <c r="AB157" s="106">
        <f t="shared" si="11"/>
        <v>0</v>
      </c>
      <c r="AC157" s="94"/>
      <c r="AD157" s="94"/>
      <c r="AE157" s="94"/>
      <c r="AF157" s="94"/>
      <c r="AG157" s="94"/>
      <c r="AH157" s="263"/>
    </row>
    <row r="158" spans="1:34" ht="32.25" customHeight="1">
      <c r="A158" s="90"/>
      <c r="B158" s="88"/>
      <c r="C158" s="192"/>
      <c r="D158" s="117"/>
      <c r="E158" s="94"/>
      <c r="F158" s="74"/>
      <c r="G158" s="45"/>
      <c r="H158" s="119" t="s">
        <v>2234</v>
      </c>
      <c r="I158" s="128">
        <v>45407</v>
      </c>
      <c r="J158" s="74">
        <v>150</v>
      </c>
      <c r="K158" s="74"/>
      <c r="L158" s="156"/>
      <c r="M158" s="90"/>
      <c r="N158" s="90"/>
      <c r="O158" s="90"/>
      <c r="P158" s="94" t="s">
        <v>1666</v>
      </c>
      <c r="Q158" s="94"/>
      <c r="R158" s="94"/>
      <c r="S158" s="74"/>
      <c r="T158" s="90"/>
      <c r="U158" s="90"/>
      <c r="V158" s="90"/>
      <c r="W158" s="109"/>
      <c r="X158" s="106">
        <v>150</v>
      </c>
      <c r="Y158" s="106"/>
      <c r="Z158" s="106"/>
      <c r="AA158" s="106">
        <f>J158-X158</f>
        <v>0</v>
      </c>
      <c r="AB158" s="106">
        <f>M158-Y158</f>
        <v>0</v>
      </c>
      <c r="AC158" s="94"/>
      <c r="AD158" s="94"/>
      <c r="AE158" s="94"/>
      <c r="AF158" s="94"/>
      <c r="AG158" s="94"/>
      <c r="AH158" s="263"/>
    </row>
    <row r="159" spans="1:34" ht="32.25" customHeight="1">
      <c r="A159" s="90" t="s">
        <v>868</v>
      </c>
      <c r="B159" s="88">
        <v>6000029711</v>
      </c>
      <c r="C159" s="192" t="s">
        <v>714</v>
      </c>
      <c r="D159" s="117">
        <v>6000029711</v>
      </c>
      <c r="E159" s="94">
        <v>20</v>
      </c>
      <c r="F159" s="74">
        <v>400</v>
      </c>
      <c r="G159" s="45">
        <f t="shared" si="12"/>
        <v>8000</v>
      </c>
      <c r="H159" s="119" t="s">
        <v>27</v>
      </c>
      <c r="I159" s="128">
        <v>45407</v>
      </c>
      <c r="J159" s="74">
        <v>400</v>
      </c>
      <c r="K159" s="74">
        <v>5</v>
      </c>
      <c r="L159" s="156" t="s">
        <v>3488</v>
      </c>
      <c r="M159" s="90">
        <f>7950+50</f>
        <v>8000</v>
      </c>
      <c r="N159" s="90">
        <v>100</v>
      </c>
      <c r="O159" s="90"/>
      <c r="P159" s="94" t="s">
        <v>28</v>
      </c>
      <c r="Q159" s="94">
        <v>8500070639</v>
      </c>
      <c r="R159" s="94">
        <v>5000506595</v>
      </c>
      <c r="S159" s="74"/>
      <c r="T159" s="90" t="s">
        <v>655</v>
      </c>
      <c r="U159" s="90">
        <v>8500070637</v>
      </c>
      <c r="V159" s="90">
        <v>5000540813</v>
      </c>
      <c r="W159" s="109">
        <v>45423</v>
      </c>
      <c r="X159" s="106">
        <v>400</v>
      </c>
      <c r="Y159" s="106">
        <v>8000</v>
      </c>
      <c r="Z159" s="106" t="s">
        <v>1980</v>
      </c>
      <c r="AA159" s="106">
        <f t="shared" si="10"/>
        <v>0</v>
      </c>
      <c r="AB159" s="106">
        <f t="shared" si="11"/>
        <v>0</v>
      </c>
      <c r="AC159" s="94"/>
      <c r="AD159" s="94"/>
      <c r="AE159" s="94"/>
      <c r="AF159" s="94"/>
      <c r="AG159" s="94"/>
      <c r="AH159" s="263"/>
    </row>
    <row r="160" spans="1:34" ht="32.25" customHeight="1">
      <c r="A160" s="90"/>
      <c r="B160" s="88"/>
      <c r="C160" s="192"/>
      <c r="D160" s="117"/>
      <c r="E160" s="94">
        <v>20</v>
      </c>
      <c r="F160" s="74">
        <v>950</v>
      </c>
      <c r="G160" s="45">
        <f t="shared" si="12"/>
        <v>19000</v>
      </c>
      <c r="H160" s="119" t="s">
        <v>46</v>
      </c>
      <c r="I160" s="128">
        <v>45407</v>
      </c>
      <c r="J160" s="74">
        <v>950</v>
      </c>
      <c r="K160" s="74">
        <v>11</v>
      </c>
      <c r="L160" s="156">
        <v>45414</v>
      </c>
      <c r="M160" s="90">
        <v>19000</v>
      </c>
      <c r="N160" s="90">
        <v>150</v>
      </c>
      <c r="O160" s="90"/>
      <c r="P160" s="94" t="s">
        <v>28</v>
      </c>
      <c r="Q160" s="94">
        <v>8500070639</v>
      </c>
      <c r="R160" s="94">
        <v>5000504926</v>
      </c>
      <c r="S160" s="94"/>
      <c r="T160" s="90" t="s">
        <v>655</v>
      </c>
      <c r="U160" s="90">
        <v>8500070637</v>
      </c>
      <c r="V160" s="90">
        <v>5000537500</v>
      </c>
      <c r="W160" s="109">
        <v>45436</v>
      </c>
      <c r="X160" s="106">
        <v>950</v>
      </c>
      <c r="Y160" s="106">
        <v>19000</v>
      </c>
      <c r="Z160" s="106" t="s">
        <v>817</v>
      </c>
      <c r="AA160" s="106">
        <f t="shared" si="10"/>
        <v>0</v>
      </c>
      <c r="AB160" s="106">
        <f t="shared" si="11"/>
        <v>0</v>
      </c>
      <c r="AC160" s="94"/>
      <c r="AD160" s="94"/>
      <c r="AE160" s="94"/>
      <c r="AF160" s="94"/>
      <c r="AG160" s="94"/>
      <c r="AH160" s="263"/>
    </row>
    <row r="161" spans="1:34" ht="32.25" customHeight="1">
      <c r="A161" s="90"/>
      <c r="B161" s="88"/>
      <c r="C161" s="192"/>
      <c r="D161" s="192"/>
      <c r="E161" s="94">
        <v>20</v>
      </c>
      <c r="F161" s="74">
        <v>450</v>
      </c>
      <c r="G161" s="45">
        <f t="shared" si="12"/>
        <v>9000</v>
      </c>
      <c r="H161" s="119" t="s">
        <v>37</v>
      </c>
      <c r="I161" s="128">
        <v>45407</v>
      </c>
      <c r="J161" s="74">
        <v>450</v>
      </c>
      <c r="K161" s="74">
        <v>5</v>
      </c>
      <c r="L161" s="156">
        <v>45415</v>
      </c>
      <c r="M161" s="90">
        <v>9000</v>
      </c>
      <c r="N161" s="90">
        <v>100</v>
      </c>
      <c r="O161" s="90"/>
      <c r="P161" s="94" t="s">
        <v>28</v>
      </c>
      <c r="Q161" s="94">
        <v>8500070639</v>
      </c>
      <c r="R161" s="94">
        <v>5000506595</v>
      </c>
      <c r="S161" s="74"/>
      <c r="T161" s="90" t="s">
        <v>655</v>
      </c>
      <c r="U161" s="90">
        <v>8500070637</v>
      </c>
      <c r="V161" s="90">
        <v>5000540813</v>
      </c>
      <c r="W161" s="109">
        <v>45444</v>
      </c>
      <c r="X161" s="106">
        <v>450</v>
      </c>
      <c r="Y161" s="106">
        <v>9000</v>
      </c>
      <c r="Z161" s="106" t="s">
        <v>3660</v>
      </c>
      <c r="AA161" s="106">
        <f t="shared" si="10"/>
        <v>0</v>
      </c>
      <c r="AB161" s="106">
        <f t="shared" si="11"/>
        <v>0</v>
      </c>
      <c r="AC161" s="94"/>
      <c r="AD161" s="94"/>
      <c r="AE161" s="94"/>
      <c r="AF161" s="94"/>
      <c r="AG161" s="94"/>
      <c r="AH161" s="263"/>
    </row>
    <row r="162" spans="1:34" ht="32.25" customHeight="1">
      <c r="A162" s="90" t="s">
        <v>868</v>
      </c>
      <c r="B162" s="88">
        <v>6000029712</v>
      </c>
      <c r="C162" s="192" t="s">
        <v>714</v>
      </c>
      <c r="D162" s="117">
        <v>6000029712</v>
      </c>
      <c r="E162" s="253">
        <v>20</v>
      </c>
      <c r="F162" s="218">
        <v>450</v>
      </c>
      <c r="G162" s="219">
        <f t="shared" si="12"/>
        <v>9000</v>
      </c>
      <c r="H162" s="227" t="s">
        <v>27</v>
      </c>
      <c r="I162" s="128">
        <v>45406</v>
      </c>
      <c r="J162" s="74">
        <v>450</v>
      </c>
      <c r="K162" s="74">
        <v>7</v>
      </c>
      <c r="L162" s="156">
        <v>45420</v>
      </c>
      <c r="M162" s="90">
        <v>250</v>
      </c>
      <c r="N162" s="90">
        <v>80</v>
      </c>
      <c r="O162" s="90"/>
      <c r="P162" s="94" t="s">
        <v>28</v>
      </c>
      <c r="Q162" s="94">
        <v>8500070641</v>
      </c>
      <c r="R162" s="94">
        <v>5000501785</v>
      </c>
      <c r="S162" s="94"/>
      <c r="T162" s="90" t="s">
        <v>895</v>
      </c>
      <c r="U162" s="90">
        <v>8500070640</v>
      </c>
      <c r="V162" s="90">
        <v>5000545156</v>
      </c>
      <c r="W162" s="109">
        <v>45423</v>
      </c>
      <c r="X162" s="106">
        <v>450</v>
      </c>
      <c r="Y162" s="106">
        <v>250</v>
      </c>
      <c r="Z162" s="106" t="s">
        <v>1980</v>
      </c>
      <c r="AA162" s="106">
        <f t="shared" si="10"/>
        <v>0</v>
      </c>
      <c r="AB162" s="106">
        <f t="shared" si="11"/>
        <v>0</v>
      </c>
      <c r="AC162" s="94" t="s">
        <v>3525</v>
      </c>
      <c r="AD162" s="94"/>
      <c r="AE162" s="94"/>
      <c r="AF162" s="94"/>
      <c r="AG162" s="94"/>
      <c r="AH162" s="263"/>
    </row>
    <row r="163" spans="1:34" ht="32.25" customHeight="1">
      <c r="A163" s="90"/>
      <c r="B163" s="88"/>
      <c r="C163" s="192"/>
      <c r="D163" s="117"/>
      <c r="E163" s="94">
        <v>20</v>
      </c>
      <c r="F163" s="74">
        <v>750</v>
      </c>
      <c r="G163" s="45">
        <f t="shared" si="12"/>
        <v>15000</v>
      </c>
      <c r="H163" s="119" t="s">
        <v>46</v>
      </c>
      <c r="I163" s="128">
        <v>45406</v>
      </c>
      <c r="J163" s="74">
        <v>750</v>
      </c>
      <c r="K163" s="74">
        <v>8</v>
      </c>
      <c r="L163" s="156" t="s">
        <v>3473</v>
      </c>
      <c r="M163" s="90">
        <f>7000+8000</f>
        <v>15000</v>
      </c>
      <c r="N163" s="90">
        <f>146+4</f>
        <v>150</v>
      </c>
      <c r="O163" s="90"/>
      <c r="P163" s="94" t="s">
        <v>28</v>
      </c>
      <c r="Q163" s="94">
        <v>8500070641</v>
      </c>
      <c r="R163" s="94">
        <v>5000501785</v>
      </c>
      <c r="S163" s="94"/>
      <c r="T163" s="90" t="s">
        <v>655</v>
      </c>
      <c r="U163" s="90">
        <v>8500070640</v>
      </c>
      <c r="V163" s="90">
        <v>5000537501</v>
      </c>
      <c r="W163" s="109">
        <v>45436</v>
      </c>
      <c r="X163" s="106">
        <v>750</v>
      </c>
      <c r="Y163" s="106">
        <v>15000</v>
      </c>
      <c r="Z163" s="106" t="s">
        <v>267</v>
      </c>
      <c r="AA163" s="106">
        <f t="shared" si="10"/>
        <v>0</v>
      </c>
      <c r="AB163" s="106">
        <f t="shared" si="11"/>
        <v>0</v>
      </c>
      <c r="AC163" s="94"/>
      <c r="AD163" s="94"/>
      <c r="AE163" s="94"/>
      <c r="AF163" s="94"/>
      <c r="AG163" s="94"/>
      <c r="AH163" s="263"/>
    </row>
    <row r="164" spans="1:34" ht="32.25" customHeight="1">
      <c r="A164" s="90"/>
      <c r="B164" s="88"/>
      <c r="C164" s="192"/>
      <c r="D164" s="117"/>
      <c r="E164" s="94">
        <v>20</v>
      </c>
      <c r="F164" s="74">
        <v>600</v>
      </c>
      <c r="G164" s="45">
        <f t="shared" si="12"/>
        <v>12000</v>
      </c>
      <c r="H164" s="119" t="s">
        <v>37</v>
      </c>
      <c r="I164" s="128">
        <v>45406</v>
      </c>
      <c r="J164" s="74">
        <v>600</v>
      </c>
      <c r="K164" s="74">
        <v>6</v>
      </c>
      <c r="L164" s="156">
        <v>45415</v>
      </c>
      <c r="M164" s="90">
        <v>12000</v>
      </c>
      <c r="N164" s="90">
        <v>100</v>
      </c>
      <c r="O164" s="90"/>
      <c r="P164" s="94" t="s">
        <v>28</v>
      </c>
      <c r="Q164" s="94">
        <v>8500070641</v>
      </c>
      <c r="R164" s="94">
        <v>5000501785</v>
      </c>
      <c r="S164" s="94"/>
      <c r="T164" s="90" t="s">
        <v>655</v>
      </c>
      <c r="U164" s="90">
        <v>8500070640</v>
      </c>
      <c r="V164" s="90">
        <v>5000540817</v>
      </c>
      <c r="W164" s="105" t="s">
        <v>3665</v>
      </c>
      <c r="X164" s="106">
        <v>600</v>
      </c>
      <c r="Y164" s="106">
        <v>12000</v>
      </c>
      <c r="Z164" s="106" t="s">
        <v>35</v>
      </c>
      <c r="AA164" s="106">
        <f t="shared" si="10"/>
        <v>0</v>
      </c>
      <c r="AB164" s="106">
        <f t="shared" si="11"/>
        <v>0</v>
      </c>
      <c r="AC164" s="94"/>
      <c r="AD164" s="94"/>
      <c r="AE164" s="94"/>
      <c r="AF164" s="94"/>
      <c r="AG164" s="94"/>
      <c r="AH164" s="263"/>
    </row>
    <row r="165" spans="1:34" ht="32.25" customHeight="1">
      <c r="A165" s="90" t="s">
        <v>868</v>
      </c>
      <c r="B165" s="88">
        <v>6000029713</v>
      </c>
      <c r="C165" s="192" t="s">
        <v>1544</v>
      </c>
      <c r="D165" s="117">
        <v>6000029713</v>
      </c>
      <c r="E165" s="253">
        <v>20</v>
      </c>
      <c r="F165" s="218">
        <v>600</v>
      </c>
      <c r="G165" s="219">
        <f t="shared" si="12"/>
        <v>12000</v>
      </c>
      <c r="H165" s="227" t="s">
        <v>46</v>
      </c>
      <c r="I165" s="128" t="s">
        <v>1597</v>
      </c>
      <c r="J165" s="74"/>
      <c r="K165" s="158">
        <v>4</v>
      </c>
      <c r="L165" s="156"/>
      <c r="M165" s="90"/>
      <c r="N165" s="90">
        <v>74</v>
      </c>
      <c r="O165" s="90"/>
      <c r="P165" s="94" t="s">
        <v>895</v>
      </c>
      <c r="Q165" s="94">
        <v>8500069963</v>
      </c>
      <c r="R165" s="94">
        <v>5000516536</v>
      </c>
      <c r="S165" s="74"/>
      <c r="T165" s="90" t="s">
        <v>895</v>
      </c>
      <c r="U165" s="90">
        <v>8500069962</v>
      </c>
      <c r="V165" s="90">
        <v>5000506163</v>
      </c>
      <c r="W165" s="105"/>
      <c r="X165" s="106"/>
      <c r="Y165" s="106"/>
      <c r="Z165" s="106"/>
      <c r="AA165" s="106">
        <f t="shared" si="10"/>
        <v>0</v>
      </c>
      <c r="AB165" s="106">
        <f t="shared" si="11"/>
        <v>0</v>
      </c>
      <c r="AC165" s="94"/>
      <c r="AD165" s="94"/>
      <c r="AE165" s="94"/>
      <c r="AF165" s="94"/>
      <c r="AG165" s="94"/>
      <c r="AH165" s="263"/>
    </row>
    <row r="166" spans="1:34" ht="32.25" customHeight="1">
      <c r="A166" s="90" t="s">
        <v>868</v>
      </c>
      <c r="B166" s="88">
        <v>6000029713</v>
      </c>
      <c r="C166" s="192" t="s">
        <v>869</v>
      </c>
      <c r="D166" s="117"/>
      <c r="E166" s="94">
        <v>20</v>
      </c>
      <c r="F166" s="74">
        <v>250</v>
      </c>
      <c r="G166" s="45">
        <f t="shared" si="12"/>
        <v>5000</v>
      </c>
      <c r="H166" s="119" t="s">
        <v>27</v>
      </c>
      <c r="I166" s="128">
        <v>45409</v>
      </c>
      <c r="J166" s="74">
        <v>250</v>
      </c>
      <c r="K166" s="74">
        <v>3</v>
      </c>
      <c r="L166" s="156">
        <v>45406</v>
      </c>
      <c r="M166" s="90">
        <v>5000</v>
      </c>
      <c r="N166" s="90">
        <v>50</v>
      </c>
      <c r="O166" s="90" t="s">
        <v>1871</v>
      </c>
      <c r="P166" s="94" t="s">
        <v>28</v>
      </c>
      <c r="Q166" s="94">
        <v>8500069965</v>
      </c>
      <c r="R166" s="94">
        <v>5000516556</v>
      </c>
      <c r="S166" s="74"/>
      <c r="T166" s="90" t="s">
        <v>655</v>
      </c>
      <c r="U166" s="90">
        <v>8500069964</v>
      </c>
      <c r="V166" s="90">
        <v>5000500649</v>
      </c>
      <c r="W166" s="109">
        <v>45420</v>
      </c>
      <c r="X166" s="106">
        <v>250</v>
      </c>
      <c r="Y166" s="106">
        <v>5000</v>
      </c>
      <c r="Z166" s="106" t="s">
        <v>1980</v>
      </c>
      <c r="AA166" s="106">
        <f t="shared" si="10"/>
        <v>0</v>
      </c>
      <c r="AB166" s="106">
        <f t="shared" si="11"/>
        <v>0</v>
      </c>
      <c r="AC166" s="94"/>
      <c r="AD166" s="94"/>
      <c r="AE166" s="94"/>
      <c r="AF166" s="94"/>
      <c r="AG166" s="94"/>
      <c r="AH166" s="263"/>
    </row>
    <row r="167" spans="1:34" ht="32.25" customHeight="1">
      <c r="A167" s="90"/>
      <c r="B167" s="88"/>
      <c r="C167" s="192"/>
      <c r="D167" s="117"/>
      <c r="E167" s="94">
        <v>20</v>
      </c>
      <c r="F167" s="74">
        <v>250</v>
      </c>
      <c r="G167" s="45">
        <f t="shared" si="12"/>
        <v>5000</v>
      </c>
      <c r="H167" s="119" t="s">
        <v>46</v>
      </c>
      <c r="I167" s="128">
        <v>45408</v>
      </c>
      <c r="J167" s="74">
        <v>250</v>
      </c>
      <c r="K167" s="74">
        <v>3</v>
      </c>
      <c r="L167" s="156">
        <v>45406</v>
      </c>
      <c r="M167" s="90">
        <v>5000</v>
      </c>
      <c r="N167" s="90">
        <v>50</v>
      </c>
      <c r="O167" s="90" t="s">
        <v>821</v>
      </c>
      <c r="P167" s="94" t="s">
        <v>28</v>
      </c>
      <c r="Q167" s="94">
        <v>8500069965</v>
      </c>
      <c r="R167" s="94">
        <v>5000511511</v>
      </c>
      <c r="S167" s="74"/>
      <c r="T167" s="90" t="s">
        <v>655</v>
      </c>
      <c r="U167" s="90">
        <v>8500069964</v>
      </c>
      <c r="V167" s="90">
        <v>5000500649</v>
      </c>
      <c r="W167" s="109">
        <v>45432</v>
      </c>
      <c r="X167" s="106">
        <v>250</v>
      </c>
      <c r="Y167" s="106">
        <v>5000</v>
      </c>
      <c r="Z167" s="106" t="s">
        <v>267</v>
      </c>
      <c r="AA167" s="106">
        <f t="shared" si="10"/>
        <v>0</v>
      </c>
      <c r="AB167" s="106">
        <f t="shared" si="11"/>
        <v>0</v>
      </c>
      <c r="AC167" s="524"/>
      <c r="AD167" s="94"/>
      <c r="AE167" s="94"/>
      <c r="AF167" s="94"/>
      <c r="AG167" s="94"/>
      <c r="AH167" s="263"/>
    </row>
    <row r="168" spans="1:34" ht="32.25" customHeight="1">
      <c r="A168" s="90"/>
      <c r="B168" s="88"/>
      <c r="C168" s="192"/>
      <c r="D168" s="117"/>
      <c r="E168" s="94">
        <v>20</v>
      </c>
      <c r="F168" s="74">
        <v>300</v>
      </c>
      <c r="G168" s="45">
        <f t="shared" si="12"/>
        <v>6000</v>
      </c>
      <c r="H168" s="119" t="s">
        <v>37</v>
      </c>
      <c r="I168" s="128">
        <v>45407</v>
      </c>
      <c r="J168" s="74">
        <v>300</v>
      </c>
      <c r="K168" s="74">
        <v>3</v>
      </c>
      <c r="L168" s="156">
        <v>45406</v>
      </c>
      <c r="M168" s="90">
        <v>6000</v>
      </c>
      <c r="N168" s="90">
        <v>50</v>
      </c>
      <c r="O168" s="90" t="s">
        <v>1369</v>
      </c>
      <c r="P168" s="94" t="s">
        <v>28</v>
      </c>
      <c r="Q168" s="94">
        <v>8500069965</v>
      </c>
      <c r="R168" s="94">
        <v>5000506597</v>
      </c>
      <c r="S168" s="74"/>
      <c r="T168" s="90" t="s">
        <v>655</v>
      </c>
      <c r="U168" s="90">
        <v>8500069964</v>
      </c>
      <c r="V168" s="90">
        <v>5000500649</v>
      </c>
      <c r="W168" s="109">
        <v>45428</v>
      </c>
      <c r="X168" s="106">
        <v>300</v>
      </c>
      <c r="Y168" s="106">
        <v>6000</v>
      </c>
      <c r="Z168" s="106" t="s">
        <v>1988</v>
      </c>
      <c r="AA168" s="106">
        <f t="shared" si="10"/>
        <v>0</v>
      </c>
      <c r="AB168" s="106">
        <f t="shared" si="11"/>
        <v>0</v>
      </c>
      <c r="AC168" s="525"/>
      <c r="AD168" s="94"/>
      <c r="AE168" s="94"/>
      <c r="AF168" s="94"/>
      <c r="AG168" s="94"/>
      <c r="AH168" s="263"/>
    </row>
    <row r="169" spans="1:34" ht="32.25" customHeight="1">
      <c r="A169" s="90" t="s">
        <v>868</v>
      </c>
      <c r="B169" s="88">
        <v>6000029713</v>
      </c>
      <c r="C169" s="192" t="s">
        <v>1545</v>
      </c>
      <c r="D169" s="117"/>
      <c r="E169" s="94">
        <v>20</v>
      </c>
      <c r="F169" s="74">
        <v>400</v>
      </c>
      <c r="G169" s="45">
        <f t="shared" si="12"/>
        <v>8000</v>
      </c>
      <c r="H169" s="119" t="s">
        <v>37</v>
      </c>
      <c r="I169" s="128">
        <v>45407</v>
      </c>
      <c r="J169" s="74">
        <v>400</v>
      </c>
      <c r="K169" s="74">
        <v>6</v>
      </c>
      <c r="L169" s="156">
        <v>45405</v>
      </c>
      <c r="M169" s="90">
        <v>8000</v>
      </c>
      <c r="N169" s="90">
        <v>100</v>
      </c>
      <c r="O169" s="90" t="s">
        <v>917</v>
      </c>
      <c r="P169" s="94" t="s">
        <v>28</v>
      </c>
      <c r="Q169" s="94">
        <v>8500069967</v>
      </c>
      <c r="R169" s="94">
        <v>5000504927</v>
      </c>
      <c r="S169" s="74"/>
      <c r="T169" s="90" t="s">
        <v>655</v>
      </c>
      <c r="U169" s="90">
        <v>8500069966</v>
      </c>
      <c r="V169" s="90">
        <v>5000496819</v>
      </c>
      <c r="W169" s="109">
        <v>45426</v>
      </c>
      <c r="X169" s="106">
        <v>400</v>
      </c>
      <c r="Y169" s="106">
        <v>8000</v>
      </c>
      <c r="Z169" s="106" t="s">
        <v>800</v>
      </c>
      <c r="AA169" s="106">
        <f t="shared" si="10"/>
        <v>0</v>
      </c>
      <c r="AB169" s="106">
        <f t="shared" si="11"/>
        <v>0</v>
      </c>
      <c r="AC169" s="94"/>
      <c r="AD169" s="94"/>
      <c r="AE169" s="94"/>
      <c r="AF169" s="94"/>
      <c r="AG169" s="94"/>
      <c r="AH169" s="263"/>
    </row>
    <row r="170" spans="1:34" ht="32.25" customHeight="1">
      <c r="A170" s="90" t="s">
        <v>868</v>
      </c>
      <c r="B170" s="88">
        <v>6000029714</v>
      </c>
      <c r="C170" s="192" t="s">
        <v>869</v>
      </c>
      <c r="D170" s="117">
        <v>6000029714</v>
      </c>
      <c r="E170" s="94">
        <v>20</v>
      </c>
      <c r="F170" s="74">
        <v>400</v>
      </c>
      <c r="G170" s="45">
        <f t="shared" si="12"/>
        <v>8000</v>
      </c>
      <c r="H170" s="119" t="s">
        <v>27</v>
      </c>
      <c r="I170" s="128">
        <v>45406</v>
      </c>
      <c r="J170" s="74">
        <v>400</v>
      </c>
      <c r="K170" s="74">
        <f>1+7</f>
        <v>8</v>
      </c>
      <c r="L170" s="156">
        <v>45408</v>
      </c>
      <c r="M170" s="90">
        <v>8000</v>
      </c>
      <c r="N170" s="90">
        <v>50</v>
      </c>
      <c r="O170" s="90"/>
      <c r="P170" s="94" t="s">
        <v>28</v>
      </c>
      <c r="Q170" s="94">
        <v>8500069972</v>
      </c>
      <c r="R170" s="94">
        <v>5000501786</v>
      </c>
      <c r="S170" s="74"/>
      <c r="T170" s="90" t="s">
        <v>655</v>
      </c>
      <c r="U170" s="90">
        <v>8500069968</v>
      </c>
      <c r="V170" s="90">
        <v>5000516377</v>
      </c>
      <c r="W170" s="109">
        <v>45425</v>
      </c>
      <c r="X170" s="106">
        <v>400</v>
      </c>
      <c r="Y170" s="106">
        <v>8000</v>
      </c>
      <c r="Z170" s="106" t="s">
        <v>1980</v>
      </c>
      <c r="AA170" s="106">
        <f>J170-X170</f>
        <v>0</v>
      </c>
      <c r="AB170" s="106">
        <f>M170-Y170</f>
        <v>0</v>
      </c>
      <c r="AC170" s="94"/>
      <c r="AD170" s="94"/>
      <c r="AE170" s="94"/>
      <c r="AF170" s="94"/>
      <c r="AG170" s="94"/>
      <c r="AH170" s="263"/>
    </row>
    <row r="171" spans="1:34" ht="32.25" customHeight="1">
      <c r="A171" s="90"/>
      <c r="B171" s="88"/>
      <c r="C171" s="192"/>
      <c r="D171" s="117"/>
      <c r="E171" s="94">
        <v>20</v>
      </c>
      <c r="F171" s="74">
        <v>800</v>
      </c>
      <c r="G171" s="45">
        <f t="shared" si="12"/>
        <v>16000</v>
      </c>
      <c r="H171" s="119" t="s">
        <v>46</v>
      </c>
      <c r="I171" s="128">
        <v>45406</v>
      </c>
      <c r="J171" s="74">
        <v>800</v>
      </c>
      <c r="K171" s="74">
        <v>6</v>
      </c>
      <c r="L171" s="156">
        <v>45405</v>
      </c>
      <c r="M171" s="90">
        <v>16000</v>
      </c>
      <c r="N171" s="90">
        <v>100</v>
      </c>
      <c r="O171" s="90" t="s">
        <v>3411</v>
      </c>
      <c r="P171" s="94" t="s">
        <v>28</v>
      </c>
      <c r="Q171" s="94">
        <v>8500069972</v>
      </c>
      <c r="R171" s="94">
        <v>5000501786</v>
      </c>
      <c r="S171" s="74"/>
      <c r="T171" s="90" t="s">
        <v>655</v>
      </c>
      <c r="U171" s="90">
        <v>8500069968</v>
      </c>
      <c r="V171" s="90">
        <v>5000496867</v>
      </c>
      <c r="W171" s="109">
        <v>45435</v>
      </c>
      <c r="X171" s="106">
        <v>800</v>
      </c>
      <c r="Y171" s="106">
        <v>16000</v>
      </c>
      <c r="Z171" s="106" t="s">
        <v>817</v>
      </c>
      <c r="AA171" s="106">
        <f>J171-X171</f>
        <v>0</v>
      </c>
      <c r="AB171" s="106">
        <f>M171-Y171</f>
        <v>0</v>
      </c>
      <c r="AC171" s="94"/>
      <c r="AD171" s="94"/>
      <c r="AE171" s="94"/>
      <c r="AF171" s="94"/>
      <c r="AG171" s="94"/>
      <c r="AH171" s="263"/>
    </row>
    <row r="172" spans="1:34" ht="32.25" customHeight="1">
      <c r="A172" s="90"/>
      <c r="B172" s="88"/>
      <c r="C172" s="192"/>
      <c r="D172" s="117"/>
      <c r="E172" s="94">
        <v>20</v>
      </c>
      <c r="F172" s="74">
        <v>600</v>
      </c>
      <c r="G172" s="45">
        <f t="shared" si="12"/>
        <v>12000</v>
      </c>
      <c r="H172" s="119" t="s">
        <v>37</v>
      </c>
      <c r="I172" s="128" t="s">
        <v>3436</v>
      </c>
      <c r="J172" s="74">
        <f>100+500</f>
        <v>600</v>
      </c>
      <c r="K172" s="74">
        <v>6</v>
      </c>
      <c r="L172" s="156">
        <v>45405</v>
      </c>
      <c r="M172" s="90">
        <v>12000</v>
      </c>
      <c r="N172" s="90">
        <v>100</v>
      </c>
      <c r="O172" s="90" t="s">
        <v>1848</v>
      </c>
      <c r="P172" s="94" t="s">
        <v>28</v>
      </c>
      <c r="Q172" s="94">
        <v>8500069972</v>
      </c>
      <c r="R172" s="94">
        <v>5000511515</v>
      </c>
      <c r="S172" s="74"/>
      <c r="T172" s="90" t="s">
        <v>655</v>
      </c>
      <c r="U172" s="90">
        <v>8500069968</v>
      </c>
      <c r="V172" s="90">
        <v>5000496867</v>
      </c>
      <c r="W172" s="109">
        <v>45439</v>
      </c>
      <c r="X172" s="106">
        <v>600</v>
      </c>
      <c r="Y172" s="106">
        <v>12000</v>
      </c>
      <c r="Z172" s="106" t="s">
        <v>35</v>
      </c>
      <c r="AA172" s="106">
        <f>J172-X172</f>
        <v>0</v>
      </c>
      <c r="AB172" s="106">
        <f>M172-Y172</f>
        <v>0</v>
      </c>
      <c r="AC172" s="94"/>
      <c r="AD172" s="94"/>
      <c r="AE172" s="94"/>
      <c r="AF172" s="94"/>
      <c r="AG172" s="94"/>
      <c r="AH172" s="263"/>
    </row>
    <row r="173" spans="1:34" ht="32.25" customHeight="1">
      <c r="A173" s="90" t="s">
        <v>868</v>
      </c>
      <c r="B173" s="88">
        <v>6000029914</v>
      </c>
      <c r="C173" s="192" t="s">
        <v>869</v>
      </c>
      <c r="D173" s="117">
        <v>6000029914</v>
      </c>
      <c r="E173" s="94">
        <v>20</v>
      </c>
      <c r="F173" s="74">
        <v>100</v>
      </c>
      <c r="G173" s="45">
        <f t="shared" si="12"/>
        <v>2000</v>
      </c>
      <c r="H173" s="119" t="s">
        <v>243</v>
      </c>
      <c r="I173" s="128">
        <v>45407</v>
      </c>
      <c r="J173" s="74">
        <v>100</v>
      </c>
      <c r="K173" s="74">
        <v>2</v>
      </c>
      <c r="L173" s="156">
        <v>45408</v>
      </c>
      <c r="M173" s="90">
        <v>2000</v>
      </c>
      <c r="N173" s="90">
        <v>30</v>
      </c>
      <c r="O173" s="90" t="s">
        <v>1662</v>
      </c>
      <c r="P173" s="94" t="s">
        <v>28</v>
      </c>
      <c r="Q173" s="94">
        <v>8500071104</v>
      </c>
      <c r="R173" s="94">
        <v>5000506690</v>
      </c>
      <c r="S173" s="74"/>
      <c r="T173" s="90" t="s">
        <v>655</v>
      </c>
      <c r="U173" s="90">
        <v>8500071103</v>
      </c>
      <c r="V173" s="90">
        <v>5000516376</v>
      </c>
      <c r="W173" s="109">
        <v>45411</v>
      </c>
      <c r="X173" s="106">
        <v>100</v>
      </c>
      <c r="Y173" s="106">
        <v>2000</v>
      </c>
      <c r="Z173" s="106" t="s">
        <v>2112</v>
      </c>
      <c r="AA173" s="106">
        <f t="shared" si="10"/>
        <v>0</v>
      </c>
      <c r="AB173" s="106">
        <f t="shared" si="11"/>
        <v>0</v>
      </c>
      <c r="AC173" s="94"/>
      <c r="AD173" s="94"/>
      <c r="AE173" s="94"/>
      <c r="AF173" s="94"/>
      <c r="AG173" s="94"/>
      <c r="AH173" s="263"/>
    </row>
    <row r="174" spans="1:34" ht="33" customHeight="1">
      <c r="A174" s="90"/>
      <c r="B174" s="88"/>
      <c r="C174" s="192"/>
      <c r="D174" s="192"/>
      <c r="E174" s="94">
        <v>20</v>
      </c>
      <c r="F174" s="74">
        <v>550</v>
      </c>
      <c r="G174" s="45">
        <f t="shared" si="12"/>
        <v>11000</v>
      </c>
      <c r="H174" s="119" t="s">
        <v>27</v>
      </c>
      <c r="I174" s="128">
        <v>45406</v>
      </c>
      <c r="J174" s="74">
        <v>550</v>
      </c>
      <c r="K174" s="74">
        <v>5</v>
      </c>
      <c r="L174" s="156" t="s">
        <v>3422</v>
      </c>
      <c r="M174" s="90">
        <f>10700+300</f>
        <v>11000</v>
      </c>
      <c r="N174" s="90">
        <f>50+143</f>
        <v>193</v>
      </c>
      <c r="O174" s="90" t="s">
        <v>2766</v>
      </c>
      <c r="P174" s="94" t="s">
        <v>28</v>
      </c>
      <c r="Q174" s="94">
        <v>8500071104</v>
      </c>
      <c r="R174" s="94">
        <v>5000501787</v>
      </c>
      <c r="S174" s="94"/>
      <c r="T174" s="90" t="s">
        <v>655</v>
      </c>
      <c r="U174" s="90">
        <v>8500071103</v>
      </c>
      <c r="V174" s="90">
        <v>5000496816</v>
      </c>
      <c r="W174" s="109" t="s">
        <v>3559</v>
      </c>
      <c r="X174" s="106">
        <f>250+300</f>
        <v>550</v>
      </c>
      <c r="Y174" s="106">
        <v>11000</v>
      </c>
      <c r="Z174" s="106" t="s">
        <v>1980</v>
      </c>
      <c r="AA174" s="106">
        <f t="shared" si="10"/>
        <v>0</v>
      </c>
      <c r="AB174" s="106">
        <f t="shared" si="11"/>
        <v>0</v>
      </c>
      <c r="AC174" s="94"/>
      <c r="AD174" s="94"/>
      <c r="AE174" s="94"/>
      <c r="AF174" s="94"/>
      <c r="AG174" s="94"/>
      <c r="AH174" s="263"/>
    </row>
    <row r="175" spans="1:34" ht="32.25" customHeight="1">
      <c r="A175" s="90"/>
      <c r="B175" s="88"/>
      <c r="C175" s="192"/>
      <c r="D175" s="192"/>
      <c r="E175" s="94">
        <v>20</v>
      </c>
      <c r="F175" s="74">
        <v>700</v>
      </c>
      <c r="G175" s="45">
        <f t="shared" si="12"/>
        <v>14000</v>
      </c>
      <c r="H175" s="119" t="s">
        <v>46</v>
      </c>
      <c r="I175" s="128" t="s">
        <v>3455</v>
      </c>
      <c r="J175" s="74">
        <f>663+37</f>
        <v>700</v>
      </c>
      <c r="K175" s="74">
        <v>8</v>
      </c>
      <c r="L175" s="156">
        <v>45405</v>
      </c>
      <c r="M175" s="90">
        <v>14000</v>
      </c>
      <c r="N175" s="90">
        <v>1000</v>
      </c>
      <c r="O175" s="90" t="s">
        <v>862</v>
      </c>
      <c r="P175" s="94" t="s">
        <v>28</v>
      </c>
      <c r="Q175" s="94">
        <v>8500071104</v>
      </c>
      <c r="R175" s="94">
        <v>5000501787</v>
      </c>
      <c r="S175" s="94"/>
      <c r="T175" s="90" t="s">
        <v>655</v>
      </c>
      <c r="U175" s="90">
        <v>8500071103</v>
      </c>
      <c r="V175" s="90">
        <v>5000496816</v>
      </c>
      <c r="W175" s="109">
        <v>45435</v>
      </c>
      <c r="X175" s="106">
        <v>700</v>
      </c>
      <c r="Y175" s="106">
        <v>14000</v>
      </c>
      <c r="Z175" s="106" t="s">
        <v>267</v>
      </c>
      <c r="AA175" s="106">
        <f t="shared" si="10"/>
        <v>0</v>
      </c>
      <c r="AB175" s="106">
        <f t="shared" si="11"/>
        <v>0</v>
      </c>
      <c r="AC175" s="94"/>
      <c r="AD175" s="94"/>
      <c r="AE175" s="94"/>
      <c r="AF175" s="94"/>
      <c r="AG175" s="94"/>
      <c r="AH175" s="263"/>
    </row>
    <row r="176" spans="1:34" ht="32.25" customHeight="1">
      <c r="A176" s="90"/>
      <c r="B176" s="88"/>
      <c r="C176" s="192"/>
      <c r="D176" s="192"/>
      <c r="E176" s="94">
        <v>20</v>
      </c>
      <c r="F176" s="74">
        <v>450</v>
      </c>
      <c r="G176" s="45">
        <f t="shared" si="12"/>
        <v>9000</v>
      </c>
      <c r="H176" s="119" t="s">
        <v>37</v>
      </c>
      <c r="I176" s="128">
        <v>45437</v>
      </c>
      <c r="J176" s="74">
        <v>450</v>
      </c>
      <c r="K176" s="74">
        <v>6</v>
      </c>
      <c r="L176" s="156">
        <v>45406</v>
      </c>
      <c r="M176" s="90">
        <v>9000</v>
      </c>
      <c r="N176" s="90">
        <v>100</v>
      </c>
      <c r="O176" s="90" t="s">
        <v>2766</v>
      </c>
      <c r="P176" s="94" t="s">
        <v>28</v>
      </c>
      <c r="Q176" s="94">
        <v>8500071104</v>
      </c>
      <c r="R176" s="94">
        <v>5000505168</v>
      </c>
      <c r="S176" s="94"/>
      <c r="T176" s="90" t="s">
        <v>655</v>
      </c>
      <c r="U176" s="90">
        <v>8500071103</v>
      </c>
      <c r="V176" s="90">
        <v>5000500647</v>
      </c>
      <c r="W176" s="109">
        <v>45440</v>
      </c>
      <c r="X176" s="106">
        <v>450</v>
      </c>
      <c r="Y176" s="106">
        <v>9000</v>
      </c>
      <c r="Z176" s="106" t="s">
        <v>35</v>
      </c>
      <c r="AA176" s="106">
        <f t="shared" si="10"/>
        <v>0</v>
      </c>
      <c r="AB176" s="106">
        <f t="shared" si="11"/>
        <v>0</v>
      </c>
      <c r="AC176" s="94"/>
      <c r="AD176" s="94"/>
      <c r="AE176" s="94"/>
      <c r="AF176" s="94"/>
      <c r="AG176" s="94"/>
      <c r="AH176" s="263"/>
    </row>
    <row r="177" spans="1:34" ht="31.5" customHeight="1">
      <c r="A177" s="90" t="s">
        <v>3001</v>
      </c>
      <c r="B177" s="88">
        <v>6000029842</v>
      </c>
      <c r="C177" s="192" t="s">
        <v>2998</v>
      </c>
      <c r="D177" s="117" t="s">
        <v>3381</v>
      </c>
      <c r="E177" s="94">
        <v>10</v>
      </c>
      <c r="F177" s="74">
        <v>1650</v>
      </c>
      <c r="G177" s="45">
        <f t="shared" si="12"/>
        <v>16500</v>
      </c>
      <c r="H177" s="119" t="s">
        <v>27</v>
      </c>
      <c r="I177" s="128">
        <v>45404</v>
      </c>
      <c r="J177" s="74">
        <v>1650</v>
      </c>
      <c r="K177" s="74">
        <v>17</v>
      </c>
      <c r="L177" s="156" t="s">
        <v>3470</v>
      </c>
      <c r="M177" s="90">
        <f>8500+8000</f>
        <v>16500</v>
      </c>
      <c r="N177" s="90">
        <v>165</v>
      </c>
      <c r="O177" s="90"/>
      <c r="P177" s="94" t="s">
        <v>28</v>
      </c>
      <c r="Q177" s="94">
        <v>8500071295</v>
      </c>
      <c r="R177" s="94">
        <v>5000541002</v>
      </c>
      <c r="S177" s="94"/>
      <c r="T177" s="90" t="s">
        <v>1666</v>
      </c>
      <c r="U177" s="90">
        <v>8500071294</v>
      </c>
      <c r="V177" s="90">
        <v>5000541005</v>
      </c>
      <c r="W177" s="109">
        <v>45426</v>
      </c>
      <c r="X177" s="106">
        <v>1650</v>
      </c>
      <c r="Y177" s="106">
        <v>16500</v>
      </c>
      <c r="Z177" s="106" t="s">
        <v>1980</v>
      </c>
      <c r="AA177" s="106">
        <f t="shared" si="10"/>
        <v>0</v>
      </c>
      <c r="AB177" s="106">
        <f t="shared" si="11"/>
        <v>0</v>
      </c>
      <c r="AC177" s="94" t="s">
        <v>3471</v>
      </c>
      <c r="AD177" s="94"/>
      <c r="AE177" s="94"/>
      <c r="AF177" s="94"/>
      <c r="AG177" s="94"/>
      <c r="AH177" s="263"/>
    </row>
    <row r="178" spans="1:34" ht="32.25" customHeight="1">
      <c r="A178" s="90"/>
      <c r="B178" s="88"/>
      <c r="C178" s="192"/>
      <c r="D178" s="117"/>
      <c r="E178" s="94">
        <v>10</v>
      </c>
      <c r="F178" s="74">
        <v>2545</v>
      </c>
      <c r="G178" s="45">
        <f t="shared" si="12"/>
        <v>25450</v>
      </c>
      <c r="H178" s="119" t="s">
        <v>37</v>
      </c>
      <c r="I178" s="128">
        <v>45404</v>
      </c>
      <c r="J178" s="74">
        <v>2545</v>
      </c>
      <c r="K178" s="74">
        <v>22</v>
      </c>
      <c r="L178" s="156">
        <v>45414</v>
      </c>
      <c r="M178" s="90">
        <v>25450</v>
      </c>
      <c r="N178" s="90">
        <v>255</v>
      </c>
      <c r="O178" s="90"/>
      <c r="P178" s="94" t="s">
        <v>28</v>
      </c>
      <c r="Q178" s="94">
        <v>8500071295</v>
      </c>
      <c r="R178" s="94">
        <v>5000541002</v>
      </c>
      <c r="S178" s="94"/>
      <c r="T178" s="90" t="s">
        <v>1666</v>
      </c>
      <c r="U178" s="90">
        <v>8500071294</v>
      </c>
      <c r="V178" s="90">
        <v>5000541005</v>
      </c>
      <c r="W178" s="109">
        <v>45442</v>
      </c>
      <c r="X178" s="106">
        <v>2545</v>
      </c>
      <c r="Y178" s="106">
        <v>25450</v>
      </c>
      <c r="Z178" s="106" t="s">
        <v>3649</v>
      </c>
      <c r="AA178" s="106">
        <f t="shared" si="10"/>
        <v>0</v>
      </c>
      <c r="AB178" s="106">
        <f t="shared" si="11"/>
        <v>0</v>
      </c>
      <c r="AC178" s="94"/>
      <c r="AD178" s="94"/>
      <c r="AE178" s="94"/>
      <c r="AF178" s="94"/>
      <c r="AG178" s="94"/>
      <c r="AH178" s="263"/>
    </row>
    <row r="179" spans="1:34" ht="32.25" customHeight="1">
      <c r="A179" s="90"/>
      <c r="B179" s="88"/>
      <c r="C179" s="192"/>
      <c r="D179" s="117"/>
      <c r="E179" s="94">
        <v>10</v>
      </c>
      <c r="F179" s="74">
        <v>255</v>
      </c>
      <c r="G179" s="45">
        <f t="shared" si="12"/>
        <v>2550</v>
      </c>
      <c r="H179" s="119" t="s">
        <v>146</v>
      </c>
      <c r="I179" s="128">
        <v>45404</v>
      </c>
      <c r="J179" s="74">
        <v>255</v>
      </c>
      <c r="K179" s="74">
        <v>2</v>
      </c>
      <c r="L179" s="156">
        <v>45407</v>
      </c>
      <c r="M179" s="90">
        <v>2550</v>
      </c>
      <c r="N179" s="90">
        <v>26</v>
      </c>
      <c r="O179" s="90" t="s">
        <v>788</v>
      </c>
      <c r="P179" s="94" t="s">
        <v>28</v>
      </c>
      <c r="Q179" s="94">
        <v>8500071295</v>
      </c>
      <c r="R179" s="94">
        <v>5000541002</v>
      </c>
      <c r="S179" s="94"/>
      <c r="T179" s="90" t="s">
        <v>1666</v>
      </c>
      <c r="U179" s="90">
        <v>8500071294</v>
      </c>
      <c r="V179" s="90">
        <v>5000541005</v>
      </c>
      <c r="W179" s="109">
        <v>45409</v>
      </c>
      <c r="X179" s="106">
        <v>255</v>
      </c>
      <c r="Y179" s="106">
        <v>2550</v>
      </c>
      <c r="Z179" s="106" t="s">
        <v>759</v>
      </c>
      <c r="AA179" s="106">
        <f t="shared" si="10"/>
        <v>0</v>
      </c>
      <c r="AB179" s="106">
        <f t="shared" si="11"/>
        <v>0</v>
      </c>
      <c r="AC179" s="94"/>
      <c r="AD179" s="94"/>
      <c r="AE179" s="94"/>
      <c r="AF179" s="94"/>
      <c r="AG179" s="94"/>
      <c r="AH179" s="263"/>
    </row>
    <row r="180" spans="1:34" ht="32.25" customHeight="1">
      <c r="A180" s="90" t="s">
        <v>3001</v>
      </c>
      <c r="B180" s="88">
        <v>6000029843</v>
      </c>
      <c r="C180" s="192" t="s">
        <v>2998</v>
      </c>
      <c r="D180" s="117" t="s">
        <v>3382</v>
      </c>
      <c r="E180" s="94">
        <v>10</v>
      </c>
      <c r="F180" s="74">
        <v>1000</v>
      </c>
      <c r="G180" s="45">
        <f t="shared" si="12"/>
        <v>10000</v>
      </c>
      <c r="H180" s="119" t="s">
        <v>27</v>
      </c>
      <c r="I180" s="355">
        <v>45405</v>
      </c>
      <c r="J180" s="74">
        <v>1000</v>
      </c>
      <c r="K180" s="74">
        <f>10+5</f>
        <v>15</v>
      </c>
      <c r="L180" s="156">
        <v>45414</v>
      </c>
      <c r="M180" s="90">
        <v>10000</v>
      </c>
      <c r="N180" s="90">
        <v>100</v>
      </c>
      <c r="O180" s="90"/>
      <c r="P180" s="94" t="s">
        <v>28</v>
      </c>
      <c r="Q180" s="94">
        <v>8500071297</v>
      </c>
      <c r="R180" s="94">
        <v>5000541008</v>
      </c>
      <c r="S180" s="94"/>
      <c r="T180" s="90" t="s">
        <v>1666</v>
      </c>
      <c r="U180" s="90">
        <v>8500071296</v>
      </c>
      <c r="V180" s="90">
        <v>5000541011</v>
      </c>
      <c r="W180" s="109" t="s">
        <v>3558</v>
      </c>
      <c r="X180" s="106">
        <v>1000</v>
      </c>
      <c r="Y180" s="106">
        <v>10000</v>
      </c>
      <c r="Z180" s="106" t="s">
        <v>1980</v>
      </c>
      <c r="AA180" s="106">
        <f t="shared" si="10"/>
        <v>0</v>
      </c>
      <c r="AB180" s="106">
        <f t="shared" si="11"/>
        <v>0</v>
      </c>
      <c r="AC180" s="94" t="s">
        <v>3471</v>
      </c>
      <c r="AD180" s="2"/>
      <c r="AE180" s="94"/>
      <c r="AF180" s="94"/>
      <c r="AG180" s="94"/>
      <c r="AH180" s="263"/>
    </row>
    <row r="181" spans="1:34" ht="32.25" customHeight="1">
      <c r="A181" s="90"/>
      <c r="B181" s="88"/>
      <c r="C181" s="192"/>
      <c r="D181" s="117"/>
      <c r="E181" s="94">
        <v>10</v>
      </c>
      <c r="F181" s="74">
        <v>405</v>
      </c>
      <c r="G181" s="45">
        <f t="shared" si="12"/>
        <v>4050</v>
      </c>
      <c r="H181" s="119" t="s">
        <v>46</v>
      </c>
      <c r="I181" s="355">
        <v>45405</v>
      </c>
      <c r="J181" s="74">
        <v>405</v>
      </c>
      <c r="K181" s="74">
        <v>6</v>
      </c>
      <c r="L181" s="156">
        <v>45411</v>
      </c>
      <c r="M181" s="90">
        <v>4050</v>
      </c>
      <c r="N181" s="90">
        <v>41</v>
      </c>
      <c r="O181" s="90"/>
      <c r="P181" s="94" t="s">
        <v>28</v>
      </c>
      <c r="Q181" s="94">
        <v>8500071297</v>
      </c>
      <c r="R181" s="94">
        <v>5000541008</v>
      </c>
      <c r="S181" s="94"/>
      <c r="T181" s="90" t="s">
        <v>1666</v>
      </c>
      <c r="U181" s="90">
        <v>8500071296</v>
      </c>
      <c r="V181" s="90">
        <v>5000541011</v>
      </c>
      <c r="W181" s="109">
        <v>45439</v>
      </c>
      <c r="X181" s="106">
        <v>405</v>
      </c>
      <c r="Y181" s="106">
        <v>4050</v>
      </c>
      <c r="Z181" s="106" t="s">
        <v>817</v>
      </c>
      <c r="AA181" s="106">
        <f t="shared" si="10"/>
        <v>0</v>
      </c>
      <c r="AB181" s="106">
        <f t="shared" si="11"/>
        <v>0</v>
      </c>
      <c r="AC181" s="369"/>
      <c r="AD181" s="94"/>
      <c r="AE181" s="94"/>
      <c r="AF181" s="94"/>
      <c r="AG181" s="94"/>
      <c r="AH181" s="263"/>
    </row>
    <row r="182" spans="1:34" ht="32.25" customHeight="1">
      <c r="A182" s="90"/>
      <c r="B182" s="88"/>
      <c r="C182" s="192"/>
      <c r="D182" s="365"/>
      <c r="E182" s="94">
        <v>10</v>
      </c>
      <c r="F182" s="74">
        <v>2560</v>
      </c>
      <c r="G182" s="45">
        <f t="shared" si="12"/>
        <v>25600</v>
      </c>
      <c r="H182" s="119" t="s">
        <v>37</v>
      </c>
      <c r="I182" s="128">
        <v>45404</v>
      </c>
      <c r="J182" s="74">
        <f>1283+1277</f>
        <v>2560</v>
      </c>
      <c r="K182" s="158">
        <v>23</v>
      </c>
      <c r="L182" s="156">
        <v>45414</v>
      </c>
      <c r="M182" s="90">
        <v>25600</v>
      </c>
      <c r="N182" s="90">
        <v>256</v>
      </c>
      <c r="O182" s="90"/>
      <c r="P182" s="94" t="s">
        <v>28</v>
      </c>
      <c r="Q182" s="94">
        <v>8500071297</v>
      </c>
      <c r="R182" s="94">
        <v>5000541008</v>
      </c>
      <c r="S182" s="94"/>
      <c r="T182" s="90" t="s">
        <v>1666</v>
      </c>
      <c r="U182" s="90">
        <v>8500071296</v>
      </c>
      <c r="V182" s="90">
        <v>5000541011</v>
      </c>
      <c r="W182" s="109">
        <v>45441</v>
      </c>
      <c r="X182" s="106">
        <v>2560</v>
      </c>
      <c r="Y182" s="106">
        <v>25600</v>
      </c>
      <c r="Z182" s="106" t="s">
        <v>3649</v>
      </c>
      <c r="AA182" s="106">
        <f t="shared" si="10"/>
        <v>0</v>
      </c>
      <c r="AB182" s="106">
        <f t="shared" si="11"/>
        <v>0</v>
      </c>
      <c r="AC182" s="370"/>
      <c r="AD182" s="94"/>
      <c r="AE182" s="94"/>
      <c r="AF182" s="94"/>
      <c r="AG182" s="94"/>
      <c r="AH182" s="263"/>
    </row>
    <row r="183" spans="1:34" ht="32.25" customHeight="1">
      <c r="A183" s="90"/>
      <c r="B183" s="88"/>
      <c r="C183" s="192"/>
      <c r="D183" s="192"/>
      <c r="E183" s="94">
        <v>10</v>
      </c>
      <c r="F183" s="74">
        <v>485</v>
      </c>
      <c r="G183" s="45">
        <f t="shared" si="12"/>
        <v>4850</v>
      </c>
      <c r="H183" s="119" t="s">
        <v>146</v>
      </c>
      <c r="I183" s="128">
        <v>45402</v>
      </c>
      <c r="J183" s="74">
        <v>485</v>
      </c>
      <c r="K183" s="74">
        <v>5</v>
      </c>
      <c r="L183" s="156">
        <v>45411</v>
      </c>
      <c r="M183" s="90">
        <v>4850</v>
      </c>
      <c r="N183" s="90">
        <v>49</v>
      </c>
      <c r="O183" s="90"/>
      <c r="P183" s="94" t="s">
        <v>28</v>
      </c>
      <c r="Q183" s="94">
        <v>8500071297</v>
      </c>
      <c r="R183" s="94">
        <v>5000541008</v>
      </c>
      <c r="S183" s="74"/>
      <c r="T183" s="90" t="s">
        <v>1666</v>
      </c>
      <c r="U183" s="90">
        <v>8500071296</v>
      </c>
      <c r="V183" s="90">
        <v>5000541011</v>
      </c>
      <c r="W183" s="109">
        <v>45411</v>
      </c>
      <c r="X183" s="106">
        <v>485</v>
      </c>
      <c r="Y183" s="106">
        <v>4850</v>
      </c>
      <c r="Z183" s="106" t="s">
        <v>759</v>
      </c>
      <c r="AA183" s="106">
        <f t="shared" si="10"/>
        <v>0</v>
      </c>
      <c r="AB183" s="106">
        <f t="shared" si="11"/>
        <v>0</v>
      </c>
      <c r="AC183" s="94"/>
      <c r="AD183" s="94"/>
      <c r="AE183" s="94"/>
      <c r="AF183" s="94"/>
      <c r="AG183" s="94"/>
      <c r="AH183" s="263"/>
    </row>
    <row r="184" spans="1:34" ht="32.25" customHeight="1">
      <c r="A184" s="90" t="s">
        <v>1943</v>
      </c>
      <c r="B184" s="88">
        <v>6000029993</v>
      </c>
      <c r="C184" s="192" t="s">
        <v>711</v>
      </c>
      <c r="D184" s="117">
        <v>6000029993</v>
      </c>
      <c r="E184" s="94">
        <v>10</v>
      </c>
      <c r="F184" s="74">
        <v>200</v>
      </c>
      <c r="G184" s="45">
        <f t="shared" si="12"/>
        <v>2000</v>
      </c>
      <c r="H184" s="119" t="s">
        <v>27</v>
      </c>
      <c r="I184" s="128">
        <v>45409</v>
      </c>
      <c r="J184" s="74">
        <v>200</v>
      </c>
      <c r="K184" s="74">
        <v>2</v>
      </c>
      <c r="L184" s="156">
        <v>45411</v>
      </c>
      <c r="M184" s="90">
        <v>2000</v>
      </c>
      <c r="N184" s="90">
        <v>20</v>
      </c>
      <c r="O184" s="90" t="s">
        <v>1732</v>
      </c>
      <c r="P184" s="94" t="s">
        <v>28</v>
      </c>
      <c r="Q184" s="94">
        <v>8500071116</v>
      </c>
      <c r="R184" s="94">
        <v>5000516575</v>
      </c>
      <c r="S184" s="74"/>
      <c r="T184" s="90" t="s">
        <v>87</v>
      </c>
      <c r="U184" s="90">
        <v>8500071115</v>
      </c>
      <c r="V184" s="90">
        <v>5000526111</v>
      </c>
      <c r="W184" s="109">
        <v>45420</v>
      </c>
      <c r="X184" s="106">
        <v>200</v>
      </c>
      <c r="Y184" s="106">
        <v>2000</v>
      </c>
      <c r="Z184" s="106" t="s">
        <v>1980</v>
      </c>
      <c r="AA184" s="106">
        <f t="shared" si="10"/>
        <v>0</v>
      </c>
      <c r="AB184" s="106">
        <f t="shared" si="11"/>
        <v>0</v>
      </c>
      <c r="AC184" s="94"/>
      <c r="AD184" s="94"/>
      <c r="AE184" s="94"/>
      <c r="AF184" s="94"/>
      <c r="AG184" s="94"/>
      <c r="AH184" s="263"/>
    </row>
    <row r="185" spans="1:34" ht="32.25" customHeight="1">
      <c r="A185" s="90"/>
      <c r="B185" s="88"/>
      <c r="C185" s="192"/>
      <c r="D185" s="192"/>
      <c r="E185" s="94">
        <v>10</v>
      </c>
      <c r="F185" s="74">
        <v>800</v>
      </c>
      <c r="G185" s="45">
        <f t="shared" si="12"/>
        <v>8000</v>
      </c>
      <c r="H185" s="119" t="s">
        <v>46</v>
      </c>
      <c r="I185" s="128">
        <v>45411</v>
      </c>
      <c r="J185" s="74">
        <v>800</v>
      </c>
      <c r="K185" s="74">
        <v>8</v>
      </c>
      <c r="L185" s="156">
        <v>45411</v>
      </c>
      <c r="M185" s="90">
        <v>8000</v>
      </c>
      <c r="N185" s="90">
        <v>80</v>
      </c>
      <c r="O185" s="90" t="s">
        <v>1743</v>
      </c>
      <c r="P185" s="94" t="s">
        <v>28</v>
      </c>
      <c r="Q185" s="94">
        <v>8500071116</v>
      </c>
      <c r="R185" s="94">
        <v>5000526369</v>
      </c>
      <c r="S185" s="74"/>
      <c r="T185" s="90" t="s">
        <v>87</v>
      </c>
      <c r="U185" s="90">
        <v>8500071115</v>
      </c>
      <c r="V185" s="90">
        <v>5000526111</v>
      </c>
      <c r="W185" s="109">
        <v>45429</v>
      </c>
      <c r="X185" s="106">
        <v>800</v>
      </c>
      <c r="Y185" s="106">
        <v>8000</v>
      </c>
      <c r="Z185" s="106" t="s">
        <v>267</v>
      </c>
      <c r="AA185" s="106">
        <f t="shared" si="10"/>
        <v>0</v>
      </c>
      <c r="AB185" s="106">
        <f t="shared" si="11"/>
        <v>0</v>
      </c>
      <c r="AC185" s="94"/>
      <c r="AD185" s="94"/>
      <c r="AE185" s="94"/>
      <c r="AF185" s="94"/>
      <c r="AG185" s="94"/>
      <c r="AH185" s="263"/>
    </row>
    <row r="186" spans="1:34" ht="32.25" customHeight="1">
      <c r="A186" s="90"/>
      <c r="B186" s="88"/>
      <c r="C186" s="192"/>
      <c r="D186" s="192"/>
      <c r="E186" s="94">
        <v>10</v>
      </c>
      <c r="F186" s="74">
        <v>800</v>
      </c>
      <c r="G186" s="45">
        <f t="shared" si="12"/>
        <v>8000</v>
      </c>
      <c r="H186" s="119" t="s">
        <v>37</v>
      </c>
      <c r="I186" s="128">
        <v>45411</v>
      </c>
      <c r="J186" s="74">
        <v>800</v>
      </c>
      <c r="K186" s="74">
        <v>8</v>
      </c>
      <c r="L186" s="156">
        <v>45411</v>
      </c>
      <c r="M186" s="90">
        <v>8000</v>
      </c>
      <c r="N186" s="90">
        <v>80</v>
      </c>
      <c r="O186" s="90" t="s">
        <v>741</v>
      </c>
      <c r="P186" s="94" t="s">
        <v>28</v>
      </c>
      <c r="Q186" s="94">
        <v>8500071116</v>
      </c>
      <c r="R186" s="94">
        <v>5000526369</v>
      </c>
      <c r="S186" s="74"/>
      <c r="T186" s="90" t="s">
        <v>87</v>
      </c>
      <c r="U186" s="90">
        <v>8500071115</v>
      </c>
      <c r="V186" s="90">
        <v>5000526111</v>
      </c>
      <c r="W186" s="109">
        <v>45426</v>
      </c>
      <c r="X186" s="106">
        <v>800</v>
      </c>
      <c r="Y186" s="106">
        <v>8000</v>
      </c>
      <c r="Z186" s="106" t="s">
        <v>1988</v>
      </c>
      <c r="AA186" s="106">
        <f t="shared" si="10"/>
        <v>0</v>
      </c>
      <c r="AB186" s="106">
        <f t="shared" si="11"/>
        <v>0</v>
      </c>
      <c r="AC186" s="94"/>
      <c r="AD186" s="94"/>
      <c r="AE186" s="94"/>
      <c r="AF186" s="94"/>
      <c r="AG186" s="94"/>
      <c r="AH186" s="263"/>
    </row>
    <row r="187" spans="1:34" ht="32.25" customHeight="1">
      <c r="A187" s="90"/>
      <c r="B187" s="88"/>
      <c r="C187" s="192"/>
      <c r="D187" s="192"/>
      <c r="E187" s="94">
        <v>10</v>
      </c>
      <c r="F187" s="74">
        <v>200</v>
      </c>
      <c r="G187" s="45">
        <f t="shared" si="12"/>
        <v>2000</v>
      </c>
      <c r="H187" s="119" t="s">
        <v>146</v>
      </c>
      <c r="I187" s="128">
        <v>45409</v>
      </c>
      <c r="J187" s="74">
        <v>200</v>
      </c>
      <c r="K187" s="74">
        <v>2</v>
      </c>
      <c r="L187" s="156">
        <v>45411</v>
      </c>
      <c r="M187" s="90">
        <v>2000</v>
      </c>
      <c r="N187" s="90">
        <v>20</v>
      </c>
      <c r="O187" s="90" t="s">
        <v>1732</v>
      </c>
      <c r="P187" s="94" t="s">
        <v>28</v>
      </c>
      <c r="Q187" s="94">
        <v>8500071116</v>
      </c>
      <c r="R187" s="94">
        <v>5000516575</v>
      </c>
      <c r="S187" s="74"/>
      <c r="T187" s="90" t="s">
        <v>87</v>
      </c>
      <c r="U187" s="90">
        <v>8500071115</v>
      </c>
      <c r="V187" s="90">
        <v>5000526111</v>
      </c>
      <c r="W187" s="109">
        <v>45436</v>
      </c>
      <c r="X187" s="106">
        <v>200</v>
      </c>
      <c r="Y187" s="106">
        <v>2000</v>
      </c>
      <c r="Z187" s="106" t="s">
        <v>800</v>
      </c>
      <c r="AA187" s="106">
        <f t="shared" si="10"/>
        <v>0</v>
      </c>
      <c r="AB187" s="106">
        <f t="shared" si="11"/>
        <v>0</v>
      </c>
      <c r="AC187" s="94"/>
      <c r="AD187" s="94"/>
      <c r="AE187" s="94"/>
      <c r="AF187" s="94"/>
      <c r="AG187" s="94"/>
      <c r="AH187" s="263"/>
    </row>
    <row r="188" spans="1:34" ht="32.25" customHeight="1">
      <c r="A188" s="90" t="s">
        <v>652</v>
      </c>
      <c r="B188" s="88">
        <v>6000029715</v>
      </c>
      <c r="C188" s="192" t="s">
        <v>2060</v>
      </c>
      <c r="D188" s="117">
        <v>2442660</v>
      </c>
      <c r="E188" s="94">
        <v>10</v>
      </c>
      <c r="F188" s="74">
        <v>500</v>
      </c>
      <c r="G188" s="45">
        <f t="shared" si="12"/>
        <v>5000</v>
      </c>
      <c r="H188" s="119" t="s">
        <v>27</v>
      </c>
      <c r="I188" s="128">
        <v>45411</v>
      </c>
      <c r="J188" s="74">
        <v>500</v>
      </c>
      <c r="K188" s="74">
        <f>7+3</f>
        <v>10</v>
      </c>
      <c r="L188" s="156">
        <v>45409</v>
      </c>
      <c r="M188" s="90">
        <v>5000</v>
      </c>
      <c r="N188" s="90">
        <v>50</v>
      </c>
      <c r="O188" s="90" t="s">
        <v>1603</v>
      </c>
      <c r="P188" s="94" t="s">
        <v>160</v>
      </c>
      <c r="Q188" s="94">
        <v>8500069710</v>
      </c>
      <c r="R188" s="94">
        <v>5000529307</v>
      </c>
      <c r="S188" s="74"/>
      <c r="T188" s="90" t="s">
        <v>655</v>
      </c>
      <c r="U188" s="90">
        <v>8500069711</v>
      </c>
      <c r="V188" s="90">
        <v>5000515617</v>
      </c>
      <c r="W188" s="109" t="s">
        <v>3567</v>
      </c>
      <c r="X188" s="106">
        <v>500</v>
      </c>
      <c r="Y188" s="106">
        <v>5000</v>
      </c>
      <c r="Z188" s="106" t="s">
        <v>1980</v>
      </c>
      <c r="AA188" s="106">
        <f t="shared" si="10"/>
        <v>0</v>
      </c>
      <c r="AB188" s="106">
        <f t="shared" si="11"/>
        <v>0</v>
      </c>
      <c r="AC188" s="94"/>
      <c r="AD188" s="94"/>
      <c r="AE188" s="94"/>
      <c r="AF188" s="94"/>
      <c r="AG188" s="94"/>
      <c r="AH188" s="263"/>
    </row>
    <row r="189" spans="1:34" ht="32.25" customHeight="1">
      <c r="A189" s="45"/>
      <c r="B189" s="193"/>
      <c r="C189" s="2"/>
      <c r="D189" s="2"/>
      <c r="E189" s="94">
        <v>10</v>
      </c>
      <c r="F189" s="218">
        <v>550</v>
      </c>
      <c r="G189" s="219">
        <f t="shared" si="12"/>
        <v>5500</v>
      </c>
      <c r="H189" s="227" t="s">
        <v>27</v>
      </c>
      <c r="I189" s="128" t="s">
        <v>3564</v>
      </c>
      <c r="J189" s="74"/>
      <c r="K189" s="74"/>
      <c r="L189" s="156"/>
      <c r="M189" s="90"/>
      <c r="N189" s="90"/>
      <c r="O189" s="90"/>
      <c r="P189" s="94" t="s">
        <v>895</v>
      </c>
      <c r="Q189" s="94">
        <v>8500071408</v>
      </c>
      <c r="R189" s="94">
        <v>5000608893</v>
      </c>
      <c r="S189" s="74"/>
      <c r="T189" s="90" t="s">
        <v>895</v>
      </c>
      <c r="U189" s="90"/>
      <c r="V189" s="90"/>
      <c r="W189" s="109"/>
      <c r="X189" s="106"/>
      <c r="Y189" s="106"/>
      <c r="Z189" s="106"/>
      <c r="AA189" s="106">
        <f>J189-X189</f>
        <v>0</v>
      </c>
      <c r="AB189" s="106">
        <f>M189-Y189</f>
        <v>0</v>
      </c>
      <c r="AC189" s="94"/>
      <c r="AD189" s="94"/>
      <c r="AE189" s="94"/>
      <c r="AF189" s="94"/>
      <c r="AG189" s="94"/>
      <c r="AH189" s="263"/>
    </row>
    <row r="190" spans="1:34" ht="32.25" customHeight="1">
      <c r="A190" s="45"/>
      <c r="B190" s="121"/>
      <c r="C190" s="192"/>
      <c r="D190" s="192"/>
      <c r="E190" s="94">
        <v>10</v>
      </c>
      <c r="F190" s="74">
        <v>2000</v>
      </c>
      <c r="G190" s="45">
        <f t="shared" si="12"/>
        <v>20000</v>
      </c>
      <c r="H190" s="119" t="s">
        <v>46</v>
      </c>
      <c r="I190" s="128">
        <v>45411</v>
      </c>
      <c r="J190" s="74">
        <v>2000</v>
      </c>
      <c r="K190" s="74">
        <f>22+5</f>
        <v>27</v>
      </c>
      <c r="L190" s="156">
        <v>45409</v>
      </c>
      <c r="M190" s="90">
        <v>20000</v>
      </c>
      <c r="N190" s="90">
        <v>170</v>
      </c>
      <c r="O190" s="90"/>
      <c r="P190" s="94" t="s">
        <v>160</v>
      </c>
      <c r="Q190" s="94">
        <v>8500069710</v>
      </c>
      <c r="R190" s="94">
        <v>5000529307</v>
      </c>
      <c r="S190" s="74"/>
      <c r="T190" s="90" t="s">
        <v>655</v>
      </c>
      <c r="U190" s="90">
        <v>8500069711</v>
      </c>
      <c r="V190" s="90">
        <v>5000515617</v>
      </c>
      <c r="W190" s="109">
        <v>45441</v>
      </c>
      <c r="X190" s="106">
        <v>2000</v>
      </c>
      <c r="Y190" s="106">
        <v>20000</v>
      </c>
      <c r="Z190" s="106" t="s">
        <v>3650</v>
      </c>
      <c r="AA190" s="106">
        <f t="shared" si="10"/>
        <v>0</v>
      </c>
      <c r="AB190" s="106">
        <f t="shared" si="11"/>
        <v>0</v>
      </c>
      <c r="AC190" s="94"/>
      <c r="AD190" s="94"/>
      <c r="AE190" s="94"/>
      <c r="AF190" s="94"/>
      <c r="AG190" s="94"/>
      <c r="AH190" s="263"/>
    </row>
    <row r="191" spans="1:34" s="97" customFormat="1" ht="32.25" customHeight="1">
      <c r="A191" s="90"/>
      <c r="B191" s="88"/>
      <c r="C191" s="192"/>
      <c r="D191" s="192"/>
      <c r="E191" s="94">
        <v>10</v>
      </c>
      <c r="F191" s="74">
        <v>1000</v>
      </c>
      <c r="G191" s="45">
        <f t="shared" si="12"/>
        <v>10000</v>
      </c>
      <c r="H191" s="119" t="s">
        <v>37</v>
      </c>
      <c r="I191" s="128">
        <v>45411</v>
      </c>
      <c r="J191" s="74">
        <v>1000</v>
      </c>
      <c r="K191" s="74">
        <v>12</v>
      </c>
      <c r="L191" s="156">
        <v>45409</v>
      </c>
      <c r="M191" s="90">
        <v>10000</v>
      </c>
      <c r="N191" s="90">
        <v>100</v>
      </c>
      <c r="O191" s="90"/>
      <c r="P191" s="94" t="s">
        <v>160</v>
      </c>
      <c r="Q191" s="94">
        <v>8500069710</v>
      </c>
      <c r="R191" s="94">
        <v>5000529307</v>
      </c>
      <c r="S191" s="94"/>
      <c r="T191" s="90" t="s">
        <v>655</v>
      </c>
      <c r="U191" s="90">
        <v>8500069711</v>
      </c>
      <c r="V191" s="90">
        <v>5000515617</v>
      </c>
      <c r="W191" s="109">
        <v>45451</v>
      </c>
      <c r="X191" s="106">
        <v>1000</v>
      </c>
      <c r="Y191" s="106">
        <v>10000</v>
      </c>
      <c r="Z191" s="106" t="s">
        <v>35</v>
      </c>
      <c r="AA191" s="106">
        <f t="shared" si="10"/>
        <v>0</v>
      </c>
      <c r="AB191" s="106">
        <f t="shared" si="11"/>
        <v>0</v>
      </c>
      <c r="AC191" s="94"/>
      <c r="AD191" s="94"/>
      <c r="AE191" s="110"/>
      <c r="AF191" s="110"/>
      <c r="AG191" s="110"/>
      <c r="AH191" s="99"/>
    </row>
    <row r="192" spans="1:34" s="97" customFormat="1" ht="32.25" customHeight="1">
      <c r="A192" s="90"/>
      <c r="B192" s="88"/>
      <c r="C192" s="192"/>
      <c r="D192" s="192"/>
      <c r="E192" s="94">
        <v>10</v>
      </c>
      <c r="F192" s="74">
        <v>550</v>
      </c>
      <c r="G192" s="45">
        <f t="shared" si="12"/>
        <v>5500</v>
      </c>
      <c r="H192" s="119" t="s">
        <v>146</v>
      </c>
      <c r="I192" s="128">
        <v>45411</v>
      </c>
      <c r="J192" s="74">
        <v>550</v>
      </c>
      <c r="K192" s="74">
        <f>7+3</f>
        <v>10</v>
      </c>
      <c r="L192" s="156">
        <v>45409</v>
      </c>
      <c r="M192" s="90">
        <v>5500</v>
      </c>
      <c r="N192" s="90">
        <v>50</v>
      </c>
      <c r="O192" s="90" t="s">
        <v>897</v>
      </c>
      <c r="P192" s="94" t="s">
        <v>160</v>
      </c>
      <c r="Q192" s="94">
        <v>8500069710</v>
      </c>
      <c r="R192" s="94">
        <v>5000529307</v>
      </c>
      <c r="S192" s="94"/>
      <c r="T192" s="90" t="s">
        <v>655</v>
      </c>
      <c r="U192" s="90">
        <v>8500069711</v>
      </c>
      <c r="V192" s="90">
        <v>5000515617</v>
      </c>
      <c r="W192" s="109"/>
      <c r="X192" s="106"/>
      <c r="Y192" s="106"/>
      <c r="Z192" s="106"/>
      <c r="AA192" s="106">
        <f t="shared" si="10"/>
        <v>550</v>
      </c>
      <c r="AB192" s="106">
        <f t="shared" si="11"/>
        <v>5500</v>
      </c>
      <c r="AC192" s="94"/>
      <c r="AD192" s="94"/>
      <c r="AE192" s="110"/>
      <c r="AF192" s="110"/>
      <c r="AG192" s="110"/>
      <c r="AH192" s="99"/>
    </row>
    <row r="193" spans="1:34" s="97" customFormat="1" ht="32.25" customHeight="1">
      <c r="A193" s="90" t="s">
        <v>652</v>
      </c>
      <c r="B193" s="88">
        <v>6000029717</v>
      </c>
      <c r="C193" s="192" t="s">
        <v>2060</v>
      </c>
      <c r="D193" s="117">
        <v>2442661</v>
      </c>
      <c r="E193" s="94">
        <v>10</v>
      </c>
      <c r="F193" s="74">
        <v>500</v>
      </c>
      <c r="G193" s="45">
        <f>F193*E193</f>
        <v>5000</v>
      </c>
      <c r="H193" s="119" t="s">
        <v>27</v>
      </c>
      <c r="I193" s="128">
        <v>45411</v>
      </c>
      <c r="J193" s="74">
        <v>500</v>
      </c>
      <c r="K193" s="74">
        <f>7+3</f>
        <v>10</v>
      </c>
      <c r="L193" s="156">
        <v>45408</v>
      </c>
      <c r="M193" s="90">
        <v>5000</v>
      </c>
      <c r="N193" s="90">
        <v>50</v>
      </c>
      <c r="O193" s="90" t="s">
        <v>1664</v>
      </c>
      <c r="P193" s="94" t="s">
        <v>160</v>
      </c>
      <c r="Q193" s="94">
        <v>8500069713</v>
      </c>
      <c r="R193" s="94">
        <v>5000529352</v>
      </c>
      <c r="S193" s="94"/>
      <c r="T193" s="90" t="s">
        <v>655</v>
      </c>
      <c r="U193" s="90">
        <v>8500069712</v>
      </c>
      <c r="V193" s="90">
        <v>5000516551</v>
      </c>
      <c r="W193" s="109" t="s">
        <v>3567</v>
      </c>
      <c r="X193" s="106">
        <v>500</v>
      </c>
      <c r="Y193" s="106">
        <v>5000</v>
      </c>
      <c r="Z193" s="106" t="s">
        <v>1980</v>
      </c>
      <c r="AA193" s="106">
        <f t="shared" si="10"/>
        <v>0</v>
      </c>
      <c r="AB193" s="106">
        <f t="shared" si="11"/>
        <v>0</v>
      </c>
      <c r="AC193" s="94"/>
      <c r="AD193" s="94"/>
      <c r="AE193" s="110"/>
      <c r="AF193" s="110"/>
      <c r="AG193" s="110"/>
      <c r="AH193" s="99"/>
    </row>
    <row r="194" spans="1:34" s="97" customFormat="1" ht="32.25" customHeight="1">
      <c r="A194" s="90"/>
      <c r="B194" s="88"/>
      <c r="C194" s="192"/>
      <c r="D194" s="117"/>
      <c r="E194" s="94">
        <v>10</v>
      </c>
      <c r="F194" s="218">
        <v>550</v>
      </c>
      <c r="G194" s="219">
        <f>F194*E194</f>
        <v>5500</v>
      </c>
      <c r="H194" s="227" t="s">
        <v>27</v>
      </c>
      <c r="I194" s="128" t="s">
        <v>895</v>
      </c>
      <c r="J194" s="74"/>
      <c r="K194" s="74"/>
      <c r="L194" s="156"/>
      <c r="M194" s="90"/>
      <c r="N194" s="90"/>
      <c r="O194" s="90"/>
      <c r="P194" s="128" t="s">
        <v>895</v>
      </c>
      <c r="Q194" s="94">
        <v>8500071410</v>
      </c>
      <c r="R194" s="94">
        <v>5000608895</v>
      </c>
      <c r="S194" s="94"/>
      <c r="T194" s="90"/>
      <c r="U194" s="90"/>
      <c r="V194" s="90"/>
      <c r="W194" s="109"/>
      <c r="X194" s="106"/>
      <c r="Y194" s="106"/>
      <c r="Z194" s="106"/>
      <c r="AA194" s="106">
        <f t="shared" si="10"/>
        <v>0</v>
      </c>
      <c r="AB194" s="106">
        <f t="shared" si="11"/>
        <v>0</v>
      </c>
      <c r="AC194" s="94"/>
      <c r="AD194" s="94"/>
      <c r="AE194" s="110"/>
      <c r="AF194" s="110"/>
      <c r="AG194" s="110"/>
      <c r="AH194" s="99"/>
    </row>
    <row r="195" spans="1:34" ht="32.25" customHeight="1">
      <c r="A195" s="90"/>
      <c r="B195" s="88"/>
      <c r="C195" s="192"/>
      <c r="D195" s="117"/>
      <c r="E195" s="94">
        <v>10</v>
      </c>
      <c r="F195" s="74">
        <v>2000</v>
      </c>
      <c r="G195" s="45">
        <f>F195*E195</f>
        <v>20000</v>
      </c>
      <c r="H195" s="119" t="s">
        <v>46</v>
      </c>
      <c r="I195" s="128">
        <v>45411</v>
      </c>
      <c r="J195" s="74">
        <v>2000</v>
      </c>
      <c r="K195" s="74">
        <v>22</v>
      </c>
      <c r="L195" s="156">
        <v>45408</v>
      </c>
      <c r="M195" s="90">
        <v>20000</v>
      </c>
      <c r="N195" s="90">
        <f>100+50</f>
        <v>150</v>
      </c>
      <c r="O195" s="90" t="s">
        <v>3443</v>
      </c>
      <c r="P195" s="94" t="s">
        <v>160</v>
      </c>
      <c r="Q195" s="94">
        <v>8500069713</v>
      </c>
      <c r="R195" s="94">
        <v>5000529352</v>
      </c>
      <c r="S195" s="94"/>
      <c r="T195" s="90" t="s">
        <v>655</v>
      </c>
      <c r="U195" s="90">
        <v>8500069712</v>
      </c>
      <c r="V195" s="90">
        <v>5000516551</v>
      </c>
      <c r="W195" s="109">
        <v>45442</v>
      </c>
      <c r="X195" s="106">
        <v>2000</v>
      </c>
      <c r="Y195" s="106">
        <v>20000</v>
      </c>
      <c r="Z195" s="106" t="s">
        <v>817</v>
      </c>
      <c r="AA195" s="106">
        <f t="shared" si="10"/>
        <v>0</v>
      </c>
      <c r="AB195" s="106">
        <f t="shared" si="11"/>
        <v>0</v>
      </c>
      <c r="AC195" s="94"/>
      <c r="AD195" s="94"/>
      <c r="AE195" s="94"/>
      <c r="AF195" s="94"/>
      <c r="AG195" s="94"/>
      <c r="AH195" s="263"/>
    </row>
    <row r="196" spans="1:34" ht="32.25" customHeight="1">
      <c r="A196" s="90"/>
      <c r="B196" s="88"/>
      <c r="C196" s="192"/>
      <c r="D196" s="117"/>
      <c r="E196" s="94">
        <v>10</v>
      </c>
      <c r="F196" s="74">
        <v>1000</v>
      </c>
      <c r="G196" s="45">
        <f>F196*E196</f>
        <v>10000</v>
      </c>
      <c r="H196" s="119" t="s">
        <v>37</v>
      </c>
      <c r="I196" s="128">
        <v>45416</v>
      </c>
      <c r="J196" s="74">
        <v>1000</v>
      </c>
      <c r="K196" s="74">
        <f>12+1</f>
        <v>13</v>
      </c>
      <c r="L196" s="156">
        <v>45409</v>
      </c>
      <c r="M196" s="90">
        <v>10000</v>
      </c>
      <c r="N196" s="90">
        <v>100</v>
      </c>
      <c r="O196" s="90"/>
      <c r="P196" s="94" t="s">
        <v>160</v>
      </c>
      <c r="Q196" s="94">
        <v>8500069713</v>
      </c>
      <c r="R196" s="94">
        <v>5000544861</v>
      </c>
      <c r="S196" s="74"/>
      <c r="T196" s="90" t="s">
        <v>655</v>
      </c>
      <c r="U196" s="90">
        <v>8500069712</v>
      </c>
      <c r="V196" s="90">
        <v>5000515555</v>
      </c>
      <c r="W196" s="109" t="s">
        <v>3675</v>
      </c>
      <c r="X196" s="106">
        <f>500+500</f>
        <v>1000</v>
      </c>
      <c r="Y196" s="106">
        <f>5000+5000</f>
        <v>10000</v>
      </c>
      <c r="Z196" s="106" t="s">
        <v>3676</v>
      </c>
      <c r="AA196" s="106">
        <f t="shared" si="10"/>
        <v>0</v>
      </c>
      <c r="AB196" s="106">
        <f t="shared" si="11"/>
        <v>0</v>
      </c>
      <c r="AC196" s="94"/>
      <c r="AD196" s="94"/>
      <c r="AE196" s="94"/>
      <c r="AF196" s="94"/>
      <c r="AG196" s="94"/>
      <c r="AH196" s="263"/>
    </row>
    <row r="197" spans="1:34" ht="32.25" customHeight="1">
      <c r="A197" s="90"/>
      <c r="B197" s="88"/>
      <c r="C197" s="192"/>
      <c r="D197" s="117"/>
      <c r="E197" s="94">
        <v>10</v>
      </c>
      <c r="F197" s="74">
        <v>550</v>
      </c>
      <c r="G197" s="45">
        <f>F197*E197</f>
        <v>5500</v>
      </c>
      <c r="H197" s="119" t="s">
        <v>146</v>
      </c>
      <c r="I197" s="128">
        <v>45411</v>
      </c>
      <c r="J197" s="74">
        <v>550</v>
      </c>
      <c r="K197" s="74">
        <f>7+1</f>
        <v>8</v>
      </c>
      <c r="L197" s="156">
        <v>45409</v>
      </c>
      <c r="M197" s="90">
        <v>5500</v>
      </c>
      <c r="N197" s="90">
        <v>50</v>
      </c>
      <c r="O197" s="90" t="s">
        <v>3442</v>
      </c>
      <c r="P197" s="94" t="s">
        <v>160</v>
      </c>
      <c r="Q197" s="94">
        <v>8500069713</v>
      </c>
      <c r="R197" s="94">
        <v>5000529352</v>
      </c>
      <c r="S197" s="94"/>
      <c r="T197" s="90" t="s">
        <v>655</v>
      </c>
      <c r="U197" s="90">
        <v>8500069712</v>
      </c>
      <c r="V197" s="90">
        <v>5000515555</v>
      </c>
      <c r="W197" s="109"/>
      <c r="X197" s="106">
        <v>550</v>
      </c>
      <c r="Y197" s="106">
        <v>5500</v>
      </c>
      <c r="Z197" s="106"/>
      <c r="AA197" s="106">
        <f t="shared" si="10"/>
        <v>0</v>
      </c>
      <c r="AB197" s="106">
        <f t="shared" si="11"/>
        <v>0</v>
      </c>
      <c r="AC197" s="94"/>
      <c r="AD197" s="94"/>
      <c r="AE197" s="94"/>
      <c r="AF197" s="94"/>
      <c r="AG197" s="94"/>
      <c r="AH197" s="263"/>
    </row>
    <row r="198" spans="1:34" ht="32.25" customHeight="1">
      <c r="A198" s="90" t="s">
        <v>652</v>
      </c>
      <c r="B198" s="88">
        <v>6000029719</v>
      </c>
      <c r="C198" s="192" t="s">
        <v>2060</v>
      </c>
      <c r="D198" s="117">
        <v>2442662</v>
      </c>
      <c r="E198" s="94">
        <v>10</v>
      </c>
      <c r="F198" s="74">
        <v>500</v>
      </c>
      <c r="G198" s="45">
        <f t="shared" ref="G198:G263" si="13">F198*E198</f>
        <v>5000</v>
      </c>
      <c r="H198" s="119" t="s">
        <v>27</v>
      </c>
      <c r="I198" s="128">
        <v>45411</v>
      </c>
      <c r="J198" s="74">
        <v>500</v>
      </c>
      <c r="K198" s="74">
        <v>7</v>
      </c>
      <c r="L198" s="156">
        <v>45408</v>
      </c>
      <c r="M198" s="90">
        <v>5000</v>
      </c>
      <c r="N198" s="90">
        <v>50</v>
      </c>
      <c r="O198" s="90" t="s">
        <v>1602</v>
      </c>
      <c r="P198" s="94" t="s">
        <v>160</v>
      </c>
      <c r="Q198" s="94">
        <v>8500069715</v>
      </c>
      <c r="R198" s="94">
        <v>5000529356</v>
      </c>
      <c r="S198" s="94"/>
      <c r="T198" s="90" t="s">
        <v>655</v>
      </c>
      <c r="U198" s="90">
        <v>8500069714</v>
      </c>
      <c r="V198" s="90">
        <v>5000516550</v>
      </c>
      <c r="W198" s="109" t="s">
        <v>3565</v>
      </c>
      <c r="X198" s="106">
        <v>500</v>
      </c>
      <c r="Y198" s="106">
        <v>5000</v>
      </c>
      <c r="Z198" s="106" t="s">
        <v>1980</v>
      </c>
      <c r="AA198" s="106">
        <f t="shared" si="10"/>
        <v>0</v>
      </c>
      <c r="AB198" s="106">
        <f t="shared" si="11"/>
        <v>0</v>
      </c>
      <c r="AC198" s="94"/>
      <c r="AD198" s="94"/>
      <c r="AE198" s="94"/>
      <c r="AF198" s="94"/>
      <c r="AG198" s="94"/>
      <c r="AH198" s="263"/>
    </row>
    <row r="199" spans="1:34" ht="32.25" customHeight="1">
      <c r="A199" s="90"/>
      <c r="B199" s="88"/>
      <c r="C199" s="192"/>
      <c r="D199" s="117"/>
      <c r="E199" s="94">
        <v>10</v>
      </c>
      <c r="F199" s="74">
        <v>550</v>
      </c>
      <c r="G199" s="45">
        <f t="shared" si="13"/>
        <v>5500</v>
      </c>
      <c r="H199" s="119" t="s">
        <v>46</v>
      </c>
      <c r="I199" s="128">
        <v>45425</v>
      </c>
      <c r="J199" s="74">
        <v>550</v>
      </c>
      <c r="K199" s="74">
        <v>7</v>
      </c>
      <c r="L199" s="156">
        <v>45423</v>
      </c>
      <c r="M199" s="90">
        <v>5500</v>
      </c>
      <c r="N199" s="90">
        <v>50</v>
      </c>
      <c r="O199" s="90" t="s">
        <v>1509</v>
      </c>
      <c r="P199" s="94" t="s">
        <v>160</v>
      </c>
      <c r="Q199" s="94">
        <v>8500071412</v>
      </c>
      <c r="R199" s="94">
        <v>5000592015</v>
      </c>
      <c r="S199" s="94"/>
      <c r="T199" s="90" t="s">
        <v>655</v>
      </c>
      <c r="U199" s="90">
        <v>8500069714</v>
      </c>
      <c r="V199" s="90">
        <v>5000578183</v>
      </c>
      <c r="W199" s="109">
        <v>45444</v>
      </c>
      <c r="X199" s="106">
        <v>550</v>
      </c>
      <c r="Y199" s="106">
        <v>5500</v>
      </c>
      <c r="Z199" s="106" t="s">
        <v>817</v>
      </c>
      <c r="AA199" s="106">
        <f t="shared" si="10"/>
        <v>0</v>
      </c>
      <c r="AB199" s="106">
        <f t="shared" si="11"/>
        <v>0</v>
      </c>
      <c r="AC199" s="94"/>
      <c r="AD199" s="94"/>
      <c r="AE199" s="94"/>
      <c r="AF199" s="94"/>
      <c r="AG199" s="94"/>
      <c r="AH199" s="263"/>
    </row>
    <row r="200" spans="1:34" ht="32.25" customHeight="1">
      <c r="A200" s="90"/>
      <c r="B200" s="88"/>
      <c r="C200" s="192"/>
      <c r="D200" s="117"/>
      <c r="E200" s="94">
        <v>10</v>
      </c>
      <c r="F200" s="74">
        <v>2000</v>
      </c>
      <c r="G200" s="45">
        <f t="shared" si="13"/>
        <v>20000</v>
      </c>
      <c r="H200" s="119" t="s">
        <v>46</v>
      </c>
      <c r="I200" s="128">
        <v>45411</v>
      </c>
      <c r="J200" s="74">
        <v>2000</v>
      </c>
      <c r="K200" s="74">
        <f>22+3</f>
        <v>25</v>
      </c>
      <c r="L200" s="156">
        <v>45408</v>
      </c>
      <c r="M200" s="90">
        <v>20000</v>
      </c>
      <c r="N200" s="90">
        <v>150</v>
      </c>
      <c r="O200" s="90" t="s">
        <v>1743</v>
      </c>
      <c r="P200" s="94" t="s">
        <v>160</v>
      </c>
      <c r="Q200" s="94">
        <v>8500069715</v>
      </c>
      <c r="R200" s="94">
        <v>5000529356</v>
      </c>
      <c r="S200" s="74"/>
      <c r="T200" s="90" t="s">
        <v>655</v>
      </c>
      <c r="U200" s="90">
        <v>8500069714</v>
      </c>
      <c r="V200" s="90">
        <v>5000516550</v>
      </c>
      <c r="W200" s="109">
        <v>45444</v>
      </c>
      <c r="X200" s="106">
        <v>2000</v>
      </c>
      <c r="Y200" s="106">
        <v>20000</v>
      </c>
      <c r="Z200" s="106" t="s">
        <v>817</v>
      </c>
      <c r="AA200" s="106">
        <f t="shared" si="10"/>
        <v>0</v>
      </c>
      <c r="AB200" s="106">
        <f t="shared" si="11"/>
        <v>0</v>
      </c>
      <c r="AC200" s="94"/>
      <c r="AD200" s="94"/>
      <c r="AE200" s="94"/>
      <c r="AF200" s="94"/>
      <c r="AG200" s="94"/>
      <c r="AH200" s="263"/>
    </row>
    <row r="201" spans="1:34" ht="32.25" customHeight="1">
      <c r="A201" s="90"/>
      <c r="B201" s="88"/>
      <c r="C201" s="192"/>
      <c r="D201" s="117"/>
      <c r="E201" s="94">
        <v>10</v>
      </c>
      <c r="F201" s="74">
        <v>1000</v>
      </c>
      <c r="G201" s="45">
        <f t="shared" si="13"/>
        <v>10000</v>
      </c>
      <c r="H201" s="119" t="s">
        <v>37</v>
      </c>
      <c r="I201" s="128">
        <v>45411</v>
      </c>
      <c r="J201" s="74">
        <v>1000</v>
      </c>
      <c r="K201" s="74">
        <f>12+2</f>
        <v>14</v>
      </c>
      <c r="L201" s="156">
        <v>45408</v>
      </c>
      <c r="M201" s="90">
        <v>10000</v>
      </c>
      <c r="N201" s="90">
        <v>100</v>
      </c>
      <c r="O201" s="90" t="s">
        <v>2732</v>
      </c>
      <c r="P201" s="94" t="s">
        <v>160</v>
      </c>
      <c r="Q201" s="94">
        <v>8500069715</v>
      </c>
      <c r="R201" s="94">
        <v>5000529356</v>
      </c>
      <c r="S201" s="94"/>
      <c r="T201" s="90" t="s">
        <v>655</v>
      </c>
      <c r="U201" s="90">
        <v>8500069714</v>
      </c>
      <c r="V201" s="90">
        <v>5000516550</v>
      </c>
      <c r="W201" s="109">
        <v>45454</v>
      </c>
      <c r="X201" s="106">
        <v>1000</v>
      </c>
      <c r="Y201" s="106">
        <v>10000</v>
      </c>
      <c r="Z201" s="106" t="s">
        <v>35</v>
      </c>
      <c r="AA201" s="106">
        <f t="shared" si="10"/>
        <v>0</v>
      </c>
      <c r="AB201" s="106">
        <f t="shared" si="11"/>
        <v>0</v>
      </c>
      <c r="AC201" s="94"/>
      <c r="AD201" s="94"/>
      <c r="AE201" s="94"/>
      <c r="AF201" s="94"/>
      <c r="AG201" s="94"/>
      <c r="AH201" s="263"/>
    </row>
    <row r="202" spans="1:34" ht="32.25" customHeight="1">
      <c r="A202" s="45"/>
      <c r="B202" s="121"/>
      <c r="C202" s="192"/>
      <c r="D202" s="192"/>
      <c r="E202" s="94">
        <v>10</v>
      </c>
      <c r="F202" s="74">
        <v>550</v>
      </c>
      <c r="G202" s="45">
        <f t="shared" si="13"/>
        <v>5500</v>
      </c>
      <c r="H202" s="119" t="s">
        <v>146</v>
      </c>
      <c r="I202" s="128">
        <v>45411</v>
      </c>
      <c r="J202" s="74">
        <v>550</v>
      </c>
      <c r="K202" s="74">
        <v>7</v>
      </c>
      <c r="L202" s="156">
        <v>45408</v>
      </c>
      <c r="M202" s="90">
        <v>5500</v>
      </c>
      <c r="N202" s="90">
        <v>50</v>
      </c>
      <c r="O202" s="90" t="s">
        <v>1602</v>
      </c>
      <c r="P202" s="94" t="s">
        <v>160</v>
      </c>
      <c r="Q202" s="94">
        <v>8500069715</v>
      </c>
      <c r="R202" s="94">
        <v>5000529356</v>
      </c>
      <c r="S202" s="94"/>
      <c r="T202" s="90" t="s">
        <v>655</v>
      </c>
      <c r="U202" s="90">
        <v>8500069714</v>
      </c>
      <c r="V202" s="90">
        <v>5000516550</v>
      </c>
      <c r="W202" s="109"/>
      <c r="X202" s="106">
        <v>550</v>
      </c>
      <c r="Y202" s="106">
        <v>5500</v>
      </c>
      <c r="Z202" s="106"/>
      <c r="AA202" s="106">
        <f t="shared" si="10"/>
        <v>0</v>
      </c>
      <c r="AB202" s="106">
        <f t="shared" si="11"/>
        <v>0</v>
      </c>
      <c r="AC202" s="94"/>
      <c r="AD202" s="94"/>
      <c r="AE202" s="94"/>
      <c r="AF202" s="94"/>
      <c r="AG202" s="94"/>
      <c r="AH202" s="263"/>
    </row>
    <row r="203" spans="1:34" ht="32.25" customHeight="1">
      <c r="A203" s="90" t="s">
        <v>652</v>
      </c>
      <c r="B203" s="88">
        <v>6000030368</v>
      </c>
      <c r="C203" s="192" t="s">
        <v>653</v>
      </c>
      <c r="D203" s="117">
        <v>2442649</v>
      </c>
      <c r="E203" s="94">
        <v>10</v>
      </c>
      <c r="F203" s="74">
        <v>200</v>
      </c>
      <c r="G203" s="45">
        <f t="shared" si="13"/>
        <v>2000</v>
      </c>
      <c r="H203" s="119" t="s">
        <v>27</v>
      </c>
      <c r="I203" s="128">
        <v>45416</v>
      </c>
      <c r="J203" s="74">
        <v>200</v>
      </c>
      <c r="K203" s="74">
        <f>8+5</f>
        <v>13</v>
      </c>
      <c r="L203" s="156">
        <v>45421</v>
      </c>
      <c r="M203" s="90">
        <v>2000</v>
      </c>
      <c r="N203" s="90">
        <v>50</v>
      </c>
      <c r="O203" s="90" t="s">
        <v>737</v>
      </c>
      <c r="P203" s="94" t="s">
        <v>160</v>
      </c>
      <c r="Q203" s="94">
        <v>8500070859</v>
      </c>
      <c r="R203" s="94">
        <v>5000567876</v>
      </c>
      <c r="S203" s="94"/>
      <c r="T203" s="90" t="s">
        <v>655</v>
      </c>
      <c r="U203" s="90">
        <v>8500070858</v>
      </c>
      <c r="V203" s="90">
        <v>5000572832</v>
      </c>
      <c r="W203" s="109">
        <v>45441</v>
      </c>
      <c r="X203" s="106">
        <v>200</v>
      </c>
      <c r="Y203" s="106">
        <v>2000</v>
      </c>
      <c r="Z203" s="106" t="s">
        <v>3651</v>
      </c>
      <c r="AA203" s="106">
        <f t="shared" ref="AA203:AA243" si="14">J203-X203</f>
        <v>0</v>
      </c>
      <c r="AB203" s="106">
        <f t="shared" ref="AB203:AB243" si="15">M203-Y203</f>
        <v>0</v>
      </c>
      <c r="AC203" s="94"/>
      <c r="AD203" s="94"/>
      <c r="AE203" s="94"/>
      <c r="AF203" s="94"/>
      <c r="AG203" s="94"/>
      <c r="AH203" s="263"/>
    </row>
    <row r="204" spans="1:34" ht="32.25" customHeight="1">
      <c r="A204" s="90"/>
      <c r="B204" s="88"/>
      <c r="C204" s="192"/>
      <c r="D204" s="192"/>
      <c r="E204" s="94">
        <v>10</v>
      </c>
      <c r="F204" s="74">
        <v>950</v>
      </c>
      <c r="G204" s="45">
        <f t="shared" si="13"/>
        <v>9500</v>
      </c>
      <c r="H204" s="119" t="s">
        <v>46</v>
      </c>
      <c r="I204" s="128">
        <v>45419</v>
      </c>
      <c r="J204" s="74">
        <v>950</v>
      </c>
      <c r="K204" s="74">
        <f>15+5</f>
        <v>20</v>
      </c>
      <c r="L204" s="156">
        <v>45423</v>
      </c>
      <c r="M204" s="90">
        <v>9500</v>
      </c>
      <c r="N204" s="90">
        <v>80</v>
      </c>
      <c r="O204" s="90" t="s">
        <v>1743</v>
      </c>
      <c r="P204" s="94" t="s">
        <v>160</v>
      </c>
      <c r="Q204" s="94">
        <v>8500070859</v>
      </c>
      <c r="R204" s="94">
        <v>5000567876</v>
      </c>
      <c r="S204" s="94"/>
      <c r="T204" s="90" t="s">
        <v>655</v>
      </c>
      <c r="U204" s="90">
        <v>8500070858</v>
      </c>
      <c r="V204" s="90">
        <v>5000578180</v>
      </c>
      <c r="W204" s="109">
        <v>45460</v>
      </c>
      <c r="X204" s="106">
        <v>950</v>
      </c>
      <c r="Y204" s="106">
        <v>9500</v>
      </c>
      <c r="Z204" s="106" t="s">
        <v>2197</v>
      </c>
      <c r="AA204" s="106">
        <f t="shared" si="14"/>
        <v>0</v>
      </c>
      <c r="AB204" s="106">
        <f t="shared" si="15"/>
        <v>0</v>
      </c>
      <c r="AC204" s="94"/>
      <c r="AD204" s="94"/>
      <c r="AE204" s="94"/>
      <c r="AF204" s="94"/>
      <c r="AG204" s="94"/>
      <c r="AH204" s="263"/>
    </row>
    <row r="205" spans="1:34" ht="32.25" customHeight="1">
      <c r="A205" s="90"/>
      <c r="B205" s="88"/>
      <c r="C205" s="192"/>
      <c r="D205" s="192"/>
      <c r="E205" s="94">
        <v>10</v>
      </c>
      <c r="F205" s="74">
        <v>600</v>
      </c>
      <c r="G205" s="45">
        <f t="shared" si="13"/>
        <v>6000</v>
      </c>
      <c r="H205" s="119" t="s">
        <v>37</v>
      </c>
      <c r="I205" s="128">
        <v>45419</v>
      </c>
      <c r="J205" s="74">
        <v>600</v>
      </c>
      <c r="K205" s="74">
        <f>11+3</f>
        <v>14</v>
      </c>
      <c r="L205" s="156" t="s">
        <v>3549</v>
      </c>
      <c r="M205" s="90">
        <f>1500+4500</f>
        <v>6000</v>
      </c>
      <c r="N205" s="90">
        <v>70</v>
      </c>
      <c r="O205" s="90" t="s">
        <v>3550</v>
      </c>
      <c r="P205" s="94" t="s">
        <v>160</v>
      </c>
      <c r="Q205" s="94">
        <v>8500070859</v>
      </c>
      <c r="R205" s="94">
        <v>5000567876</v>
      </c>
      <c r="S205" s="94"/>
      <c r="T205" s="90" t="s">
        <v>655</v>
      </c>
      <c r="U205" s="90">
        <v>8500070858</v>
      </c>
      <c r="V205" s="372" t="s">
        <v>3548</v>
      </c>
      <c r="W205" s="109" t="s">
        <v>3690</v>
      </c>
      <c r="X205" s="106">
        <v>600</v>
      </c>
      <c r="Y205" s="106">
        <v>6000</v>
      </c>
      <c r="Z205" s="106"/>
      <c r="AA205" s="106">
        <f t="shared" si="14"/>
        <v>0</v>
      </c>
      <c r="AB205" s="106">
        <f t="shared" si="15"/>
        <v>0</v>
      </c>
      <c r="AC205" s="94"/>
      <c r="AD205" s="94"/>
      <c r="AE205" s="94"/>
      <c r="AF205" s="94"/>
      <c r="AG205" s="94"/>
      <c r="AH205" s="263"/>
    </row>
    <row r="206" spans="1:34" ht="32.25" customHeight="1">
      <c r="A206" s="90"/>
      <c r="B206" s="88"/>
      <c r="C206" s="192"/>
      <c r="D206" s="192"/>
      <c r="E206" s="94">
        <v>10</v>
      </c>
      <c r="F206" s="74">
        <v>400</v>
      </c>
      <c r="G206" s="45">
        <f t="shared" si="13"/>
        <v>4000</v>
      </c>
      <c r="H206" s="119" t="s">
        <v>146</v>
      </c>
      <c r="I206" s="128">
        <v>45419</v>
      </c>
      <c r="J206" s="74">
        <v>400</v>
      </c>
      <c r="K206" s="74">
        <f>9+2</f>
        <v>11</v>
      </c>
      <c r="L206" s="156">
        <v>45423</v>
      </c>
      <c r="M206" s="90">
        <v>4000</v>
      </c>
      <c r="N206" s="90">
        <v>50</v>
      </c>
      <c r="O206" s="90" t="s">
        <v>1846</v>
      </c>
      <c r="P206" s="94" t="s">
        <v>160</v>
      </c>
      <c r="Q206" s="94">
        <v>8500070859</v>
      </c>
      <c r="R206" s="94">
        <v>5000567876</v>
      </c>
      <c r="S206" s="94"/>
      <c r="T206" s="90" t="s">
        <v>655</v>
      </c>
      <c r="U206" s="90">
        <v>8500070858</v>
      </c>
      <c r="V206" s="90">
        <v>5000578180</v>
      </c>
      <c r="W206" s="109" t="s">
        <v>3695</v>
      </c>
      <c r="X206" s="106">
        <f>235+165</f>
        <v>400</v>
      </c>
      <c r="Y206" s="106">
        <f>2350+1650</f>
        <v>4000</v>
      </c>
      <c r="Z206" s="106" t="s">
        <v>3696</v>
      </c>
      <c r="AA206" s="106">
        <f t="shared" si="14"/>
        <v>0</v>
      </c>
      <c r="AB206" s="106">
        <f t="shared" si="15"/>
        <v>0</v>
      </c>
      <c r="AC206" s="94"/>
      <c r="AD206" s="94"/>
      <c r="AE206" s="94"/>
      <c r="AF206" s="94"/>
      <c r="AG206" s="94"/>
      <c r="AH206" s="263"/>
    </row>
    <row r="207" spans="1:34" ht="32.25" customHeight="1">
      <c r="A207" s="90" t="s">
        <v>652</v>
      </c>
      <c r="B207" s="88">
        <v>6000030369</v>
      </c>
      <c r="C207" s="192" t="s">
        <v>653</v>
      </c>
      <c r="D207" s="117">
        <v>2442650</v>
      </c>
      <c r="E207" s="94">
        <v>10</v>
      </c>
      <c r="F207" s="74">
        <v>500</v>
      </c>
      <c r="G207" s="45">
        <f t="shared" si="13"/>
        <v>5000</v>
      </c>
      <c r="H207" s="119" t="s">
        <v>46</v>
      </c>
      <c r="I207" s="128">
        <v>45419</v>
      </c>
      <c r="J207" s="74">
        <v>500</v>
      </c>
      <c r="K207" s="74">
        <f>6+3</f>
        <v>9</v>
      </c>
      <c r="L207" s="156">
        <v>45425</v>
      </c>
      <c r="M207" s="90">
        <v>5000</v>
      </c>
      <c r="N207" s="90">
        <v>50</v>
      </c>
      <c r="O207" s="90" t="s">
        <v>1848</v>
      </c>
      <c r="P207" s="94" t="s">
        <v>160</v>
      </c>
      <c r="Q207" s="94">
        <v>8500070861</v>
      </c>
      <c r="R207" s="94">
        <v>5000567877</v>
      </c>
      <c r="S207" s="94"/>
      <c r="T207" s="90" t="s">
        <v>655</v>
      </c>
      <c r="U207" s="90">
        <v>8500070860</v>
      </c>
      <c r="V207" s="90">
        <v>5000588504</v>
      </c>
      <c r="W207" s="109">
        <v>45447</v>
      </c>
      <c r="X207" s="106">
        <v>500</v>
      </c>
      <c r="Y207" s="106">
        <v>5000</v>
      </c>
      <c r="Z207" s="106" t="s">
        <v>800</v>
      </c>
      <c r="AA207" s="106">
        <f t="shared" si="14"/>
        <v>0</v>
      </c>
      <c r="AB207" s="106">
        <f t="shared" si="15"/>
        <v>0</v>
      </c>
      <c r="AC207" s="94"/>
      <c r="AD207" s="94"/>
      <c r="AE207" s="94"/>
      <c r="AF207" s="94"/>
      <c r="AG207" s="94"/>
      <c r="AH207" s="263"/>
    </row>
    <row r="208" spans="1:34" ht="32.25" customHeight="1">
      <c r="A208" s="90"/>
      <c r="B208" s="88"/>
      <c r="C208" s="192"/>
      <c r="D208" s="117"/>
      <c r="E208" s="94">
        <v>10</v>
      </c>
      <c r="F208" s="74">
        <v>500</v>
      </c>
      <c r="G208" s="45">
        <f t="shared" si="13"/>
        <v>5000</v>
      </c>
      <c r="H208" s="119" t="s">
        <v>46</v>
      </c>
      <c r="I208" s="128">
        <v>45457</v>
      </c>
      <c r="J208" s="74">
        <v>500</v>
      </c>
      <c r="K208" s="74">
        <v>7</v>
      </c>
      <c r="L208" s="156">
        <v>45457</v>
      </c>
      <c r="M208" s="90">
        <v>5000</v>
      </c>
      <c r="N208" s="90">
        <v>50</v>
      </c>
      <c r="O208" s="90" t="s">
        <v>1584</v>
      </c>
      <c r="P208" s="94" t="s">
        <v>160</v>
      </c>
      <c r="Q208" s="94">
        <v>8500072704</v>
      </c>
      <c r="R208" s="94">
        <v>5000744449</v>
      </c>
      <c r="S208" s="94"/>
      <c r="T208" s="90" t="s">
        <v>655</v>
      </c>
      <c r="U208" s="90">
        <v>8500072703</v>
      </c>
      <c r="V208" s="90">
        <v>5000744356</v>
      </c>
      <c r="W208" s="109">
        <v>45458</v>
      </c>
      <c r="X208" s="106">
        <v>500</v>
      </c>
      <c r="Y208" s="106">
        <v>5000</v>
      </c>
      <c r="Z208" s="106" t="s">
        <v>2197</v>
      </c>
      <c r="AA208" s="106">
        <f>J208-X208</f>
        <v>0</v>
      </c>
      <c r="AB208" s="106">
        <f>M208-Y208</f>
        <v>0</v>
      </c>
      <c r="AC208" s="94"/>
      <c r="AD208" s="94"/>
      <c r="AE208" s="94"/>
      <c r="AF208" s="94"/>
      <c r="AG208" s="94"/>
      <c r="AH208" s="263"/>
    </row>
    <row r="209" spans="1:34" ht="32.25" customHeight="1">
      <c r="A209" s="90"/>
      <c r="B209" s="88"/>
      <c r="C209" s="192"/>
      <c r="D209" s="117"/>
      <c r="E209" s="94">
        <v>10</v>
      </c>
      <c r="F209" s="74">
        <v>1650</v>
      </c>
      <c r="G209" s="45">
        <f t="shared" si="13"/>
        <v>16500</v>
      </c>
      <c r="H209" s="119" t="s">
        <v>37</v>
      </c>
      <c r="I209" s="128">
        <v>45419</v>
      </c>
      <c r="J209" s="74">
        <v>1650</v>
      </c>
      <c r="K209" s="74">
        <f>17+6</f>
        <v>23</v>
      </c>
      <c r="L209" s="156" t="s">
        <v>3552</v>
      </c>
      <c r="M209" s="45">
        <f>14100+2400</f>
        <v>16500</v>
      </c>
      <c r="N209" s="90">
        <v>150</v>
      </c>
      <c r="O209" s="90" t="s">
        <v>3634</v>
      </c>
      <c r="P209" s="94" t="s">
        <v>160</v>
      </c>
      <c r="Q209" s="94">
        <v>8500070861</v>
      </c>
      <c r="R209" s="94">
        <v>5000567877</v>
      </c>
      <c r="S209" s="94"/>
      <c r="T209" s="90" t="s">
        <v>655</v>
      </c>
      <c r="U209" s="90">
        <v>8500070860</v>
      </c>
      <c r="V209" s="90">
        <v>5000578182</v>
      </c>
      <c r="W209" s="109" t="s">
        <v>3681</v>
      </c>
      <c r="X209" s="106">
        <f>400+500+750</f>
        <v>1650</v>
      </c>
      <c r="Y209" s="106">
        <f>4000+5000+7500</f>
        <v>16500</v>
      </c>
      <c r="Z209" s="106" t="s">
        <v>3682</v>
      </c>
      <c r="AA209" s="106">
        <f>J209-X209</f>
        <v>0</v>
      </c>
      <c r="AB209" s="106">
        <f>M209-Y209</f>
        <v>0</v>
      </c>
      <c r="AC209" s="94" t="s">
        <v>3633</v>
      </c>
      <c r="AD209" s="94"/>
      <c r="AE209" s="94"/>
      <c r="AF209" s="94"/>
      <c r="AG209" s="94"/>
      <c r="AH209" s="263"/>
    </row>
    <row r="210" spans="1:34" ht="32.25" customHeight="1">
      <c r="A210" s="90"/>
      <c r="B210" s="88"/>
      <c r="C210" s="192"/>
      <c r="D210" s="117"/>
      <c r="E210" s="94">
        <v>10</v>
      </c>
      <c r="F210" s="74">
        <v>400</v>
      </c>
      <c r="G210" s="45">
        <f t="shared" si="13"/>
        <v>4000</v>
      </c>
      <c r="H210" s="119" t="s">
        <v>37</v>
      </c>
      <c r="I210" s="128">
        <v>45457</v>
      </c>
      <c r="J210" s="74">
        <v>400</v>
      </c>
      <c r="K210" s="74">
        <f>6+1</f>
        <v>7</v>
      </c>
      <c r="L210" s="156">
        <v>45457</v>
      </c>
      <c r="M210" s="45">
        <v>4000</v>
      </c>
      <c r="N210" s="90">
        <v>40</v>
      </c>
      <c r="O210" s="90" t="s">
        <v>2447</v>
      </c>
      <c r="P210" s="94" t="s">
        <v>160</v>
      </c>
      <c r="Q210" s="94">
        <v>8500072704</v>
      </c>
      <c r="R210" s="94">
        <v>5000744449</v>
      </c>
      <c r="S210" s="94"/>
      <c r="T210" s="90" t="s">
        <v>655</v>
      </c>
      <c r="U210" s="90">
        <v>8500072703</v>
      </c>
      <c r="V210" s="90">
        <v>5000744356</v>
      </c>
      <c r="W210" s="109">
        <v>45458</v>
      </c>
      <c r="X210" s="106">
        <v>400</v>
      </c>
      <c r="Y210" s="106">
        <v>4000</v>
      </c>
      <c r="Z210" s="106" t="s">
        <v>798</v>
      </c>
      <c r="AA210" s="106">
        <f>J210-X210</f>
        <v>0</v>
      </c>
      <c r="AB210" s="106">
        <f>M210-Y210</f>
        <v>0</v>
      </c>
      <c r="AC210" s="94"/>
      <c r="AD210" s="94"/>
      <c r="AE210" s="94"/>
      <c r="AF210" s="94"/>
      <c r="AG210" s="94"/>
      <c r="AH210" s="263"/>
    </row>
    <row r="211" spans="1:34" ht="32.25" customHeight="1">
      <c r="A211" s="90" t="s">
        <v>652</v>
      </c>
      <c r="B211" s="88">
        <v>6000030370</v>
      </c>
      <c r="C211" s="192" t="s">
        <v>653</v>
      </c>
      <c r="D211" s="117">
        <v>2442651</v>
      </c>
      <c r="E211" s="94">
        <v>10</v>
      </c>
      <c r="F211" s="74">
        <v>650</v>
      </c>
      <c r="G211" s="45">
        <f t="shared" si="13"/>
        <v>6500</v>
      </c>
      <c r="H211" s="119" t="s">
        <v>46</v>
      </c>
      <c r="I211" s="351">
        <v>45416</v>
      </c>
      <c r="J211" s="74">
        <v>650</v>
      </c>
      <c r="K211" s="74">
        <v>8</v>
      </c>
      <c r="L211" s="156">
        <v>45425</v>
      </c>
      <c r="M211" s="90">
        <v>6500</v>
      </c>
      <c r="N211" s="90">
        <v>100</v>
      </c>
      <c r="O211" s="90" t="s">
        <v>1848</v>
      </c>
      <c r="P211" s="94" t="s">
        <v>160</v>
      </c>
      <c r="Q211" s="94">
        <v>8500070863</v>
      </c>
      <c r="R211" s="94">
        <v>5000567878</v>
      </c>
      <c r="S211" s="94"/>
      <c r="T211" s="90" t="s">
        <v>655</v>
      </c>
      <c r="U211" s="90">
        <v>8500070862</v>
      </c>
      <c r="V211" s="90">
        <v>5000588505</v>
      </c>
      <c r="W211" s="109">
        <v>45454</v>
      </c>
      <c r="X211" s="106">
        <v>650</v>
      </c>
      <c r="Y211" s="106">
        <v>6500</v>
      </c>
      <c r="Z211" s="106" t="s">
        <v>2197</v>
      </c>
      <c r="AA211" s="106">
        <f t="shared" si="14"/>
        <v>0</v>
      </c>
      <c r="AB211" s="106">
        <f t="shared" si="15"/>
        <v>0</v>
      </c>
      <c r="AC211" s="94"/>
      <c r="AD211" s="94"/>
      <c r="AE211" s="94"/>
      <c r="AF211" s="94"/>
      <c r="AG211" s="94"/>
      <c r="AH211" s="263"/>
    </row>
    <row r="212" spans="1:34" ht="32.25" customHeight="1">
      <c r="A212" s="90"/>
      <c r="B212" s="88"/>
      <c r="C212" s="192"/>
      <c r="D212" s="192"/>
      <c r="E212" s="94">
        <v>10</v>
      </c>
      <c r="F212" s="74">
        <v>1350</v>
      </c>
      <c r="G212" s="45">
        <f t="shared" si="13"/>
        <v>13500</v>
      </c>
      <c r="H212" s="119" t="s">
        <v>37</v>
      </c>
      <c r="I212" s="351">
        <v>45416</v>
      </c>
      <c r="J212" s="74">
        <v>1350</v>
      </c>
      <c r="K212" s="74">
        <f>15+2</f>
        <v>17</v>
      </c>
      <c r="L212" s="156">
        <v>45425</v>
      </c>
      <c r="M212" s="90">
        <v>13500</v>
      </c>
      <c r="N212" s="90">
        <v>100</v>
      </c>
      <c r="O212" s="90" t="s">
        <v>1848</v>
      </c>
      <c r="P212" s="94" t="s">
        <v>160</v>
      </c>
      <c r="Q212" s="94">
        <v>8500070863</v>
      </c>
      <c r="R212" s="94">
        <v>5000567878</v>
      </c>
      <c r="S212" s="94"/>
      <c r="T212" s="90" t="s">
        <v>655</v>
      </c>
      <c r="U212" s="90">
        <v>8500070862</v>
      </c>
      <c r="V212" s="90">
        <v>5000588505</v>
      </c>
      <c r="W212" s="109" t="s">
        <v>3688</v>
      </c>
      <c r="X212" s="106">
        <f>500+850</f>
        <v>1350</v>
      </c>
      <c r="Y212" s="106">
        <f>5000+8500</f>
        <v>13500</v>
      </c>
      <c r="Z212" s="106" t="s">
        <v>3689</v>
      </c>
      <c r="AA212" s="106">
        <f t="shared" si="14"/>
        <v>0</v>
      </c>
      <c r="AB212" s="106">
        <f t="shared" si="15"/>
        <v>0</v>
      </c>
      <c r="AC212" s="94"/>
      <c r="AD212" s="94"/>
      <c r="AE212" s="94"/>
      <c r="AF212" s="94"/>
      <c r="AG212" s="94"/>
      <c r="AH212" s="263"/>
    </row>
    <row r="213" spans="1:34" ht="32.25" customHeight="1">
      <c r="A213" s="90"/>
      <c r="B213" s="88"/>
      <c r="C213" s="192"/>
      <c r="D213" s="192"/>
      <c r="E213" s="94">
        <v>10</v>
      </c>
      <c r="F213" s="74">
        <v>150</v>
      </c>
      <c r="G213" s="45">
        <f t="shared" si="13"/>
        <v>1500</v>
      </c>
      <c r="H213" s="119" t="s">
        <v>146</v>
      </c>
      <c r="I213" s="128">
        <v>45419</v>
      </c>
      <c r="J213" s="158">
        <v>150</v>
      </c>
      <c r="K213" s="74">
        <f>5+5</f>
        <v>10</v>
      </c>
      <c r="L213" s="156">
        <v>45425</v>
      </c>
      <c r="M213" s="90">
        <v>1500</v>
      </c>
      <c r="N213" s="90">
        <v>30</v>
      </c>
      <c r="O213" s="90" t="s">
        <v>1567</v>
      </c>
      <c r="P213" s="94" t="s">
        <v>160</v>
      </c>
      <c r="Q213" s="94">
        <v>8500070863</v>
      </c>
      <c r="R213" s="94">
        <v>5000567878</v>
      </c>
      <c r="S213" s="94"/>
      <c r="T213" s="90" t="s">
        <v>655</v>
      </c>
      <c r="U213" s="90">
        <v>8500070862</v>
      </c>
      <c r="V213" s="90">
        <v>5000588505</v>
      </c>
      <c r="W213" s="109">
        <v>45474</v>
      </c>
      <c r="X213" s="106">
        <v>150</v>
      </c>
      <c r="Y213" s="106">
        <v>1500</v>
      </c>
      <c r="Z213" s="106" t="s">
        <v>800</v>
      </c>
      <c r="AA213" s="106">
        <f t="shared" si="14"/>
        <v>0</v>
      </c>
      <c r="AB213" s="106">
        <f t="shared" si="15"/>
        <v>0</v>
      </c>
      <c r="AC213" s="94"/>
      <c r="AD213" s="94"/>
      <c r="AE213" s="94"/>
      <c r="AF213" s="94"/>
      <c r="AG213" s="94"/>
      <c r="AH213" s="263"/>
    </row>
    <row r="214" spans="1:34" ht="32.25" customHeight="1">
      <c r="A214" s="90" t="s">
        <v>1750</v>
      </c>
      <c r="B214" s="88">
        <v>6000030170</v>
      </c>
      <c r="C214" s="192" t="s">
        <v>1749</v>
      </c>
      <c r="D214" s="117">
        <v>6000030170</v>
      </c>
      <c r="E214" s="94">
        <v>10</v>
      </c>
      <c r="F214" s="74">
        <v>590</v>
      </c>
      <c r="G214" s="45">
        <f t="shared" si="13"/>
        <v>5900</v>
      </c>
      <c r="H214" s="119" t="s">
        <v>27</v>
      </c>
      <c r="I214" s="351">
        <v>45416</v>
      </c>
      <c r="J214" s="74">
        <v>590</v>
      </c>
      <c r="K214" s="74">
        <f>9+6</f>
        <v>15</v>
      </c>
      <c r="L214" s="156">
        <v>45418</v>
      </c>
      <c r="M214" s="90">
        <v>5900</v>
      </c>
      <c r="N214" s="90">
        <v>30</v>
      </c>
      <c r="O214" s="90" t="s">
        <v>1575</v>
      </c>
      <c r="P214" s="94" t="s">
        <v>160</v>
      </c>
      <c r="Q214" s="94">
        <v>8500071120</v>
      </c>
      <c r="R214" s="94">
        <v>5000544863</v>
      </c>
      <c r="S214" s="94"/>
      <c r="T214" s="90" t="s">
        <v>152</v>
      </c>
      <c r="U214" s="90">
        <v>8500071119</v>
      </c>
      <c r="V214" s="90">
        <v>5000553190</v>
      </c>
      <c r="W214" s="109">
        <v>45421</v>
      </c>
      <c r="X214" s="106">
        <v>590</v>
      </c>
      <c r="Y214" s="106">
        <v>5900</v>
      </c>
      <c r="Z214" s="106" t="s">
        <v>1980</v>
      </c>
      <c r="AA214" s="106">
        <f t="shared" si="14"/>
        <v>0</v>
      </c>
      <c r="AB214" s="106">
        <f t="shared" si="15"/>
        <v>0</v>
      </c>
      <c r="AC214" s="94"/>
      <c r="AD214" s="94"/>
      <c r="AE214" s="94"/>
      <c r="AF214" s="94"/>
      <c r="AG214" s="94"/>
      <c r="AH214" s="263"/>
    </row>
    <row r="215" spans="1:34" ht="32.25" customHeight="1">
      <c r="A215" s="90"/>
      <c r="B215" s="88"/>
      <c r="C215" s="192"/>
      <c r="D215" s="117"/>
      <c r="E215" s="94">
        <v>10</v>
      </c>
      <c r="F215" s="74">
        <v>1100</v>
      </c>
      <c r="G215" s="45">
        <f t="shared" si="13"/>
        <v>11000</v>
      </c>
      <c r="H215" s="119" t="s">
        <v>46</v>
      </c>
      <c r="I215" s="351">
        <v>45416</v>
      </c>
      <c r="J215" s="74">
        <v>1100</v>
      </c>
      <c r="K215" s="74">
        <f>15+9</f>
        <v>24</v>
      </c>
      <c r="L215" s="156">
        <v>45411</v>
      </c>
      <c r="M215" s="90">
        <v>11000</v>
      </c>
      <c r="N215" s="90">
        <v>55</v>
      </c>
      <c r="O215" s="90" t="s">
        <v>1743</v>
      </c>
      <c r="P215" s="94" t="s">
        <v>160</v>
      </c>
      <c r="Q215" s="94">
        <v>8500071120</v>
      </c>
      <c r="R215" s="94">
        <v>5000544863</v>
      </c>
      <c r="S215" s="94"/>
      <c r="T215" s="90" t="s">
        <v>152</v>
      </c>
      <c r="U215" s="90">
        <v>8500071119</v>
      </c>
      <c r="V215" s="90">
        <v>5000526231</v>
      </c>
      <c r="W215" s="109">
        <v>45430</v>
      </c>
      <c r="X215" s="106">
        <v>1100</v>
      </c>
      <c r="Y215" s="106">
        <v>11000</v>
      </c>
      <c r="Z215" s="106" t="s">
        <v>267</v>
      </c>
      <c r="AA215" s="106">
        <f t="shared" si="14"/>
        <v>0</v>
      </c>
      <c r="AB215" s="106">
        <f t="shared" si="15"/>
        <v>0</v>
      </c>
      <c r="AC215" s="94"/>
      <c r="AD215" s="94"/>
      <c r="AE215" s="94"/>
      <c r="AF215" s="94"/>
      <c r="AG215" s="94"/>
      <c r="AH215" s="263"/>
    </row>
    <row r="216" spans="1:34" ht="32.25" customHeight="1">
      <c r="A216" s="90"/>
      <c r="B216" s="88"/>
      <c r="C216" s="192"/>
      <c r="D216" s="117"/>
      <c r="E216" s="94">
        <v>10</v>
      </c>
      <c r="F216" s="74">
        <v>150</v>
      </c>
      <c r="G216" s="45">
        <f t="shared" si="13"/>
        <v>1500</v>
      </c>
      <c r="H216" s="119" t="s">
        <v>37</v>
      </c>
      <c r="I216" s="351">
        <v>45416</v>
      </c>
      <c r="J216" s="74">
        <v>150</v>
      </c>
      <c r="K216" s="74">
        <f>4+3</f>
        <v>7</v>
      </c>
      <c r="L216" s="156">
        <v>45418</v>
      </c>
      <c r="M216" s="90">
        <v>1500</v>
      </c>
      <c r="N216" s="90">
        <v>8</v>
      </c>
      <c r="O216" s="90" t="s">
        <v>1575</v>
      </c>
      <c r="P216" s="94" t="s">
        <v>160</v>
      </c>
      <c r="Q216" s="94">
        <v>8500071120</v>
      </c>
      <c r="R216" s="94">
        <v>5000544863</v>
      </c>
      <c r="S216" s="94"/>
      <c r="T216" s="90" t="s">
        <v>152</v>
      </c>
      <c r="U216" s="90">
        <v>8500071119</v>
      </c>
      <c r="V216" s="90">
        <v>5000553190</v>
      </c>
      <c r="W216" s="109">
        <v>45426</v>
      </c>
      <c r="X216" s="106">
        <v>150</v>
      </c>
      <c r="Y216" s="106">
        <v>1500</v>
      </c>
      <c r="Z216" s="106" t="s">
        <v>1988</v>
      </c>
      <c r="AA216" s="106">
        <f t="shared" si="14"/>
        <v>0</v>
      </c>
      <c r="AB216" s="106">
        <f t="shared" si="15"/>
        <v>0</v>
      </c>
      <c r="AC216" s="94"/>
      <c r="AD216" s="94"/>
      <c r="AE216" s="94"/>
      <c r="AF216" s="94"/>
      <c r="AG216" s="94"/>
      <c r="AH216" s="263"/>
    </row>
    <row r="217" spans="1:34" ht="32.25" customHeight="1">
      <c r="A217" s="90" t="s">
        <v>1750</v>
      </c>
      <c r="B217" s="88">
        <v>6000030170</v>
      </c>
      <c r="C217" s="192" t="s">
        <v>1749</v>
      </c>
      <c r="D217" s="117" t="s">
        <v>244</v>
      </c>
      <c r="E217" s="94"/>
      <c r="F217" s="74">
        <v>2</v>
      </c>
      <c r="G217" s="45">
        <f t="shared" si="13"/>
        <v>0</v>
      </c>
      <c r="H217" s="119" t="s">
        <v>27</v>
      </c>
      <c r="I217" s="128"/>
      <c r="J217" s="74">
        <v>2</v>
      </c>
      <c r="K217" s="564" t="s">
        <v>3505</v>
      </c>
      <c r="L217" s="565"/>
      <c r="M217" s="565"/>
      <c r="N217" s="565"/>
      <c r="O217" s="565"/>
      <c r="P217" s="566"/>
      <c r="Q217" s="94">
        <v>8500071121</v>
      </c>
      <c r="R217" s="94">
        <v>5000551709</v>
      </c>
      <c r="S217" s="94"/>
      <c r="T217" s="90"/>
      <c r="U217" s="90"/>
      <c r="V217" s="90"/>
      <c r="W217" s="109" t="s">
        <v>3646</v>
      </c>
      <c r="X217" s="106">
        <v>2</v>
      </c>
      <c r="Y217" s="106"/>
      <c r="Z217" s="106"/>
      <c r="AA217" s="106">
        <f t="shared" si="14"/>
        <v>0</v>
      </c>
      <c r="AB217" s="106">
        <f t="shared" si="15"/>
        <v>0</v>
      </c>
      <c r="AC217" s="94"/>
      <c r="AD217" s="94"/>
      <c r="AE217" s="94"/>
      <c r="AF217" s="94"/>
      <c r="AG217" s="94"/>
      <c r="AH217" s="263"/>
    </row>
    <row r="218" spans="1:34" ht="32.25" customHeight="1">
      <c r="A218" s="90" t="s">
        <v>2115</v>
      </c>
      <c r="B218" s="88">
        <v>6000029727</v>
      </c>
      <c r="C218" s="192" t="s">
        <v>2113</v>
      </c>
      <c r="D218" s="117" t="s">
        <v>3383</v>
      </c>
      <c r="E218" s="94">
        <v>30</v>
      </c>
      <c r="F218" s="74">
        <v>62</v>
      </c>
      <c r="G218" s="45">
        <f t="shared" si="13"/>
        <v>1860</v>
      </c>
      <c r="H218" s="119" t="s">
        <v>27</v>
      </c>
      <c r="I218" s="128">
        <v>45411</v>
      </c>
      <c r="J218" s="74">
        <v>62</v>
      </c>
      <c r="K218" s="74">
        <v>0</v>
      </c>
      <c r="L218" s="156">
        <v>45411</v>
      </c>
      <c r="M218" s="45">
        <v>1860</v>
      </c>
      <c r="N218" s="90">
        <v>19</v>
      </c>
      <c r="O218" s="90"/>
      <c r="P218" s="94" t="s">
        <v>28</v>
      </c>
      <c r="Q218" s="94">
        <v>8500071336</v>
      </c>
      <c r="R218" s="94">
        <v>5000544309</v>
      </c>
      <c r="S218" s="94"/>
      <c r="T218" s="90" t="s">
        <v>1666</v>
      </c>
      <c r="U218" s="90">
        <v>8500071335</v>
      </c>
      <c r="V218" s="90">
        <v>5000544306</v>
      </c>
      <c r="W218" s="109">
        <v>45425</v>
      </c>
      <c r="X218" s="106">
        <v>62</v>
      </c>
      <c r="Y218" s="106">
        <v>1860</v>
      </c>
      <c r="Z218" s="106" t="s">
        <v>1980</v>
      </c>
      <c r="AA218" s="106">
        <f t="shared" si="14"/>
        <v>0</v>
      </c>
      <c r="AB218" s="106">
        <f t="shared" si="15"/>
        <v>0</v>
      </c>
      <c r="AC218" s="94" t="s">
        <v>3527</v>
      </c>
      <c r="AD218" s="94"/>
      <c r="AE218" s="94"/>
      <c r="AF218" s="94"/>
      <c r="AG218" s="94"/>
      <c r="AH218" s="263"/>
    </row>
    <row r="219" spans="1:34" ht="32.25" customHeight="1">
      <c r="A219" s="90"/>
      <c r="B219" s="88"/>
      <c r="C219" s="192"/>
      <c r="D219" s="117"/>
      <c r="E219" s="94">
        <v>30</v>
      </c>
      <c r="F219" s="74">
        <v>69</v>
      </c>
      <c r="G219" s="45">
        <f t="shared" si="13"/>
        <v>2070</v>
      </c>
      <c r="H219" s="119" t="s">
        <v>46</v>
      </c>
      <c r="I219" s="128">
        <v>45411</v>
      </c>
      <c r="J219" s="74">
        <v>69</v>
      </c>
      <c r="K219" s="74">
        <v>1</v>
      </c>
      <c r="L219" s="156">
        <v>45411</v>
      </c>
      <c r="M219" s="45">
        <v>2070</v>
      </c>
      <c r="N219" s="90">
        <v>21</v>
      </c>
      <c r="O219" s="90"/>
      <c r="P219" s="94" t="s">
        <v>28</v>
      </c>
      <c r="Q219" s="94">
        <v>8500071336</v>
      </c>
      <c r="R219" s="94">
        <v>5000544309</v>
      </c>
      <c r="S219" s="94"/>
      <c r="T219" s="90" t="s">
        <v>1666</v>
      </c>
      <c r="U219" s="90">
        <v>8500071335</v>
      </c>
      <c r="V219" s="90">
        <v>5000544306</v>
      </c>
      <c r="W219" s="109">
        <v>45441</v>
      </c>
      <c r="X219" s="106">
        <v>69</v>
      </c>
      <c r="Y219" s="106">
        <v>2070</v>
      </c>
      <c r="Z219" s="106" t="s">
        <v>817</v>
      </c>
      <c r="AA219" s="106">
        <f t="shared" si="14"/>
        <v>0</v>
      </c>
      <c r="AB219" s="106">
        <f t="shared" si="15"/>
        <v>0</v>
      </c>
      <c r="AC219" s="94" t="s">
        <v>3487</v>
      </c>
      <c r="AD219" s="94"/>
      <c r="AE219" s="94"/>
      <c r="AF219" s="94"/>
      <c r="AG219" s="94"/>
      <c r="AH219" s="263"/>
    </row>
    <row r="220" spans="1:34" ht="32.25" customHeight="1">
      <c r="A220" s="90"/>
      <c r="B220" s="88"/>
      <c r="C220" s="192"/>
      <c r="D220" s="117"/>
      <c r="E220" s="94">
        <v>30</v>
      </c>
      <c r="F220" s="74">
        <v>130</v>
      </c>
      <c r="G220" s="45">
        <f t="shared" si="13"/>
        <v>3900</v>
      </c>
      <c r="H220" s="119" t="s">
        <v>37</v>
      </c>
      <c r="I220" s="128">
        <v>45411</v>
      </c>
      <c r="J220" s="74">
        <v>130</v>
      </c>
      <c r="K220" s="74">
        <v>1</v>
      </c>
      <c r="L220" s="156">
        <v>45411</v>
      </c>
      <c r="M220" s="45">
        <v>3900</v>
      </c>
      <c r="N220" s="90">
        <v>39</v>
      </c>
      <c r="O220" s="90"/>
      <c r="P220" s="94" t="s">
        <v>28</v>
      </c>
      <c r="Q220" s="94">
        <v>8500071336</v>
      </c>
      <c r="R220" s="94">
        <v>5000544309</v>
      </c>
      <c r="S220" s="94"/>
      <c r="T220" s="90" t="s">
        <v>1666</v>
      </c>
      <c r="U220" s="90">
        <v>8500071335</v>
      </c>
      <c r="V220" s="90">
        <v>5000544306</v>
      </c>
      <c r="W220" s="109">
        <v>45450</v>
      </c>
      <c r="X220" s="106">
        <v>130</v>
      </c>
      <c r="Y220" s="106">
        <v>3900</v>
      </c>
      <c r="Z220" s="106" t="s">
        <v>35</v>
      </c>
      <c r="AA220" s="106">
        <f t="shared" si="14"/>
        <v>0</v>
      </c>
      <c r="AB220" s="106">
        <f t="shared" si="15"/>
        <v>0</v>
      </c>
      <c r="AC220" s="94"/>
      <c r="AD220" s="94"/>
      <c r="AE220" s="94"/>
      <c r="AF220" s="94"/>
      <c r="AG220" s="94"/>
      <c r="AH220" s="263"/>
    </row>
    <row r="221" spans="1:34" ht="32.25" customHeight="1">
      <c r="A221" s="90"/>
      <c r="B221" s="88"/>
      <c r="C221" s="192"/>
      <c r="D221" s="117"/>
      <c r="E221" s="94">
        <v>30</v>
      </c>
      <c r="F221" s="74">
        <v>134</v>
      </c>
      <c r="G221" s="45">
        <f t="shared" si="13"/>
        <v>4020</v>
      </c>
      <c r="H221" s="119" t="s">
        <v>146</v>
      </c>
      <c r="I221" s="128">
        <v>45411</v>
      </c>
      <c r="J221" s="74">
        <v>134</v>
      </c>
      <c r="K221" s="74">
        <f>2+1</f>
        <v>3</v>
      </c>
      <c r="L221" s="156">
        <v>45411</v>
      </c>
      <c r="M221" s="45">
        <v>4020</v>
      </c>
      <c r="N221" s="90">
        <v>40</v>
      </c>
      <c r="O221" s="90"/>
      <c r="P221" s="94" t="s">
        <v>28</v>
      </c>
      <c r="Q221" s="94">
        <v>8500071336</v>
      </c>
      <c r="R221" s="94">
        <v>5000544309</v>
      </c>
      <c r="S221" s="94"/>
      <c r="T221" s="90" t="s">
        <v>1666</v>
      </c>
      <c r="U221" s="90">
        <v>8500071335</v>
      </c>
      <c r="V221" s="90">
        <v>5000544306</v>
      </c>
      <c r="W221" s="109">
        <v>45411</v>
      </c>
      <c r="X221" s="106">
        <v>134</v>
      </c>
      <c r="Y221" s="106">
        <v>4020</v>
      </c>
      <c r="Z221" s="106" t="s">
        <v>759</v>
      </c>
      <c r="AA221" s="106">
        <f t="shared" si="14"/>
        <v>0</v>
      </c>
      <c r="AB221" s="106">
        <f t="shared" si="15"/>
        <v>0</v>
      </c>
      <c r="AC221" s="94"/>
      <c r="AD221" s="94"/>
      <c r="AE221" s="94"/>
      <c r="AF221" s="94"/>
      <c r="AG221" s="94"/>
      <c r="AH221" s="263"/>
    </row>
    <row r="222" spans="1:34" ht="32.25" customHeight="1">
      <c r="A222" s="90" t="s">
        <v>2115</v>
      </c>
      <c r="B222" s="88">
        <v>6000029727</v>
      </c>
      <c r="C222" s="192" t="s">
        <v>2116</v>
      </c>
      <c r="D222" s="117"/>
      <c r="E222" s="253">
        <v>30</v>
      </c>
      <c r="F222" s="218">
        <v>51</v>
      </c>
      <c r="G222" s="219">
        <f t="shared" si="13"/>
        <v>1530</v>
      </c>
      <c r="H222" s="227" t="s">
        <v>46</v>
      </c>
      <c r="I222" s="128" t="s">
        <v>1597</v>
      </c>
      <c r="J222" s="74"/>
      <c r="K222" s="74"/>
      <c r="L222" s="156"/>
      <c r="M222" s="90"/>
      <c r="N222" s="90">
        <v>13</v>
      </c>
      <c r="O222" s="90"/>
      <c r="P222" s="94"/>
      <c r="Q222" s="94">
        <v>8500071342</v>
      </c>
      <c r="R222" s="94">
        <v>5000544317</v>
      </c>
      <c r="S222" s="94"/>
      <c r="T222" s="90"/>
      <c r="U222" s="90">
        <v>8500071337</v>
      </c>
      <c r="V222" s="90">
        <v>5000544315</v>
      </c>
      <c r="W222" s="109"/>
      <c r="X222" s="106"/>
      <c r="Y222" s="106"/>
      <c r="Z222" s="106"/>
      <c r="AA222" s="106">
        <f t="shared" si="14"/>
        <v>0</v>
      </c>
      <c r="AB222" s="106">
        <f t="shared" si="15"/>
        <v>0</v>
      </c>
      <c r="AC222" s="94"/>
      <c r="AD222" s="94"/>
      <c r="AE222" s="94"/>
      <c r="AF222" s="94"/>
      <c r="AG222" s="94"/>
      <c r="AH222" s="263"/>
    </row>
    <row r="223" spans="1:34" ht="32.25" customHeight="1">
      <c r="A223" s="90"/>
      <c r="B223" s="88"/>
      <c r="C223" s="192"/>
      <c r="D223" s="117"/>
      <c r="E223" s="253">
        <v>30</v>
      </c>
      <c r="F223" s="218">
        <v>49</v>
      </c>
      <c r="G223" s="219">
        <f t="shared" si="13"/>
        <v>1470</v>
      </c>
      <c r="H223" s="227" t="s">
        <v>37</v>
      </c>
      <c r="I223" s="128" t="s">
        <v>1597</v>
      </c>
      <c r="J223" s="74"/>
      <c r="K223" s="74"/>
      <c r="L223" s="156"/>
      <c r="M223" s="90"/>
      <c r="N223" s="90">
        <v>10</v>
      </c>
      <c r="O223" s="90"/>
      <c r="P223" s="94"/>
      <c r="Q223" s="94">
        <v>8500071342</v>
      </c>
      <c r="R223" s="94">
        <v>5000544317</v>
      </c>
      <c r="S223" s="94"/>
      <c r="T223" s="90"/>
      <c r="U223" s="90">
        <v>8500071337</v>
      </c>
      <c r="V223" s="90">
        <v>5000544315</v>
      </c>
      <c r="W223" s="109"/>
      <c r="X223" s="106"/>
      <c r="Y223" s="106"/>
      <c r="Z223" s="106"/>
      <c r="AA223" s="106">
        <f t="shared" si="14"/>
        <v>0</v>
      </c>
      <c r="AB223" s="106">
        <f t="shared" si="15"/>
        <v>0</v>
      </c>
      <c r="AC223" s="94"/>
      <c r="AD223" s="94"/>
      <c r="AE223" s="94"/>
      <c r="AF223" s="94"/>
      <c r="AG223" s="94"/>
      <c r="AH223" s="263"/>
    </row>
    <row r="224" spans="1:34" ht="32.25" customHeight="1">
      <c r="A224" s="90"/>
      <c r="B224" s="88"/>
      <c r="C224" s="192"/>
      <c r="D224" s="117" t="s">
        <v>3628</v>
      </c>
      <c r="E224" s="253">
        <v>30</v>
      </c>
      <c r="F224" s="218">
        <v>105</v>
      </c>
      <c r="G224" s="219">
        <f t="shared" si="13"/>
        <v>3150</v>
      </c>
      <c r="H224" s="227" t="s">
        <v>146</v>
      </c>
      <c r="I224" s="128">
        <v>45437</v>
      </c>
      <c r="J224" s="74">
        <v>75</v>
      </c>
      <c r="K224" s="74"/>
      <c r="L224" s="156">
        <v>45437</v>
      </c>
      <c r="M224" s="90">
        <v>2250</v>
      </c>
      <c r="N224" s="90">
        <v>30</v>
      </c>
      <c r="O224" s="90"/>
      <c r="P224" s="94" t="s">
        <v>1666</v>
      </c>
      <c r="Q224" s="94">
        <v>8500071342</v>
      </c>
      <c r="R224" s="94">
        <v>5000544317</v>
      </c>
      <c r="S224" s="94"/>
      <c r="T224" s="90"/>
      <c r="U224" s="90">
        <v>8500071337</v>
      </c>
      <c r="V224" s="90">
        <v>5000544315</v>
      </c>
      <c r="W224" s="109" t="s">
        <v>3685</v>
      </c>
      <c r="X224" s="106">
        <f>30+45</f>
        <v>75</v>
      </c>
      <c r="Y224" s="106">
        <f>900+1350</f>
        <v>2250</v>
      </c>
      <c r="Z224" s="106" t="s">
        <v>1785</v>
      </c>
      <c r="AA224" s="106">
        <f t="shared" si="14"/>
        <v>0</v>
      </c>
      <c r="AB224" s="106">
        <f t="shared" si="15"/>
        <v>0</v>
      </c>
      <c r="AC224" s="94"/>
      <c r="AD224" s="94"/>
      <c r="AE224" s="94"/>
      <c r="AF224" s="94"/>
      <c r="AG224" s="94"/>
      <c r="AH224" s="263"/>
    </row>
    <row r="225" spans="1:34" ht="32.25" customHeight="1">
      <c r="A225" s="90" t="s">
        <v>2115</v>
      </c>
      <c r="B225" s="88">
        <v>6000029728</v>
      </c>
      <c r="C225" s="192" t="s">
        <v>2113</v>
      </c>
      <c r="D225" s="117" t="s">
        <v>3384</v>
      </c>
      <c r="E225" s="94">
        <v>30</v>
      </c>
      <c r="F225" s="74">
        <v>124</v>
      </c>
      <c r="G225" s="45">
        <f t="shared" si="13"/>
        <v>3720</v>
      </c>
      <c r="H225" s="119" t="s">
        <v>46</v>
      </c>
      <c r="I225" s="128">
        <v>45411</v>
      </c>
      <c r="J225" s="74">
        <v>124</v>
      </c>
      <c r="K225" s="74">
        <v>1</v>
      </c>
      <c r="L225" s="156">
        <v>45414</v>
      </c>
      <c r="M225" s="90">
        <v>3720</v>
      </c>
      <c r="N225" s="90">
        <v>37</v>
      </c>
      <c r="O225" s="90" t="s">
        <v>3469</v>
      </c>
      <c r="P225" s="94" t="s">
        <v>28</v>
      </c>
      <c r="Q225" s="94">
        <v>8500071344</v>
      </c>
      <c r="R225" s="94">
        <v>5000544325</v>
      </c>
      <c r="S225" s="94"/>
      <c r="T225" s="90" t="s">
        <v>1666</v>
      </c>
      <c r="U225" s="90">
        <v>8500071343</v>
      </c>
      <c r="V225" s="90">
        <v>5000544321</v>
      </c>
      <c r="W225" s="109">
        <v>45441</v>
      </c>
      <c r="X225" s="106">
        <v>124</v>
      </c>
      <c r="Y225" s="106">
        <v>3720</v>
      </c>
      <c r="Z225" s="106" t="s">
        <v>817</v>
      </c>
      <c r="AA225" s="106">
        <f t="shared" si="14"/>
        <v>0</v>
      </c>
      <c r="AB225" s="106">
        <f t="shared" si="15"/>
        <v>0</v>
      </c>
      <c r="AC225" s="94" t="s">
        <v>3487</v>
      </c>
      <c r="AD225" s="94"/>
      <c r="AE225" s="94"/>
      <c r="AF225" s="94"/>
      <c r="AG225" s="94"/>
      <c r="AH225" s="263"/>
    </row>
    <row r="226" spans="1:34" ht="32.25" customHeight="1">
      <c r="A226" s="90"/>
      <c r="B226" s="88"/>
      <c r="C226" s="192"/>
      <c r="D226" s="117"/>
      <c r="E226" s="94">
        <v>30</v>
      </c>
      <c r="F226" s="74">
        <v>289</v>
      </c>
      <c r="G226" s="45">
        <f t="shared" si="13"/>
        <v>8670</v>
      </c>
      <c r="H226" s="119" t="s">
        <v>37</v>
      </c>
      <c r="I226" s="128">
        <v>45411</v>
      </c>
      <c r="J226" s="74">
        <v>289</v>
      </c>
      <c r="K226" s="74">
        <v>3</v>
      </c>
      <c r="L226" s="156">
        <v>45414</v>
      </c>
      <c r="M226" s="90">
        <v>8670</v>
      </c>
      <c r="N226" s="90">
        <v>87</v>
      </c>
      <c r="O226" s="90" t="s">
        <v>899</v>
      </c>
      <c r="P226" s="94" t="s">
        <v>28</v>
      </c>
      <c r="Q226" s="94">
        <v>8500071344</v>
      </c>
      <c r="R226" s="94">
        <v>5000544325</v>
      </c>
      <c r="S226" s="94"/>
      <c r="T226" s="90" t="s">
        <v>1666</v>
      </c>
      <c r="U226" s="90">
        <v>8500071343</v>
      </c>
      <c r="V226" s="90">
        <v>5000544321</v>
      </c>
      <c r="W226" s="109">
        <v>45450</v>
      </c>
      <c r="X226" s="106">
        <v>289</v>
      </c>
      <c r="Y226" s="106">
        <v>8670</v>
      </c>
      <c r="Z226" s="106" t="s">
        <v>35</v>
      </c>
      <c r="AA226" s="106">
        <f t="shared" si="14"/>
        <v>0</v>
      </c>
      <c r="AB226" s="106">
        <f t="shared" si="15"/>
        <v>0</v>
      </c>
      <c r="AC226" s="94"/>
      <c r="AD226" s="94"/>
      <c r="AE226" s="94"/>
      <c r="AF226" s="94"/>
      <c r="AG226" s="94"/>
      <c r="AH226" s="263"/>
    </row>
    <row r="227" spans="1:34" ht="32.25" customHeight="1">
      <c r="A227" s="90"/>
      <c r="B227" s="88"/>
      <c r="C227" s="192"/>
      <c r="D227" s="117"/>
      <c r="E227" s="94">
        <v>30</v>
      </c>
      <c r="F227" s="74">
        <v>187</v>
      </c>
      <c r="G227" s="45">
        <f t="shared" si="13"/>
        <v>5610</v>
      </c>
      <c r="H227" s="119" t="s">
        <v>146</v>
      </c>
      <c r="I227" s="128">
        <v>45411</v>
      </c>
      <c r="J227" s="74">
        <v>187</v>
      </c>
      <c r="K227" s="74">
        <v>2</v>
      </c>
      <c r="L227" s="156">
        <v>45411</v>
      </c>
      <c r="M227" s="90">
        <v>5610</v>
      </c>
      <c r="N227" s="90">
        <v>56</v>
      </c>
      <c r="O227" s="90"/>
      <c r="P227" s="94" t="s">
        <v>28</v>
      </c>
      <c r="Q227" s="94">
        <v>8500071344</v>
      </c>
      <c r="R227" s="94">
        <v>5000544325</v>
      </c>
      <c r="S227" s="94"/>
      <c r="T227" s="90" t="s">
        <v>1666</v>
      </c>
      <c r="U227" s="90">
        <v>8500071343</v>
      </c>
      <c r="V227" s="90">
        <v>5000544321</v>
      </c>
      <c r="W227" s="109">
        <v>45411</v>
      </c>
      <c r="X227" s="106">
        <v>187</v>
      </c>
      <c r="Y227" s="106">
        <v>5610</v>
      </c>
      <c r="Z227" s="106" t="s">
        <v>759</v>
      </c>
      <c r="AA227" s="106">
        <f t="shared" si="14"/>
        <v>0</v>
      </c>
      <c r="AB227" s="106">
        <f t="shared" si="15"/>
        <v>0</v>
      </c>
      <c r="AC227" s="94"/>
      <c r="AD227" s="511"/>
      <c r="AE227" s="94"/>
      <c r="AF227" s="94"/>
      <c r="AG227" s="94"/>
      <c r="AH227" s="263"/>
    </row>
    <row r="228" spans="1:34" ht="32.25" customHeight="1">
      <c r="A228" s="90" t="s">
        <v>525</v>
      </c>
      <c r="B228" s="88">
        <v>6000028615</v>
      </c>
      <c r="C228" s="192" t="s">
        <v>548</v>
      </c>
      <c r="D228" s="117">
        <v>6000028615</v>
      </c>
      <c r="E228" s="94">
        <v>8</v>
      </c>
      <c r="F228" s="74">
        <v>120</v>
      </c>
      <c r="G228" s="45">
        <f t="shared" si="13"/>
        <v>960</v>
      </c>
      <c r="H228" s="119" t="s">
        <v>27</v>
      </c>
      <c r="I228" s="128">
        <v>45437</v>
      </c>
      <c r="J228" s="74">
        <v>120</v>
      </c>
      <c r="K228" s="74">
        <v>4</v>
      </c>
      <c r="L228" s="156">
        <v>45415</v>
      </c>
      <c r="M228" s="90">
        <v>960</v>
      </c>
      <c r="N228" s="90">
        <v>10</v>
      </c>
      <c r="O228" s="90" t="s">
        <v>1362</v>
      </c>
      <c r="P228" s="94" t="s">
        <v>1666</v>
      </c>
      <c r="Q228" s="94">
        <v>8500070865</v>
      </c>
      <c r="R228" s="94">
        <v>5000568126</v>
      </c>
      <c r="S228" s="94"/>
      <c r="T228" s="90" t="s">
        <v>1558</v>
      </c>
      <c r="U228" s="90">
        <v>8500070864</v>
      </c>
      <c r="V228" s="90">
        <v>5000541359</v>
      </c>
      <c r="W228" s="109">
        <v>45439</v>
      </c>
      <c r="X228" s="106">
        <v>120</v>
      </c>
      <c r="Y228" s="106">
        <v>960</v>
      </c>
      <c r="Z228" s="106" t="s">
        <v>800</v>
      </c>
      <c r="AA228" s="106">
        <f t="shared" si="14"/>
        <v>0</v>
      </c>
      <c r="AB228" s="106">
        <f t="shared" si="15"/>
        <v>0</v>
      </c>
      <c r="AC228" s="94"/>
      <c r="AD228" s="509"/>
      <c r="AE228" s="94"/>
      <c r="AF228" s="94"/>
      <c r="AG228" s="94"/>
      <c r="AH228" s="263"/>
    </row>
    <row r="229" spans="1:34" ht="32.25" customHeight="1">
      <c r="A229" s="90"/>
      <c r="B229" s="88"/>
      <c r="C229" s="192"/>
      <c r="D229" s="125" t="s">
        <v>3385</v>
      </c>
      <c r="E229" s="94">
        <v>8</v>
      </c>
      <c r="F229" s="74">
        <v>540</v>
      </c>
      <c r="G229" s="45">
        <f t="shared" si="13"/>
        <v>4320</v>
      </c>
      <c r="H229" s="119" t="s">
        <v>46</v>
      </c>
      <c r="I229" s="128">
        <v>45419</v>
      </c>
      <c r="J229" s="74">
        <v>540</v>
      </c>
      <c r="K229" s="74">
        <f>6+4</f>
        <v>10</v>
      </c>
      <c r="L229" s="156">
        <v>45415</v>
      </c>
      <c r="M229" s="90">
        <v>4320</v>
      </c>
      <c r="N229" s="90">
        <v>43</v>
      </c>
      <c r="O229" s="90" t="s">
        <v>3476</v>
      </c>
      <c r="P229" s="94" t="s">
        <v>160</v>
      </c>
      <c r="Q229" s="94">
        <v>8500070865</v>
      </c>
      <c r="R229" s="94">
        <v>5000558246</v>
      </c>
      <c r="S229" s="94"/>
      <c r="T229" s="90" t="s">
        <v>1558</v>
      </c>
      <c r="U229" s="90">
        <v>8500070864</v>
      </c>
      <c r="V229" s="90">
        <v>5000541359</v>
      </c>
      <c r="W229" s="109">
        <v>45434</v>
      </c>
      <c r="X229" s="106">
        <v>540</v>
      </c>
      <c r="Y229" s="106">
        <v>4320</v>
      </c>
      <c r="Z229" s="106" t="s">
        <v>800</v>
      </c>
      <c r="AA229" s="106">
        <f t="shared" si="14"/>
        <v>0</v>
      </c>
      <c r="AB229" s="106">
        <f t="shared" si="15"/>
        <v>0</v>
      </c>
      <c r="AC229" s="94"/>
      <c r="AD229" s="510"/>
      <c r="AE229" s="94"/>
      <c r="AF229" s="94"/>
      <c r="AG229" s="94"/>
      <c r="AH229" s="263"/>
    </row>
    <row r="230" spans="1:34" ht="32.25" customHeight="1">
      <c r="A230" s="90"/>
      <c r="B230" s="88"/>
      <c r="C230" s="192"/>
      <c r="D230" s="117"/>
      <c r="E230" s="94">
        <v>8</v>
      </c>
      <c r="F230" s="74">
        <v>640</v>
      </c>
      <c r="G230" s="45">
        <f t="shared" si="13"/>
        <v>5120</v>
      </c>
      <c r="H230" s="119" t="s">
        <v>37</v>
      </c>
      <c r="I230" s="128">
        <v>45419</v>
      </c>
      <c r="J230" s="74">
        <v>640</v>
      </c>
      <c r="K230" s="74">
        <f>7+5</f>
        <v>12</v>
      </c>
      <c r="L230" s="156">
        <v>45415</v>
      </c>
      <c r="M230" s="90">
        <v>5120</v>
      </c>
      <c r="N230" s="90">
        <v>51</v>
      </c>
      <c r="O230" s="90" t="s">
        <v>1591</v>
      </c>
      <c r="P230" s="94" t="s">
        <v>160</v>
      </c>
      <c r="Q230" s="94">
        <v>8500070865</v>
      </c>
      <c r="R230" s="94">
        <v>5000558246</v>
      </c>
      <c r="S230" s="94"/>
      <c r="T230" s="90" t="s">
        <v>1558</v>
      </c>
      <c r="U230" s="90">
        <v>8500070864</v>
      </c>
      <c r="V230" s="90">
        <v>5000541359</v>
      </c>
      <c r="W230" s="109">
        <v>45430</v>
      </c>
      <c r="X230" s="106">
        <v>640</v>
      </c>
      <c r="Y230" s="106">
        <v>5120</v>
      </c>
      <c r="Z230" s="106" t="s">
        <v>800</v>
      </c>
      <c r="AA230" s="106">
        <f t="shared" si="14"/>
        <v>0</v>
      </c>
      <c r="AB230" s="106">
        <f t="shared" si="15"/>
        <v>0</v>
      </c>
      <c r="AC230" s="94"/>
      <c r="AD230" s="94"/>
      <c r="AE230" s="94"/>
      <c r="AF230" s="94"/>
      <c r="AG230" s="94"/>
      <c r="AH230" s="263"/>
    </row>
    <row r="231" spans="1:34" ht="32.25" customHeight="1">
      <c r="A231" s="90"/>
      <c r="B231" s="88"/>
      <c r="C231" s="192"/>
      <c r="D231" s="117"/>
      <c r="E231" s="94">
        <v>8</v>
      </c>
      <c r="F231" s="74">
        <v>100</v>
      </c>
      <c r="G231" s="45">
        <f t="shared" si="13"/>
        <v>800</v>
      </c>
      <c r="H231" s="119" t="s">
        <v>146</v>
      </c>
      <c r="I231" s="128">
        <v>45419</v>
      </c>
      <c r="J231" s="74">
        <v>100</v>
      </c>
      <c r="K231" s="74">
        <f>2+1</f>
        <v>3</v>
      </c>
      <c r="L231" s="156">
        <v>45415</v>
      </c>
      <c r="M231" s="45">
        <v>800</v>
      </c>
      <c r="N231" s="90">
        <v>8</v>
      </c>
      <c r="O231" s="90" t="s">
        <v>1348</v>
      </c>
      <c r="P231" s="94" t="s">
        <v>160</v>
      </c>
      <c r="Q231" s="94">
        <v>8500070867</v>
      </c>
      <c r="R231" s="94">
        <v>5000558248</v>
      </c>
      <c r="S231" s="94"/>
      <c r="T231" s="90" t="s">
        <v>1558</v>
      </c>
      <c r="U231" s="90">
        <v>8500070866</v>
      </c>
      <c r="V231" s="90">
        <v>5000541361</v>
      </c>
      <c r="W231" s="109">
        <v>45419</v>
      </c>
      <c r="X231" s="106">
        <v>100</v>
      </c>
      <c r="Y231" s="106">
        <v>800</v>
      </c>
      <c r="Z231" s="106" t="s">
        <v>800</v>
      </c>
      <c r="AA231" s="106">
        <f t="shared" si="14"/>
        <v>0</v>
      </c>
      <c r="AB231" s="106">
        <f t="shared" si="15"/>
        <v>0</v>
      </c>
      <c r="AC231" s="94"/>
      <c r="AD231" s="94"/>
      <c r="AE231" s="94"/>
      <c r="AF231" s="94"/>
      <c r="AG231" s="94"/>
      <c r="AH231" s="263"/>
    </row>
    <row r="232" spans="1:34" ht="32.25" customHeight="1">
      <c r="A232" s="90" t="s">
        <v>525</v>
      </c>
      <c r="B232" s="88">
        <v>6000028616</v>
      </c>
      <c r="C232" s="192" t="s">
        <v>548</v>
      </c>
      <c r="D232" s="117">
        <v>6000028616</v>
      </c>
      <c r="E232" s="94">
        <v>8</v>
      </c>
      <c r="F232" s="74">
        <v>120</v>
      </c>
      <c r="G232" s="45">
        <f t="shared" si="13"/>
        <v>960</v>
      </c>
      <c r="H232" s="119" t="s">
        <v>27</v>
      </c>
      <c r="I232" s="128">
        <v>45437</v>
      </c>
      <c r="J232" s="74">
        <v>120</v>
      </c>
      <c r="K232" s="74">
        <v>4</v>
      </c>
      <c r="L232" s="156">
        <v>45415</v>
      </c>
      <c r="M232" s="45">
        <v>960</v>
      </c>
      <c r="N232" s="90">
        <v>10</v>
      </c>
      <c r="O232" s="90" t="s">
        <v>1363</v>
      </c>
      <c r="P232" s="94" t="s">
        <v>1666</v>
      </c>
      <c r="Q232" s="94">
        <v>8500070869</v>
      </c>
      <c r="R232" s="94">
        <v>5000568124</v>
      </c>
      <c r="S232" s="94"/>
      <c r="T232" s="90" t="s">
        <v>1558</v>
      </c>
      <c r="U232" s="90">
        <v>8500070868</v>
      </c>
      <c r="V232" s="90">
        <v>5000541372</v>
      </c>
      <c r="W232" s="109">
        <v>45461</v>
      </c>
      <c r="X232" s="106">
        <v>120</v>
      </c>
      <c r="Y232" s="106">
        <v>960</v>
      </c>
      <c r="Z232" s="106" t="s">
        <v>800</v>
      </c>
      <c r="AA232" s="106">
        <f t="shared" si="14"/>
        <v>0</v>
      </c>
      <c r="AB232" s="106">
        <f t="shared" si="15"/>
        <v>0</v>
      </c>
      <c r="AC232" s="94"/>
      <c r="AD232" s="94"/>
      <c r="AE232" s="94"/>
      <c r="AF232" s="94"/>
      <c r="AG232" s="94"/>
      <c r="AH232" s="263"/>
    </row>
    <row r="233" spans="1:34" ht="32.25" customHeight="1">
      <c r="A233" s="90"/>
      <c r="B233" s="88"/>
      <c r="C233" s="192"/>
      <c r="D233" s="125" t="s">
        <v>3385</v>
      </c>
      <c r="E233" s="94">
        <v>8</v>
      </c>
      <c r="F233" s="74">
        <v>780</v>
      </c>
      <c r="G233" s="45">
        <f t="shared" si="13"/>
        <v>6240</v>
      </c>
      <c r="H233" s="119" t="s">
        <v>46</v>
      </c>
      <c r="I233" s="128">
        <v>45419</v>
      </c>
      <c r="J233" s="74">
        <v>780</v>
      </c>
      <c r="K233" s="74">
        <f>9+1</f>
        <v>10</v>
      </c>
      <c r="L233" s="156">
        <v>45415</v>
      </c>
      <c r="M233" s="45">
        <v>6240</v>
      </c>
      <c r="N233" s="90">
        <f>62+50</f>
        <v>112</v>
      </c>
      <c r="O233" s="90" t="s">
        <v>3477</v>
      </c>
      <c r="P233" s="94" t="s">
        <v>160</v>
      </c>
      <c r="Q233" s="94">
        <v>8500070869</v>
      </c>
      <c r="R233" s="94">
        <v>5000557127</v>
      </c>
      <c r="S233" s="94"/>
      <c r="T233" s="90" t="s">
        <v>1558</v>
      </c>
      <c r="U233" s="90">
        <v>8500070868</v>
      </c>
      <c r="V233" s="90">
        <v>5000541372</v>
      </c>
      <c r="W233" s="109">
        <v>45451</v>
      </c>
      <c r="X233" s="106">
        <v>780</v>
      </c>
      <c r="Y233" s="106">
        <v>6240</v>
      </c>
      <c r="Z233" s="106" t="s">
        <v>800</v>
      </c>
      <c r="AA233" s="106">
        <f t="shared" si="14"/>
        <v>0</v>
      </c>
      <c r="AB233" s="106">
        <f t="shared" si="15"/>
        <v>0</v>
      </c>
      <c r="AC233" s="94"/>
      <c r="AD233" s="94"/>
      <c r="AE233" s="94"/>
      <c r="AF233" s="94"/>
      <c r="AG233" s="94"/>
      <c r="AH233" s="263"/>
    </row>
    <row r="234" spans="1:34" ht="32.25" customHeight="1">
      <c r="A234" s="90"/>
      <c r="B234" s="88"/>
      <c r="C234" s="192"/>
      <c r="D234" s="117"/>
      <c r="E234" s="94">
        <v>8</v>
      </c>
      <c r="F234" s="74">
        <v>500</v>
      </c>
      <c r="G234" s="45">
        <f t="shared" si="13"/>
        <v>4000</v>
      </c>
      <c r="H234" s="119" t="s">
        <v>37</v>
      </c>
      <c r="I234" s="128">
        <v>45419</v>
      </c>
      <c r="J234" s="74">
        <v>500</v>
      </c>
      <c r="K234" s="74">
        <f>6+11</f>
        <v>17</v>
      </c>
      <c r="L234" s="156">
        <v>45415</v>
      </c>
      <c r="M234" s="45">
        <v>4000</v>
      </c>
      <c r="N234" s="90">
        <v>40</v>
      </c>
      <c r="O234" s="90" t="s">
        <v>3478</v>
      </c>
      <c r="P234" s="94" t="s">
        <v>160</v>
      </c>
      <c r="Q234" s="94">
        <v>8500070869</v>
      </c>
      <c r="R234" s="94">
        <v>5000558280</v>
      </c>
      <c r="S234" s="94"/>
      <c r="T234" s="90" t="s">
        <v>1558</v>
      </c>
      <c r="U234" s="90">
        <v>8500070868</v>
      </c>
      <c r="V234" s="90">
        <v>5000541372</v>
      </c>
      <c r="W234" s="109">
        <v>45462</v>
      </c>
      <c r="X234" s="106">
        <v>500</v>
      </c>
      <c r="Y234" s="106">
        <v>4000</v>
      </c>
      <c r="Z234" s="106" t="s">
        <v>800</v>
      </c>
      <c r="AA234" s="106">
        <f t="shared" si="14"/>
        <v>0</v>
      </c>
      <c r="AB234" s="106">
        <f t="shared" si="15"/>
        <v>0</v>
      </c>
      <c r="AC234" s="94"/>
      <c r="AD234" s="94"/>
      <c r="AE234" s="94"/>
      <c r="AF234" s="94"/>
      <c r="AG234" s="94"/>
      <c r="AH234" s="263"/>
    </row>
    <row r="235" spans="1:34" ht="32.25" customHeight="1">
      <c r="A235" s="90" t="s">
        <v>3398</v>
      </c>
      <c r="B235" s="88">
        <v>6000030094</v>
      </c>
      <c r="C235" s="192" t="s">
        <v>3395</v>
      </c>
      <c r="D235" s="117" t="s">
        <v>3396</v>
      </c>
      <c r="E235" s="94">
        <v>10</v>
      </c>
      <c r="F235" s="74">
        <v>1295</v>
      </c>
      <c r="G235" s="45">
        <f t="shared" si="13"/>
        <v>12950</v>
      </c>
      <c r="H235" s="119" t="s">
        <v>27</v>
      </c>
      <c r="I235" s="128">
        <v>45404</v>
      </c>
      <c r="J235" s="74">
        <v>1295</v>
      </c>
      <c r="K235" s="74">
        <f>13+5</f>
        <v>18</v>
      </c>
      <c r="L235" s="237">
        <v>45405</v>
      </c>
      <c r="M235" s="90">
        <v>12950</v>
      </c>
      <c r="N235" s="90">
        <v>130</v>
      </c>
      <c r="O235" s="90"/>
      <c r="P235" s="94" t="s">
        <v>28</v>
      </c>
      <c r="Q235" s="94">
        <v>8500070618</v>
      </c>
      <c r="R235" s="94">
        <v>5000494957</v>
      </c>
      <c r="S235" s="94"/>
      <c r="T235" s="90" t="s">
        <v>1558</v>
      </c>
      <c r="U235" s="90">
        <v>8500070617</v>
      </c>
      <c r="V235" s="90">
        <v>5000496721</v>
      </c>
      <c r="W235" s="109">
        <v>45428</v>
      </c>
      <c r="X235" s="106">
        <v>1295</v>
      </c>
      <c r="Y235" s="106">
        <v>12950</v>
      </c>
      <c r="Z235" s="106" t="s">
        <v>1513</v>
      </c>
      <c r="AA235" s="106">
        <f t="shared" si="14"/>
        <v>0</v>
      </c>
      <c r="AB235" s="106">
        <f t="shared" si="15"/>
        <v>0</v>
      </c>
      <c r="AC235" s="94"/>
      <c r="AD235" s="94"/>
      <c r="AE235" s="94"/>
      <c r="AF235" s="94"/>
      <c r="AG235" s="94"/>
      <c r="AH235" s="263"/>
    </row>
    <row r="236" spans="1:34" ht="32.25" customHeight="1">
      <c r="A236" s="90"/>
      <c r="B236" s="88"/>
      <c r="C236" s="2"/>
      <c r="D236" s="562" t="s">
        <v>3397</v>
      </c>
      <c r="E236" s="94">
        <v>10</v>
      </c>
      <c r="F236" s="74">
        <v>1740</v>
      </c>
      <c r="G236" s="45">
        <f t="shared" si="13"/>
        <v>17400</v>
      </c>
      <c r="H236" s="119" t="s">
        <v>46</v>
      </c>
      <c r="I236" s="128">
        <v>45405</v>
      </c>
      <c r="J236" s="74">
        <v>1740</v>
      </c>
      <c r="K236" s="74">
        <v>17</v>
      </c>
      <c r="L236" s="237">
        <v>45405</v>
      </c>
      <c r="M236" s="90">
        <v>17400</v>
      </c>
      <c r="N236" s="90">
        <v>174</v>
      </c>
      <c r="O236" s="90"/>
      <c r="P236" s="94" t="s">
        <v>28</v>
      </c>
      <c r="Q236" s="94">
        <v>8500070618</v>
      </c>
      <c r="R236" s="94">
        <v>5000496760</v>
      </c>
      <c r="S236" s="94"/>
      <c r="T236" s="90" t="s">
        <v>1558</v>
      </c>
      <c r="U236" s="90">
        <v>8500070617</v>
      </c>
      <c r="V236" s="90">
        <v>5000496721</v>
      </c>
      <c r="W236" s="109">
        <v>45407</v>
      </c>
      <c r="X236" s="106">
        <v>1740</v>
      </c>
      <c r="Y236" s="106">
        <v>17400</v>
      </c>
      <c r="Z236" s="106" t="s">
        <v>267</v>
      </c>
      <c r="AA236" s="106">
        <f t="shared" si="14"/>
        <v>0</v>
      </c>
      <c r="AB236" s="106">
        <f t="shared" si="15"/>
        <v>0</v>
      </c>
      <c r="AC236" s="94"/>
      <c r="AD236" s="94"/>
      <c r="AE236" s="94"/>
      <c r="AF236" s="94"/>
      <c r="AG236" s="94"/>
      <c r="AH236" s="263"/>
    </row>
    <row r="237" spans="1:34" ht="32.25" customHeight="1">
      <c r="A237" s="90"/>
      <c r="B237" s="88"/>
      <c r="C237" s="192"/>
      <c r="D237" s="563"/>
      <c r="E237" s="94">
        <v>10</v>
      </c>
      <c r="F237" s="74">
        <v>1060</v>
      </c>
      <c r="G237" s="45">
        <f t="shared" si="13"/>
        <v>10600</v>
      </c>
      <c r="H237" s="119" t="s">
        <v>37</v>
      </c>
      <c r="I237" s="128">
        <v>45404</v>
      </c>
      <c r="J237" s="74">
        <v>1060</v>
      </c>
      <c r="K237" s="74">
        <f>11+4</f>
        <v>15</v>
      </c>
      <c r="L237" s="237">
        <v>45405</v>
      </c>
      <c r="M237" s="90">
        <v>10600</v>
      </c>
      <c r="N237" s="90">
        <v>106</v>
      </c>
      <c r="O237" s="90" t="s">
        <v>862</v>
      </c>
      <c r="P237" s="94" t="s">
        <v>28</v>
      </c>
      <c r="Q237" s="94">
        <v>8500070618</v>
      </c>
      <c r="R237" s="94">
        <v>5000495010</v>
      </c>
      <c r="S237" s="94"/>
      <c r="T237" s="90" t="s">
        <v>1558</v>
      </c>
      <c r="U237" s="90">
        <v>8500070617</v>
      </c>
      <c r="V237" s="90">
        <v>5000496721</v>
      </c>
      <c r="W237" s="109">
        <v>45427</v>
      </c>
      <c r="X237" s="106">
        <v>1060</v>
      </c>
      <c r="Y237" s="106">
        <v>10600</v>
      </c>
      <c r="Z237" s="106" t="s">
        <v>927</v>
      </c>
      <c r="AA237" s="106">
        <f t="shared" si="14"/>
        <v>0</v>
      </c>
      <c r="AB237" s="106">
        <f t="shared" si="15"/>
        <v>0</v>
      </c>
      <c r="AC237" s="94"/>
      <c r="AD237" s="94"/>
      <c r="AE237" s="94"/>
      <c r="AF237" s="94"/>
      <c r="AG237" s="94"/>
      <c r="AH237" s="263"/>
    </row>
    <row r="238" spans="1:34" ht="32.25" customHeight="1">
      <c r="A238" s="90" t="s">
        <v>3398</v>
      </c>
      <c r="B238" s="88">
        <v>6000030096</v>
      </c>
      <c r="C238" s="192" t="s">
        <v>3395</v>
      </c>
      <c r="D238" s="117" t="s">
        <v>3399</v>
      </c>
      <c r="E238" s="94">
        <v>10</v>
      </c>
      <c r="F238" s="74">
        <v>350</v>
      </c>
      <c r="G238" s="45">
        <f t="shared" si="13"/>
        <v>3500</v>
      </c>
      <c r="H238" s="119" t="s">
        <v>27</v>
      </c>
      <c r="I238" s="128">
        <v>45404</v>
      </c>
      <c r="J238" s="74">
        <v>350</v>
      </c>
      <c r="K238" s="74">
        <f>9+3</f>
        <v>12</v>
      </c>
      <c r="L238" s="156">
        <v>45406</v>
      </c>
      <c r="M238" s="90">
        <v>3500</v>
      </c>
      <c r="N238" s="90">
        <v>35</v>
      </c>
      <c r="O238" s="90" t="s">
        <v>2107</v>
      </c>
      <c r="P238" s="94" t="s">
        <v>28</v>
      </c>
      <c r="Q238" s="94">
        <v>8500070620</v>
      </c>
      <c r="R238" s="94">
        <v>5000495013</v>
      </c>
      <c r="S238" s="94"/>
      <c r="T238" s="90" t="s">
        <v>1558</v>
      </c>
      <c r="U238" s="90">
        <v>8500070619</v>
      </c>
      <c r="V238" s="90">
        <v>5000504925</v>
      </c>
      <c r="W238" s="109">
        <v>45433</v>
      </c>
      <c r="X238" s="106">
        <v>350</v>
      </c>
      <c r="Y238" s="106">
        <v>3500</v>
      </c>
      <c r="Z238" s="106" t="s">
        <v>1513</v>
      </c>
      <c r="AA238" s="106">
        <f t="shared" si="14"/>
        <v>0</v>
      </c>
      <c r="AB238" s="106">
        <f t="shared" si="15"/>
        <v>0</v>
      </c>
      <c r="AC238" s="94" t="s">
        <v>3674</v>
      </c>
      <c r="AD238" s="94"/>
      <c r="AE238" s="94"/>
      <c r="AF238" s="94"/>
      <c r="AG238" s="94"/>
      <c r="AH238" s="263"/>
    </row>
    <row r="239" spans="1:34" ht="32.25" customHeight="1">
      <c r="A239" s="90"/>
      <c r="B239" s="88"/>
      <c r="C239" s="192"/>
      <c r="D239" s="562" t="s">
        <v>3397</v>
      </c>
      <c r="E239" s="94">
        <v>10</v>
      </c>
      <c r="F239" s="74">
        <v>1400</v>
      </c>
      <c r="G239" s="45">
        <f t="shared" si="13"/>
        <v>14000</v>
      </c>
      <c r="H239" s="119" t="s">
        <v>46</v>
      </c>
      <c r="I239" s="128">
        <v>45405</v>
      </c>
      <c r="J239" s="74">
        <v>1400</v>
      </c>
      <c r="K239" s="74">
        <v>19</v>
      </c>
      <c r="L239" s="156">
        <v>45406</v>
      </c>
      <c r="M239" s="90">
        <v>14000</v>
      </c>
      <c r="N239" s="90">
        <v>140</v>
      </c>
      <c r="O239" s="90"/>
      <c r="P239" s="94" t="s">
        <v>28</v>
      </c>
      <c r="Q239" s="94">
        <v>8500070620</v>
      </c>
      <c r="R239" s="94">
        <v>5000496763</v>
      </c>
      <c r="S239" s="94"/>
      <c r="T239" s="90" t="s">
        <v>1558</v>
      </c>
      <c r="U239" s="90">
        <v>8500070619</v>
      </c>
      <c r="V239" s="90">
        <v>5000504925</v>
      </c>
      <c r="W239" s="109">
        <v>45425</v>
      </c>
      <c r="X239" s="106">
        <v>1400</v>
      </c>
      <c r="Y239" s="106">
        <v>14000</v>
      </c>
      <c r="Z239" s="106" t="s">
        <v>1472</v>
      </c>
      <c r="AA239" s="106">
        <f t="shared" si="14"/>
        <v>0</v>
      </c>
      <c r="AB239" s="106">
        <f t="shared" si="15"/>
        <v>0</v>
      </c>
      <c r="AC239" s="94"/>
      <c r="AD239" s="94"/>
      <c r="AE239" s="94"/>
      <c r="AF239" s="94"/>
      <c r="AG239" s="94"/>
      <c r="AH239" s="263"/>
    </row>
    <row r="240" spans="1:34" ht="32.25" customHeight="1">
      <c r="A240" s="90"/>
      <c r="B240" s="88"/>
      <c r="C240" s="192"/>
      <c r="D240" s="563"/>
      <c r="E240" s="94">
        <v>10</v>
      </c>
      <c r="F240" s="74">
        <v>2345</v>
      </c>
      <c r="G240" s="45">
        <f t="shared" si="13"/>
        <v>23450</v>
      </c>
      <c r="H240" s="119" t="s">
        <v>37</v>
      </c>
      <c r="I240" s="128">
        <v>45404</v>
      </c>
      <c r="J240" s="74">
        <v>2345</v>
      </c>
      <c r="K240" s="74">
        <v>32</v>
      </c>
      <c r="L240" s="156">
        <v>45406</v>
      </c>
      <c r="M240" s="90">
        <v>23450</v>
      </c>
      <c r="N240" s="90">
        <v>235</v>
      </c>
      <c r="O240" s="90"/>
      <c r="P240" s="94" t="s">
        <v>28</v>
      </c>
      <c r="Q240" s="94">
        <v>8500070620</v>
      </c>
      <c r="R240" s="94">
        <v>5000495013</v>
      </c>
      <c r="S240" s="94"/>
      <c r="T240" s="90" t="s">
        <v>1558</v>
      </c>
      <c r="U240" s="90">
        <v>8500070619</v>
      </c>
      <c r="V240" s="90">
        <v>5000504925</v>
      </c>
      <c r="W240" s="109">
        <v>45429</v>
      </c>
      <c r="X240" s="106">
        <v>2345</v>
      </c>
      <c r="Y240" s="106">
        <v>23450</v>
      </c>
      <c r="Z240" s="106" t="s">
        <v>927</v>
      </c>
      <c r="AA240" s="106">
        <f t="shared" si="14"/>
        <v>0</v>
      </c>
      <c r="AB240" s="106">
        <f t="shared" si="15"/>
        <v>0</v>
      </c>
      <c r="AC240" s="94"/>
      <c r="AD240" s="94"/>
      <c r="AE240" s="94"/>
      <c r="AF240" s="94"/>
      <c r="AG240" s="94"/>
      <c r="AH240" s="263"/>
    </row>
    <row r="241" spans="1:34" ht="32.25" customHeight="1">
      <c r="A241" s="90" t="s">
        <v>3398</v>
      </c>
      <c r="B241" s="88">
        <v>6000030097</v>
      </c>
      <c r="C241" s="192" t="s">
        <v>3395</v>
      </c>
      <c r="D241" s="117" t="s">
        <v>3400</v>
      </c>
      <c r="E241" s="94">
        <v>10</v>
      </c>
      <c r="F241" s="74">
        <v>700</v>
      </c>
      <c r="G241" s="45">
        <f t="shared" si="13"/>
        <v>7000</v>
      </c>
      <c r="H241" s="119" t="s">
        <v>27</v>
      </c>
      <c r="I241" s="128">
        <v>45404</v>
      </c>
      <c r="J241" s="74">
        <v>700</v>
      </c>
      <c r="K241" s="74">
        <v>6</v>
      </c>
      <c r="L241" s="156">
        <v>45407</v>
      </c>
      <c r="M241" s="90">
        <v>7000</v>
      </c>
      <c r="N241" s="90">
        <v>70</v>
      </c>
      <c r="O241" s="90" t="s">
        <v>796</v>
      </c>
      <c r="P241" s="94" t="s">
        <v>28</v>
      </c>
      <c r="Q241" s="94">
        <v>8500070612</v>
      </c>
      <c r="R241" s="94">
        <v>5000495015</v>
      </c>
      <c r="S241" s="94"/>
      <c r="T241" s="90" t="s">
        <v>1558</v>
      </c>
      <c r="U241" s="90">
        <v>8500070611</v>
      </c>
      <c r="V241" s="90">
        <v>5000506691</v>
      </c>
      <c r="W241" s="109">
        <v>45434</v>
      </c>
      <c r="X241" s="106">
        <v>700</v>
      </c>
      <c r="Y241" s="106">
        <v>7000</v>
      </c>
      <c r="Z241" s="106" t="s">
        <v>1513</v>
      </c>
      <c r="AA241" s="106">
        <f t="shared" si="14"/>
        <v>0</v>
      </c>
      <c r="AB241" s="106">
        <f t="shared" si="15"/>
        <v>0</v>
      </c>
      <c r="AC241" s="94"/>
      <c r="AD241" s="94"/>
      <c r="AE241" s="94"/>
      <c r="AF241" s="94"/>
      <c r="AG241" s="94"/>
      <c r="AH241" s="263"/>
    </row>
    <row r="242" spans="1:34" ht="32.25" customHeight="1">
      <c r="A242" s="90"/>
      <c r="B242" s="88"/>
      <c r="C242" s="192"/>
      <c r="D242" s="562" t="s">
        <v>3397</v>
      </c>
      <c r="E242" s="94">
        <v>10</v>
      </c>
      <c r="F242" s="74">
        <v>1995</v>
      </c>
      <c r="G242" s="45">
        <f t="shared" si="13"/>
        <v>19950</v>
      </c>
      <c r="H242" s="119" t="s">
        <v>46</v>
      </c>
      <c r="I242" s="128">
        <v>45405</v>
      </c>
      <c r="J242" s="74">
        <v>1995</v>
      </c>
      <c r="K242" s="74">
        <v>20</v>
      </c>
      <c r="L242" s="156">
        <v>45407</v>
      </c>
      <c r="M242" s="90">
        <v>19950</v>
      </c>
      <c r="N242" s="90">
        <v>200</v>
      </c>
      <c r="O242" s="90" t="s">
        <v>862</v>
      </c>
      <c r="P242" s="94" t="s">
        <v>28</v>
      </c>
      <c r="Q242" s="94">
        <v>8500070612</v>
      </c>
      <c r="R242" s="94">
        <v>5000496768</v>
      </c>
      <c r="S242" s="94"/>
      <c r="T242" s="90" t="s">
        <v>1558</v>
      </c>
      <c r="U242" s="90">
        <v>8500070611</v>
      </c>
      <c r="V242" s="90">
        <v>5000506691</v>
      </c>
      <c r="W242" s="109">
        <v>45429</v>
      </c>
      <c r="X242" s="106">
        <v>1995</v>
      </c>
      <c r="Y242" s="106">
        <v>19950</v>
      </c>
      <c r="Z242" s="106" t="s">
        <v>1472</v>
      </c>
      <c r="AA242" s="106">
        <f t="shared" si="14"/>
        <v>0</v>
      </c>
      <c r="AB242" s="106">
        <f t="shared" si="15"/>
        <v>0</v>
      </c>
      <c r="AC242" s="94"/>
      <c r="AD242" s="94"/>
      <c r="AE242" s="94"/>
      <c r="AF242" s="94"/>
      <c r="AG242" s="94"/>
      <c r="AH242" s="263"/>
    </row>
    <row r="243" spans="1:34" ht="32.25" customHeight="1">
      <c r="A243" s="90"/>
      <c r="B243" s="88"/>
      <c r="C243" s="192"/>
      <c r="D243" s="563"/>
      <c r="E243" s="94">
        <v>10</v>
      </c>
      <c r="F243" s="74">
        <v>1400</v>
      </c>
      <c r="G243" s="45">
        <f t="shared" si="13"/>
        <v>14000</v>
      </c>
      <c r="H243" s="119" t="s">
        <v>37</v>
      </c>
      <c r="I243" s="128">
        <v>45405</v>
      </c>
      <c r="J243" s="74">
        <v>1400</v>
      </c>
      <c r="K243" s="74">
        <v>16</v>
      </c>
      <c r="L243" s="156">
        <v>45407</v>
      </c>
      <c r="M243" s="90">
        <v>14000</v>
      </c>
      <c r="N243" s="90">
        <v>140</v>
      </c>
      <c r="O243" s="90" t="s">
        <v>862</v>
      </c>
      <c r="P243" s="94" t="s">
        <v>28</v>
      </c>
      <c r="Q243" s="94">
        <v>8500070612</v>
      </c>
      <c r="R243" s="94">
        <v>5000496768</v>
      </c>
      <c r="S243" s="94"/>
      <c r="T243" s="90" t="s">
        <v>1558</v>
      </c>
      <c r="U243" s="90">
        <v>8500070611</v>
      </c>
      <c r="V243" s="90">
        <v>5000506691</v>
      </c>
      <c r="W243" s="109">
        <v>45433</v>
      </c>
      <c r="X243" s="106">
        <v>1400</v>
      </c>
      <c r="Y243" s="106">
        <v>14000</v>
      </c>
      <c r="Z243" s="106" t="s">
        <v>927</v>
      </c>
      <c r="AA243" s="106">
        <f t="shared" si="14"/>
        <v>0</v>
      </c>
      <c r="AB243" s="106">
        <f t="shared" si="15"/>
        <v>0</v>
      </c>
      <c r="AC243" s="94"/>
      <c r="AD243" s="94"/>
      <c r="AE243" s="94"/>
      <c r="AF243" s="94"/>
      <c r="AG243" s="94"/>
      <c r="AH243" s="263"/>
    </row>
    <row r="244" spans="1:34" ht="32.25" customHeight="1">
      <c r="A244" s="90" t="s">
        <v>157</v>
      </c>
      <c r="B244" s="88">
        <v>6000029524</v>
      </c>
      <c r="C244" s="192" t="s">
        <v>838</v>
      </c>
      <c r="D244" s="366" t="s">
        <v>3419</v>
      </c>
      <c r="E244" s="94">
        <v>15</v>
      </c>
      <c r="F244" s="74">
        <v>250</v>
      </c>
      <c r="G244" s="45">
        <f t="shared" si="13"/>
        <v>3750</v>
      </c>
      <c r="H244" s="119" t="s">
        <v>46</v>
      </c>
      <c r="I244" s="128">
        <v>45406</v>
      </c>
      <c r="J244" s="74">
        <v>250</v>
      </c>
      <c r="K244" s="74"/>
      <c r="L244" s="156"/>
      <c r="M244" s="90">
        <v>3750</v>
      </c>
      <c r="N244" s="90"/>
      <c r="O244" s="90"/>
      <c r="P244" s="94" t="s">
        <v>1666</v>
      </c>
      <c r="Q244" s="94"/>
      <c r="R244" s="94"/>
      <c r="S244" s="94"/>
      <c r="T244" s="90" t="s">
        <v>1765</v>
      </c>
      <c r="U244" s="90"/>
      <c r="V244" s="90"/>
      <c r="W244" s="109">
        <v>45407</v>
      </c>
      <c r="X244" s="106">
        <v>250</v>
      </c>
      <c r="Y244" s="106">
        <v>3750</v>
      </c>
      <c r="Z244" s="106" t="s">
        <v>2006</v>
      </c>
      <c r="AA244" s="106">
        <f t="shared" ref="AA244:AA249" si="16">J244-X244</f>
        <v>0</v>
      </c>
      <c r="AB244" s="106">
        <f t="shared" ref="AB244:AB249" si="17">M244-Y244</f>
        <v>0</v>
      </c>
      <c r="AC244" s="94"/>
      <c r="AD244" s="94"/>
      <c r="AE244" s="94"/>
      <c r="AF244" s="94"/>
      <c r="AG244" s="94"/>
      <c r="AH244" s="263"/>
    </row>
    <row r="245" spans="1:34" ht="32.25" customHeight="1">
      <c r="A245" s="90" t="s">
        <v>157</v>
      </c>
      <c r="B245" s="88">
        <v>6000029525</v>
      </c>
      <c r="C245" s="192" t="s">
        <v>838</v>
      </c>
      <c r="D245" s="117" t="s">
        <v>3406</v>
      </c>
      <c r="E245" s="94">
        <v>15</v>
      </c>
      <c r="F245" s="74">
        <v>220</v>
      </c>
      <c r="G245" s="45">
        <f t="shared" si="13"/>
        <v>3300</v>
      </c>
      <c r="H245" s="119" t="s">
        <v>46</v>
      </c>
      <c r="I245" s="128">
        <v>45405</v>
      </c>
      <c r="J245" s="74">
        <v>220</v>
      </c>
      <c r="K245" s="74"/>
      <c r="L245" s="156"/>
      <c r="M245" s="90">
        <v>2200</v>
      </c>
      <c r="N245" s="90"/>
      <c r="O245" s="90"/>
      <c r="P245" s="94" t="s">
        <v>1666</v>
      </c>
      <c r="Q245" s="94"/>
      <c r="R245" s="94"/>
      <c r="S245" s="74"/>
      <c r="T245" s="90" t="s">
        <v>1765</v>
      </c>
      <c r="U245" s="90"/>
      <c r="V245" s="90"/>
      <c r="W245" s="109">
        <v>45405</v>
      </c>
      <c r="X245" s="106">
        <v>220</v>
      </c>
      <c r="Y245" s="106">
        <v>2200</v>
      </c>
      <c r="Z245" s="106" t="s">
        <v>2006</v>
      </c>
      <c r="AA245" s="106">
        <f t="shared" si="16"/>
        <v>0</v>
      </c>
      <c r="AB245" s="106">
        <f t="shared" si="17"/>
        <v>0</v>
      </c>
      <c r="AC245" s="94"/>
      <c r="AD245" s="94"/>
      <c r="AE245" s="94"/>
      <c r="AF245" s="94"/>
      <c r="AG245" s="94"/>
      <c r="AH245" s="263"/>
    </row>
    <row r="246" spans="1:34" ht="32.25" customHeight="1">
      <c r="A246" s="90" t="s">
        <v>240</v>
      </c>
      <c r="B246" s="88">
        <v>6000029810</v>
      </c>
      <c r="C246" s="192" t="s">
        <v>3407</v>
      </c>
      <c r="D246" s="117" t="s">
        <v>3408</v>
      </c>
      <c r="E246" s="94">
        <v>10</v>
      </c>
      <c r="F246" s="74">
        <v>260</v>
      </c>
      <c r="G246" s="45">
        <f t="shared" si="13"/>
        <v>2600</v>
      </c>
      <c r="H246" s="119" t="s">
        <v>46</v>
      </c>
      <c r="I246" s="128">
        <v>45405</v>
      </c>
      <c r="J246" s="74">
        <v>260</v>
      </c>
      <c r="K246" s="74"/>
      <c r="L246" s="156"/>
      <c r="M246" s="90">
        <v>2600</v>
      </c>
      <c r="N246" s="90"/>
      <c r="O246" s="90"/>
      <c r="P246" s="94" t="s">
        <v>1666</v>
      </c>
      <c r="Q246" s="94"/>
      <c r="R246" s="94"/>
      <c r="S246" s="94"/>
      <c r="T246" s="90" t="s">
        <v>1765</v>
      </c>
      <c r="U246" s="90"/>
      <c r="V246" s="90"/>
      <c r="W246" s="109">
        <v>45405</v>
      </c>
      <c r="X246" s="106">
        <v>260</v>
      </c>
      <c r="Y246" s="106">
        <v>2600</v>
      </c>
      <c r="Z246" s="106" t="s">
        <v>2006</v>
      </c>
      <c r="AA246" s="106">
        <f t="shared" si="16"/>
        <v>0</v>
      </c>
      <c r="AB246" s="106">
        <f t="shared" si="17"/>
        <v>0</v>
      </c>
      <c r="AC246" s="94"/>
      <c r="AD246" s="94"/>
      <c r="AE246" s="94"/>
      <c r="AF246" s="94"/>
      <c r="AG246" s="94"/>
      <c r="AH246" s="263"/>
    </row>
    <row r="247" spans="1:34" ht="32.25" customHeight="1">
      <c r="A247" s="90" t="s">
        <v>240</v>
      </c>
      <c r="B247" s="88">
        <v>6000029815</v>
      </c>
      <c r="C247" s="192" t="s">
        <v>3417</v>
      </c>
      <c r="D247" s="117" t="s">
        <v>3409</v>
      </c>
      <c r="E247" s="94">
        <v>30</v>
      </c>
      <c r="F247" s="74">
        <v>210</v>
      </c>
      <c r="G247" s="45">
        <f t="shared" si="13"/>
        <v>6300</v>
      </c>
      <c r="H247" s="119" t="s">
        <v>46</v>
      </c>
      <c r="I247" s="128">
        <v>45405</v>
      </c>
      <c r="J247" s="74">
        <v>210</v>
      </c>
      <c r="K247" s="74"/>
      <c r="L247" s="156"/>
      <c r="M247" s="90">
        <v>6300</v>
      </c>
      <c r="N247" s="90"/>
      <c r="O247" s="90"/>
      <c r="P247" s="94" t="s">
        <v>1666</v>
      </c>
      <c r="Q247" s="94"/>
      <c r="R247" s="94"/>
      <c r="S247" s="94"/>
      <c r="T247" s="90" t="s">
        <v>1765</v>
      </c>
      <c r="U247" s="90"/>
      <c r="V247" s="90"/>
      <c r="W247" s="109">
        <v>45406</v>
      </c>
      <c r="X247" s="106">
        <v>210</v>
      </c>
      <c r="Y247" s="106">
        <v>6300</v>
      </c>
      <c r="Z247" s="106" t="s">
        <v>2006</v>
      </c>
      <c r="AA247" s="106">
        <f t="shared" si="16"/>
        <v>0</v>
      </c>
      <c r="AB247" s="106">
        <f t="shared" si="17"/>
        <v>0</v>
      </c>
      <c r="AC247" s="94"/>
      <c r="AD247" s="94"/>
      <c r="AE247" s="94"/>
      <c r="AF247" s="94"/>
      <c r="AG247" s="94"/>
      <c r="AH247" s="263"/>
    </row>
    <row r="248" spans="1:34" ht="32.25" customHeight="1">
      <c r="A248" s="90" t="s">
        <v>240</v>
      </c>
      <c r="B248" s="367">
        <v>6000029135</v>
      </c>
      <c r="C248" s="192" t="s">
        <v>3417</v>
      </c>
      <c r="D248" s="117" t="s">
        <v>3418</v>
      </c>
      <c r="E248" s="94">
        <v>30</v>
      </c>
      <c r="F248" s="74">
        <v>100</v>
      </c>
      <c r="G248" s="45">
        <f t="shared" si="13"/>
        <v>3000</v>
      </c>
      <c r="H248" s="119" t="s">
        <v>46</v>
      </c>
      <c r="I248" s="128">
        <v>45406</v>
      </c>
      <c r="J248" s="74">
        <v>100</v>
      </c>
      <c r="K248" s="74"/>
      <c r="L248" s="156"/>
      <c r="M248" s="90">
        <v>3000</v>
      </c>
      <c r="N248" s="90"/>
      <c r="O248" s="90"/>
      <c r="P248" s="94" t="s">
        <v>1666</v>
      </c>
      <c r="Q248" s="94"/>
      <c r="R248" s="94"/>
      <c r="S248" s="94"/>
      <c r="T248" s="90" t="s">
        <v>1765</v>
      </c>
      <c r="U248" s="90"/>
      <c r="V248" s="90"/>
      <c r="W248" s="109">
        <v>45406</v>
      </c>
      <c r="X248" s="106">
        <v>100</v>
      </c>
      <c r="Y248" s="106">
        <v>3000</v>
      </c>
      <c r="Z248" s="106" t="s">
        <v>2006</v>
      </c>
      <c r="AA248" s="106">
        <f t="shared" si="16"/>
        <v>0</v>
      </c>
      <c r="AB248" s="106">
        <f t="shared" si="17"/>
        <v>0</v>
      </c>
      <c r="AC248" s="94"/>
      <c r="AD248" s="94"/>
      <c r="AE248" s="94"/>
      <c r="AF248" s="94"/>
      <c r="AG248" s="94"/>
      <c r="AH248" s="263"/>
    </row>
    <row r="249" spans="1:34" ht="32.25" customHeight="1">
      <c r="A249" s="90" t="s">
        <v>240</v>
      </c>
      <c r="B249" s="367">
        <v>6000029572</v>
      </c>
      <c r="C249" s="192" t="s">
        <v>3420</v>
      </c>
      <c r="D249" s="117" t="s">
        <v>3421</v>
      </c>
      <c r="E249" s="94">
        <v>10</v>
      </c>
      <c r="F249" s="74">
        <v>150</v>
      </c>
      <c r="G249" s="45">
        <f t="shared" si="13"/>
        <v>1500</v>
      </c>
      <c r="H249" s="119" t="s">
        <v>46</v>
      </c>
      <c r="I249" s="128">
        <v>45406</v>
      </c>
      <c r="J249" s="74">
        <v>150</v>
      </c>
      <c r="K249" s="74"/>
      <c r="L249" s="156"/>
      <c r="M249" s="90">
        <v>1500</v>
      </c>
      <c r="N249" s="90"/>
      <c r="O249" s="90"/>
      <c r="P249" s="94" t="s">
        <v>1666</v>
      </c>
      <c r="Q249" s="94"/>
      <c r="R249" s="94"/>
      <c r="S249" s="94"/>
      <c r="T249" s="90" t="s">
        <v>1765</v>
      </c>
      <c r="U249" s="90"/>
      <c r="V249" s="90"/>
      <c r="W249" s="109">
        <v>45407</v>
      </c>
      <c r="X249" s="106">
        <v>150</v>
      </c>
      <c r="Y249" s="106">
        <v>1500</v>
      </c>
      <c r="Z249" s="106" t="s">
        <v>2006</v>
      </c>
      <c r="AA249" s="106">
        <f t="shared" si="16"/>
        <v>0</v>
      </c>
      <c r="AB249" s="106">
        <f t="shared" si="17"/>
        <v>0</v>
      </c>
      <c r="AC249" s="94"/>
      <c r="AD249" s="94"/>
      <c r="AE249" s="94"/>
      <c r="AF249" s="94"/>
      <c r="AG249" s="94"/>
      <c r="AH249" s="263"/>
    </row>
    <row r="250" spans="1:34" ht="32.25" customHeight="1">
      <c r="A250" s="368" t="s">
        <v>3367</v>
      </c>
      <c r="B250" s="88">
        <v>6000030026</v>
      </c>
      <c r="C250" s="192" t="s">
        <v>381</v>
      </c>
      <c r="D250" s="192"/>
      <c r="E250" s="94"/>
      <c r="F250" s="74"/>
      <c r="G250" s="45">
        <f t="shared" si="13"/>
        <v>0</v>
      </c>
      <c r="H250" s="119" t="s">
        <v>146</v>
      </c>
      <c r="I250" s="128" t="s">
        <v>3470</v>
      </c>
      <c r="J250" s="74">
        <f>85+1</f>
        <v>86</v>
      </c>
      <c r="K250" s="74"/>
      <c r="L250" s="156">
        <v>45407</v>
      </c>
      <c r="M250" s="90">
        <v>860</v>
      </c>
      <c r="N250" s="90" t="s">
        <v>3425</v>
      </c>
      <c r="O250" s="90" t="s">
        <v>1549</v>
      </c>
      <c r="P250" s="94" t="s">
        <v>1666</v>
      </c>
      <c r="Q250" s="94"/>
      <c r="R250" s="94"/>
      <c r="S250" s="94"/>
      <c r="T250" s="90" t="s">
        <v>1765</v>
      </c>
      <c r="U250" s="90"/>
      <c r="V250" s="90"/>
      <c r="W250" s="109">
        <v>45418</v>
      </c>
      <c r="X250" s="106">
        <v>86</v>
      </c>
      <c r="Y250" s="106">
        <v>860</v>
      </c>
      <c r="Z250" s="106" t="s">
        <v>800</v>
      </c>
      <c r="AA250" s="106">
        <f t="shared" ref="AA250:AA280" si="18">J250-X250</f>
        <v>0</v>
      </c>
      <c r="AB250" s="106">
        <f t="shared" ref="AB250:AB280" si="19">M250-Y250</f>
        <v>0</v>
      </c>
      <c r="AC250" s="499" t="s">
        <v>3434</v>
      </c>
      <c r="AD250" s="94"/>
      <c r="AE250" s="94"/>
      <c r="AF250" s="94"/>
      <c r="AG250" s="94"/>
      <c r="AH250" s="263"/>
    </row>
    <row r="251" spans="1:34" ht="32.25" customHeight="1">
      <c r="A251" s="368" t="s">
        <v>3367</v>
      </c>
      <c r="B251" s="88">
        <v>6000030026</v>
      </c>
      <c r="C251" s="192" t="s">
        <v>379</v>
      </c>
      <c r="D251" s="192"/>
      <c r="E251" s="94">
        <v>10</v>
      </c>
      <c r="F251" s="74">
        <v>360</v>
      </c>
      <c r="G251" s="45">
        <f t="shared" si="13"/>
        <v>3600</v>
      </c>
      <c r="H251" s="119" t="s">
        <v>146</v>
      </c>
      <c r="I251" s="128">
        <v>45407</v>
      </c>
      <c r="J251" s="74">
        <v>360</v>
      </c>
      <c r="K251" s="74"/>
      <c r="L251" s="156">
        <v>45407</v>
      </c>
      <c r="M251" s="90">
        <v>3600</v>
      </c>
      <c r="N251" s="90" t="s">
        <v>3426</v>
      </c>
      <c r="O251" s="90" t="s">
        <v>734</v>
      </c>
      <c r="P251" s="94" t="s">
        <v>1666</v>
      </c>
      <c r="Q251" s="94"/>
      <c r="R251" s="94"/>
      <c r="S251" s="94"/>
      <c r="T251" s="90" t="s">
        <v>1765</v>
      </c>
      <c r="U251" s="90"/>
      <c r="V251" s="90"/>
      <c r="W251" s="109">
        <v>45409</v>
      </c>
      <c r="X251" s="106">
        <v>360</v>
      </c>
      <c r="Y251" s="106">
        <v>3600</v>
      </c>
      <c r="Z251" s="106" t="s">
        <v>759</v>
      </c>
      <c r="AA251" s="106">
        <f t="shared" si="18"/>
        <v>0</v>
      </c>
      <c r="AB251" s="106">
        <f t="shared" si="19"/>
        <v>0</v>
      </c>
      <c r="AC251" s="487"/>
      <c r="AD251" s="94"/>
      <c r="AE251" s="94"/>
      <c r="AF251" s="94"/>
      <c r="AG251" s="94"/>
      <c r="AH251" s="263"/>
    </row>
    <row r="252" spans="1:34" ht="32.25" customHeight="1">
      <c r="A252" s="368"/>
      <c r="B252" s="88"/>
      <c r="C252" s="192"/>
      <c r="D252" s="192"/>
      <c r="E252" s="94">
        <v>10</v>
      </c>
      <c r="F252" s="74">
        <v>650</v>
      </c>
      <c r="G252" s="45">
        <f t="shared" si="13"/>
        <v>6500</v>
      </c>
      <c r="H252" s="119" t="s">
        <v>46</v>
      </c>
      <c r="I252" s="128">
        <v>45423</v>
      </c>
      <c r="J252" s="74">
        <v>650</v>
      </c>
      <c r="K252" s="74"/>
      <c r="L252" s="156">
        <v>45423</v>
      </c>
      <c r="M252" s="90">
        <v>6500</v>
      </c>
      <c r="N252" s="90"/>
      <c r="O252" s="90"/>
      <c r="P252" s="94" t="s">
        <v>1666</v>
      </c>
      <c r="Q252" s="94"/>
      <c r="R252" s="94"/>
      <c r="S252" s="94"/>
      <c r="T252" s="90" t="s">
        <v>1765</v>
      </c>
      <c r="U252" s="90"/>
      <c r="V252" s="90"/>
      <c r="W252" s="109" t="s">
        <v>3589</v>
      </c>
      <c r="X252" s="106">
        <f>40+610</f>
        <v>650</v>
      </c>
      <c r="Y252" s="106">
        <f>400+6100</f>
        <v>6500</v>
      </c>
      <c r="Z252" s="106" t="s">
        <v>800</v>
      </c>
      <c r="AA252" s="106">
        <f>J252-X252</f>
        <v>0</v>
      </c>
      <c r="AB252" s="106">
        <f>M252-Y252</f>
        <v>0</v>
      </c>
      <c r="AC252" s="334"/>
      <c r="AD252" s="94"/>
      <c r="AE252" s="94"/>
      <c r="AF252" s="94"/>
      <c r="AG252" s="94"/>
      <c r="AH252" s="263"/>
    </row>
    <row r="253" spans="1:34" ht="32.25" customHeight="1">
      <c r="A253" s="90" t="s">
        <v>240</v>
      </c>
      <c r="B253" s="88">
        <v>6000029933</v>
      </c>
      <c r="C253" s="192" t="s">
        <v>882</v>
      </c>
      <c r="D253" s="2" t="s">
        <v>3429</v>
      </c>
      <c r="E253" s="94">
        <v>10</v>
      </c>
      <c r="F253" s="74">
        <v>43</v>
      </c>
      <c r="G253" s="45">
        <f t="shared" si="13"/>
        <v>430</v>
      </c>
      <c r="H253" s="119" t="s">
        <v>46</v>
      </c>
      <c r="I253" s="286">
        <v>45407</v>
      </c>
      <c r="J253" s="74">
        <v>43</v>
      </c>
      <c r="K253" s="74"/>
      <c r="L253" s="156">
        <v>45414</v>
      </c>
      <c r="M253" s="90">
        <v>430</v>
      </c>
      <c r="N253" s="90" t="s">
        <v>3469</v>
      </c>
      <c r="O253" s="90"/>
      <c r="P253" s="94" t="s">
        <v>1666</v>
      </c>
      <c r="Q253" s="94"/>
      <c r="R253" s="94"/>
      <c r="S253" s="94"/>
      <c r="T253" s="90" t="s">
        <v>1765</v>
      </c>
      <c r="U253" s="90"/>
      <c r="V253" s="90"/>
      <c r="W253" s="109">
        <v>45422</v>
      </c>
      <c r="X253" s="106">
        <v>43</v>
      </c>
      <c r="Y253" s="106">
        <v>430</v>
      </c>
      <c r="Z253" s="106" t="s">
        <v>3540</v>
      </c>
      <c r="AA253" s="106">
        <f t="shared" si="18"/>
        <v>0</v>
      </c>
      <c r="AB253" s="106">
        <f t="shared" si="19"/>
        <v>0</v>
      </c>
      <c r="AC253" s="94"/>
      <c r="AD253" s="94"/>
      <c r="AE253" s="94"/>
      <c r="AF253" s="94"/>
      <c r="AG253" s="94"/>
      <c r="AH253" s="263"/>
    </row>
    <row r="254" spans="1:34" ht="32.25" customHeight="1">
      <c r="A254" s="90" t="s">
        <v>240</v>
      </c>
      <c r="B254" s="88">
        <v>6000029933</v>
      </c>
      <c r="C254" s="192" t="s">
        <v>1385</v>
      </c>
      <c r="D254" s="2" t="s">
        <v>3431</v>
      </c>
      <c r="E254" s="94">
        <v>20</v>
      </c>
      <c r="F254" s="74">
        <v>70</v>
      </c>
      <c r="G254" s="45">
        <f t="shared" si="13"/>
        <v>1400</v>
      </c>
      <c r="H254" s="119" t="s">
        <v>46</v>
      </c>
      <c r="I254" s="286">
        <v>45407</v>
      </c>
      <c r="J254" s="74">
        <f>67+3</f>
        <v>70</v>
      </c>
      <c r="K254" s="74">
        <f>7+1</f>
        <v>8</v>
      </c>
      <c r="L254" s="156"/>
      <c r="M254" s="90"/>
      <c r="N254" s="90"/>
      <c r="O254" s="90"/>
      <c r="P254" s="94" t="s">
        <v>28</v>
      </c>
      <c r="Q254" s="94">
        <v>8500070893</v>
      </c>
      <c r="R254" s="94"/>
      <c r="S254" s="94"/>
      <c r="T254" s="90"/>
      <c r="U254" s="90"/>
      <c r="V254" s="90"/>
      <c r="W254" s="105"/>
      <c r="X254" s="106">
        <v>70</v>
      </c>
      <c r="Y254" s="106"/>
      <c r="Z254" s="106"/>
      <c r="AA254" s="106">
        <f t="shared" si="18"/>
        <v>0</v>
      </c>
      <c r="AB254" s="106">
        <f t="shared" si="19"/>
        <v>0</v>
      </c>
      <c r="AC254" s="94"/>
      <c r="AD254" s="94"/>
      <c r="AE254" s="94"/>
      <c r="AF254" s="94"/>
      <c r="AG254" s="94"/>
      <c r="AH254" s="263"/>
    </row>
    <row r="255" spans="1:34" ht="32.25" customHeight="1">
      <c r="A255" s="90" t="s">
        <v>3453</v>
      </c>
      <c r="B255" s="88">
        <v>6000030572</v>
      </c>
      <c r="C255" s="192" t="s">
        <v>3451</v>
      </c>
      <c r="D255" s="349" t="s">
        <v>3452</v>
      </c>
      <c r="E255" s="94">
        <v>10</v>
      </c>
      <c r="F255" s="74">
        <v>50</v>
      </c>
      <c r="G255" s="45">
        <f t="shared" si="13"/>
        <v>500</v>
      </c>
      <c r="H255" s="119" t="s">
        <v>27</v>
      </c>
      <c r="I255" s="128">
        <v>45411</v>
      </c>
      <c r="J255" s="74">
        <v>50</v>
      </c>
      <c r="K255" s="74">
        <v>6</v>
      </c>
      <c r="L255" s="344">
        <v>45411</v>
      </c>
      <c r="M255" s="90">
        <v>500</v>
      </c>
      <c r="N255" s="90">
        <v>25</v>
      </c>
      <c r="O255" s="90" t="s">
        <v>1732</v>
      </c>
      <c r="P255" s="94" t="s">
        <v>28</v>
      </c>
      <c r="Q255" s="94">
        <v>8500071155</v>
      </c>
      <c r="R255" s="94">
        <v>5000526376</v>
      </c>
      <c r="S255" s="94"/>
      <c r="T255" s="90" t="s">
        <v>87</v>
      </c>
      <c r="U255" s="90">
        <v>8500071159</v>
      </c>
      <c r="V255" s="90">
        <v>5000526189</v>
      </c>
      <c r="W255" s="109">
        <v>45418</v>
      </c>
      <c r="X255" s="106">
        <v>50</v>
      </c>
      <c r="Y255" s="106">
        <v>500</v>
      </c>
      <c r="Z255" s="106" t="s">
        <v>800</v>
      </c>
      <c r="AA255" s="106">
        <f t="shared" si="18"/>
        <v>0</v>
      </c>
      <c r="AB255" s="106">
        <f t="shared" si="19"/>
        <v>0</v>
      </c>
      <c r="AC255" s="94" t="s">
        <v>3518</v>
      </c>
      <c r="AD255" s="94"/>
      <c r="AE255" s="94"/>
      <c r="AF255" s="94"/>
      <c r="AG255" s="94"/>
      <c r="AH255" s="263"/>
    </row>
    <row r="256" spans="1:34" ht="32.25" customHeight="1">
      <c r="A256" s="90"/>
      <c r="B256" s="88"/>
      <c r="C256" s="192"/>
      <c r="D256" s="119"/>
      <c r="E256" s="94">
        <v>10</v>
      </c>
      <c r="F256" s="74">
        <v>50</v>
      </c>
      <c r="G256" s="45">
        <f t="shared" si="13"/>
        <v>500</v>
      </c>
      <c r="H256" s="119" t="s">
        <v>46</v>
      </c>
      <c r="I256" s="128">
        <v>45411</v>
      </c>
      <c r="J256" s="74">
        <v>50</v>
      </c>
      <c r="K256" s="74">
        <v>6</v>
      </c>
      <c r="L256" s="344">
        <v>45411</v>
      </c>
      <c r="M256" s="90">
        <v>500</v>
      </c>
      <c r="N256" s="90">
        <v>25</v>
      </c>
      <c r="O256" s="90" t="s">
        <v>1732</v>
      </c>
      <c r="P256" s="94" t="s">
        <v>28</v>
      </c>
      <c r="Q256" s="94">
        <v>8500071155</v>
      </c>
      <c r="R256" s="94">
        <v>5000526376</v>
      </c>
      <c r="S256" s="94"/>
      <c r="T256" s="90" t="s">
        <v>87</v>
      </c>
      <c r="U256" s="90">
        <v>8500071159</v>
      </c>
      <c r="V256" s="90">
        <v>5000526189</v>
      </c>
      <c r="W256" s="109">
        <v>45418</v>
      </c>
      <c r="X256" s="106">
        <v>50</v>
      </c>
      <c r="Y256" s="106">
        <v>500</v>
      </c>
      <c r="Z256" s="106" t="s">
        <v>800</v>
      </c>
      <c r="AA256" s="106">
        <f t="shared" si="18"/>
        <v>0</v>
      </c>
      <c r="AB256" s="106">
        <f t="shared" si="19"/>
        <v>0</v>
      </c>
      <c r="AC256" s="94" t="s">
        <v>3518</v>
      </c>
      <c r="AD256" s="94"/>
      <c r="AE256" s="94"/>
      <c r="AF256" s="94"/>
      <c r="AG256" s="94"/>
      <c r="AH256" s="263"/>
    </row>
    <row r="257" spans="1:34" ht="32.25" customHeight="1">
      <c r="A257" s="90"/>
      <c r="B257" s="88"/>
      <c r="C257" s="192"/>
      <c r="D257" s="192"/>
      <c r="E257" s="94">
        <v>10</v>
      </c>
      <c r="F257" s="74">
        <v>25</v>
      </c>
      <c r="G257" s="45">
        <f t="shared" si="13"/>
        <v>250</v>
      </c>
      <c r="H257" s="119" t="s">
        <v>37</v>
      </c>
      <c r="I257" s="128">
        <v>45411</v>
      </c>
      <c r="J257" s="74">
        <v>25</v>
      </c>
      <c r="K257" s="74">
        <f>5+1</f>
        <v>6</v>
      </c>
      <c r="L257" s="344">
        <v>45411</v>
      </c>
      <c r="M257" s="90">
        <v>250</v>
      </c>
      <c r="N257" s="90">
        <v>25</v>
      </c>
      <c r="O257" s="90" t="s">
        <v>1732</v>
      </c>
      <c r="P257" s="94" t="s">
        <v>28</v>
      </c>
      <c r="Q257" s="94">
        <v>8500071155</v>
      </c>
      <c r="R257" s="94">
        <v>5000526376</v>
      </c>
      <c r="S257" s="94"/>
      <c r="T257" s="90" t="s">
        <v>87</v>
      </c>
      <c r="U257" s="90">
        <v>8500071159</v>
      </c>
      <c r="V257" s="90">
        <v>5000526189</v>
      </c>
      <c r="W257" s="109">
        <v>45418</v>
      </c>
      <c r="X257" s="106">
        <v>25</v>
      </c>
      <c r="Y257" s="106">
        <v>250</v>
      </c>
      <c r="Z257" s="106" t="s">
        <v>800</v>
      </c>
      <c r="AA257" s="106">
        <f t="shared" si="18"/>
        <v>0</v>
      </c>
      <c r="AB257" s="106">
        <f t="shared" si="19"/>
        <v>0</v>
      </c>
      <c r="AC257" s="94" t="s">
        <v>3518</v>
      </c>
      <c r="AD257" s="94"/>
      <c r="AE257" s="94"/>
      <c r="AF257" s="94"/>
      <c r="AG257" s="94"/>
      <c r="AH257" s="263"/>
    </row>
    <row r="258" spans="1:34" ht="32.25" customHeight="1">
      <c r="A258" s="90" t="s">
        <v>707</v>
      </c>
      <c r="B258" s="88">
        <v>2000001343</v>
      </c>
      <c r="C258" s="192" t="s">
        <v>2044</v>
      </c>
      <c r="D258" s="2">
        <v>2000001343</v>
      </c>
      <c r="E258" s="94">
        <v>10</v>
      </c>
      <c r="F258" s="74">
        <v>1500</v>
      </c>
      <c r="G258" s="45">
        <f t="shared" si="13"/>
        <v>15000</v>
      </c>
      <c r="H258" s="119" t="s">
        <v>27</v>
      </c>
      <c r="I258" s="128">
        <v>45411</v>
      </c>
      <c r="J258" s="74">
        <v>1500</v>
      </c>
      <c r="K258" s="74">
        <f>15+5</f>
        <v>20</v>
      </c>
      <c r="L258" s="156">
        <v>45416</v>
      </c>
      <c r="M258" s="90">
        <v>15000</v>
      </c>
      <c r="N258" s="90" t="s">
        <v>3509</v>
      </c>
      <c r="O258" s="90"/>
      <c r="P258" s="94" t="s">
        <v>28</v>
      </c>
      <c r="Q258" s="94">
        <v>8500071016</v>
      </c>
      <c r="R258" s="94">
        <v>5000526458</v>
      </c>
      <c r="S258" s="94"/>
      <c r="T258" s="90" t="s">
        <v>924</v>
      </c>
      <c r="U258" s="90">
        <v>8500071017</v>
      </c>
      <c r="V258" s="90">
        <v>5000553192</v>
      </c>
      <c r="W258" s="109">
        <v>45437</v>
      </c>
      <c r="X258" s="106">
        <v>1500</v>
      </c>
      <c r="Y258" s="106">
        <f>5000+10000</f>
        <v>15000</v>
      </c>
      <c r="Z258" s="106" t="s">
        <v>1840</v>
      </c>
      <c r="AA258" s="106">
        <f t="shared" si="18"/>
        <v>0</v>
      </c>
      <c r="AB258" s="106">
        <f t="shared" si="19"/>
        <v>0</v>
      </c>
      <c r="AC258" s="94"/>
      <c r="AD258" s="94"/>
      <c r="AE258" s="94"/>
      <c r="AF258" s="94"/>
      <c r="AG258" s="94"/>
      <c r="AH258" s="263"/>
    </row>
    <row r="259" spans="1:34" ht="32.25" customHeight="1">
      <c r="A259" s="90"/>
      <c r="B259" s="88"/>
      <c r="C259" s="192"/>
      <c r="D259" s="2" t="s">
        <v>3576</v>
      </c>
      <c r="E259" s="94">
        <v>10</v>
      </c>
      <c r="F259" s="74">
        <v>1050</v>
      </c>
      <c r="G259" s="45">
        <f t="shared" si="13"/>
        <v>10500</v>
      </c>
      <c r="H259" s="119" t="s">
        <v>46</v>
      </c>
      <c r="I259" s="128">
        <v>45411</v>
      </c>
      <c r="J259" s="74">
        <v>1050</v>
      </c>
      <c r="K259" s="74">
        <v>11</v>
      </c>
      <c r="L259" s="156">
        <v>45416</v>
      </c>
      <c r="M259" s="90">
        <v>10500</v>
      </c>
      <c r="N259" s="90" t="s">
        <v>3510</v>
      </c>
      <c r="O259" s="90"/>
      <c r="P259" s="94" t="s">
        <v>28</v>
      </c>
      <c r="Q259" s="94">
        <v>8500071016</v>
      </c>
      <c r="R259" s="94">
        <v>5000526458</v>
      </c>
      <c r="S259" s="94"/>
      <c r="T259" s="90" t="s">
        <v>924</v>
      </c>
      <c r="U259" s="90">
        <v>8500071017</v>
      </c>
      <c r="V259" s="90">
        <v>5000553192</v>
      </c>
      <c r="W259" s="109">
        <v>45444</v>
      </c>
      <c r="X259" s="106">
        <v>1050</v>
      </c>
      <c r="Y259" s="106">
        <v>10500</v>
      </c>
      <c r="Z259" s="106" t="s">
        <v>1841</v>
      </c>
      <c r="AA259" s="106">
        <f t="shared" si="18"/>
        <v>0</v>
      </c>
      <c r="AB259" s="106">
        <f t="shared" si="19"/>
        <v>0</v>
      </c>
      <c r="AC259" s="94"/>
      <c r="AD259" s="94"/>
      <c r="AE259" s="94"/>
      <c r="AF259" s="94"/>
      <c r="AG259" s="94"/>
      <c r="AH259" s="263"/>
    </row>
    <row r="260" spans="1:34" ht="32.25" customHeight="1">
      <c r="A260" s="90"/>
      <c r="B260" s="88"/>
      <c r="C260" s="192"/>
      <c r="D260" s="2"/>
      <c r="E260" s="94">
        <v>10</v>
      </c>
      <c r="F260" s="74">
        <v>450</v>
      </c>
      <c r="G260" s="45">
        <f t="shared" si="13"/>
        <v>4500</v>
      </c>
      <c r="H260" s="119" t="s">
        <v>37</v>
      </c>
      <c r="I260" s="128">
        <v>45411</v>
      </c>
      <c r="J260" s="74">
        <v>450</v>
      </c>
      <c r="K260" s="74">
        <f>5+4</f>
        <v>9</v>
      </c>
      <c r="L260" s="156">
        <v>45416</v>
      </c>
      <c r="M260" s="90">
        <v>4500</v>
      </c>
      <c r="N260" s="90" t="s">
        <v>3511</v>
      </c>
      <c r="O260" s="90"/>
      <c r="P260" s="94" t="s">
        <v>28</v>
      </c>
      <c r="Q260" s="94">
        <v>8500071016</v>
      </c>
      <c r="R260" s="94">
        <v>5000526458</v>
      </c>
      <c r="S260" s="94"/>
      <c r="T260" s="90" t="s">
        <v>924</v>
      </c>
      <c r="U260" s="90">
        <v>8500071017</v>
      </c>
      <c r="V260" s="90">
        <v>5000553192</v>
      </c>
      <c r="W260" s="109">
        <v>45430</v>
      </c>
      <c r="X260" s="106">
        <v>450</v>
      </c>
      <c r="Y260" s="106">
        <v>4500</v>
      </c>
      <c r="Z260" s="106" t="s">
        <v>1841</v>
      </c>
      <c r="AA260" s="106">
        <f t="shared" si="18"/>
        <v>0</v>
      </c>
      <c r="AB260" s="106">
        <f t="shared" si="19"/>
        <v>0</v>
      </c>
      <c r="AC260" s="94"/>
      <c r="AD260" s="94"/>
      <c r="AE260" s="94"/>
      <c r="AF260" s="94"/>
      <c r="AG260" s="94"/>
      <c r="AH260" s="263"/>
    </row>
    <row r="261" spans="1:34" ht="32.25" customHeight="1">
      <c r="A261" s="90" t="s">
        <v>707</v>
      </c>
      <c r="B261" s="88">
        <v>2000001341</v>
      </c>
      <c r="C261" s="192" t="s">
        <v>2044</v>
      </c>
      <c r="D261" s="2">
        <v>2000001341</v>
      </c>
      <c r="E261" s="94">
        <v>10</v>
      </c>
      <c r="F261" s="74">
        <v>1660</v>
      </c>
      <c r="G261" s="45">
        <f t="shared" si="13"/>
        <v>16600</v>
      </c>
      <c r="H261" s="119" t="s">
        <v>27</v>
      </c>
      <c r="I261" s="128">
        <v>45411</v>
      </c>
      <c r="J261" s="74">
        <v>1660</v>
      </c>
      <c r="K261" s="74">
        <v>17</v>
      </c>
      <c r="L261" s="156">
        <v>45416</v>
      </c>
      <c r="M261" s="90">
        <v>16600</v>
      </c>
      <c r="N261" s="90" t="s">
        <v>3506</v>
      </c>
      <c r="O261" s="90"/>
      <c r="P261" s="94" t="s">
        <v>28</v>
      </c>
      <c r="Q261" s="94">
        <v>8500071126</v>
      </c>
      <c r="R261" s="94">
        <v>5000526471</v>
      </c>
      <c r="S261" s="94"/>
      <c r="T261" s="90" t="s">
        <v>924</v>
      </c>
      <c r="U261" s="90">
        <v>8500071127</v>
      </c>
      <c r="V261" s="90">
        <v>5000553375</v>
      </c>
      <c r="W261" s="109" t="s">
        <v>3589</v>
      </c>
      <c r="X261" s="106">
        <f>500+1160</f>
        <v>1660</v>
      </c>
      <c r="Y261" s="106">
        <f>5000+11600</f>
        <v>16600</v>
      </c>
      <c r="Z261" s="106" t="s">
        <v>3593</v>
      </c>
      <c r="AA261" s="106">
        <f t="shared" si="18"/>
        <v>0</v>
      </c>
      <c r="AB261" s="106">
        <f t="shared" si="19"/>
        <v>0</v>
      </c>
      <c r="AC261" s="94"/>
      <c r="AD261" s="94"/>
      <c r="AE261" s="94"/>
      <c r="AF261" s="94"/>
      <c r="AG261" s="94"/>
      <c r="AH261" s="263"/>
    </row>
    <row r="262" spans="1:34" ht="32.25" customHeight="1">
      <c r="A262" s="90"/>
      <c r="B262" s="88"/>
      <c r="C262" s="192"/>
      <c r="D262" s="2" t="s">
        <v>3576</v>
      </c>
      <c r="E262" s="94">
        <v>10</v>
      </c>
      <c r="F262" s="74">
        <v>1050</v>
      </c>
      <c r="G262" s="45">
        <f t="shared" si="13"/>
        <v>10500</v>
      </c>
      <c r="H262" s="119" t="s">
        <v>46</v>
      </c>
      <c r="I262" s="128">
        <v>45411</v>
      </c>
      <c r="J262" s="74">
        <v>1050</v>
      </c>
      <c r="K262" s="74">
        <v>11</v>
      </c>
      <c r="L262" s="156">
        <v>45416</v>
      </c>
      <c r="M262" s="90">
        <v>10500</v>
      </c>
      <c r="N262" s="90" t="s">
        <v>3507</v>
      </c>
      <c r="O262" s="90"/>
      <c r="P262" s="94" t="s">
        <v>28</v>
      </c>
      <c r="Q262" s="94">
        <v>8500071126</v>
      </c>
      <c r="R262" s="94">
        <v>5000526471</v>
      </c>
      <c r="S262" s="74"/>
      <c r="T262" s="90" t="s">
        <v>924</v>
      </c>
      <c r="U262" s="90">
        <v>8500071127</v>
      </c>
      <c r="V262" s="90">
        <v>5000553375</v>
      </c>
      <c r="W262" s="109" t="s">
        <v>3668</v>
      </c>
      <c r="X262" s="106">
        <f>200+850</f>
        <v>1050</v>
      </c>
      <c r="Y262" s="106">
        <v>10500</v>
      </c>
      <c r="Z262" s="106" t="s">
        <v>3669</v>
      </c>
      <c r="AA262" s="106">
        <f t="shared" si="18"/>
        <v>0</v>
      </c>
      <c r="AB262" s="106">
        <f t="shared" si="19"/>
        <v>0</v>
      </c>
      <c r="AC262" s="94"/>
      <c r="AD262" s="94"/>
      <c r="AE262" s="94"/>
      <c r="AF262" s="94"/>
      <c r="AG262" s="94"/>
      <c r="AH262" s="263"/>
    </row>
    <row r="263" spans="1:34" ht="32.25" customHeight="1">
      <c r="A263" s="90"/>
      <c r="B263" s="88"/>
      <c r="C263" s="192"/>
      <c r="D263" s="2"/>
      <c r="E263" s="94">
        <v>10</v>
      </c>
      <c r="F263" s="74">
        <v>450</v>
      </c>
      <c r="G263" s="45">
        <f t="shared" si="13"/>
        <v>4500</v>
      </c>
      <c r="H263" s="119" t="s">
        <v>37</v>
      </c>
      <c r="I263" s="128">
        <v>45411</v>
      </c>
      <c r="J263" s="74">
        <v>450</v>
      </c>
      <c r="K263" s="74">
        <f>5+1</f>
        <v>6</v>
      </c>
      <c r="L263" s="156">
        <v>45416</v>
      </c>
      <c r="M263" s="90">
        <v>4500</v>
      </c>
      <c r="N263" s="90" t="s">
        <v>3508</v>
      </c>
      <c r="O263" s="90"/>
      <c r="P263" s="94" t="s">
        <v>28</v>
      </c>
      <c r="Q263" s="94">
        <v>8500071126</v>
      </c>
      <c r="R263" s="94">
        <v>5000526471</v>
      </c>
      <c r="S263" s="74"/>
      <c r="T263" s="90" t="s">
        <v>924</v>
      </c>
      <c r="U263" s="90">
        <v>8500071127</v>
      </c>
      <c r="V263" s="90">
        <v>5000553375</v>
      </c>
      <c r="W263" s="109">
        <v>45428</v>
      </c>
      <c r="X263" s="106">
        <v>450</v>
      </c>
      <c r="Y263" s="106">
        <v>4500</v>
      </c>
      <c r="Z263" s="106" t="s">
        <v>816</v>
      </c>
      <c r="AA263" s="106">
        <f t="shared" si="18"/>
        <v>0</v>
      </c>
      <c r="AB263" s="106">
        <f t="shared" si="19"/>
        <v>0</v>
      </c>
      <c r="AC263" s="94"/>
      <c r="AD263" s="94"/>
      <c r="AE263" s="94"/>
      <c r="AF263" s="94"/>
      <c r="AG263" s="94"/>
      <c r="AH263" s="263"/>
    </row>
    <row r="264" spans="1:34" ht="32.25" customHeight="1">
      <c r="A264" s="90" t="s">
        <v>707</v>
      </c>
      <c r="B264" s="88">
        <v>2000001344</v>
      </c>
      <c r="C264" s="192" t="s">
        <v>2044</v>
      </c>
      <c r="D264" s="2">
        <v>2000001344</v>
      </c>
      <c r="E264" s="94">
        <v>10</v>
      </c>
      <c r="F264" s="74">
        <v>1500</v>
      </c>
      <c r="G264" s="45">
        <f t="shared" ref="G264:G272" si="20">F264*E264</f>
        <v>15000</v>
      </c>
      <c r="H264" s="119" t="s">
        <v>27</v>
      </c>
      <c r="I264" s="128">
        <v>45418</v>
      </c>
      <c r="J264" s="74">
        <v>1500</v>
      </c>
      <c r="K264" s="74">
        <v>16</v>
      </c>
      <c r="L264" s="156">
        <v>45416</v>
      </c>
      <c r="M264" s="90">
        <v>15000</v>
      </c>
      <c r="N264" s="90" t="s">
        <v>3512</v>
      </c>
      <c r="O264" s="90"/>
      <c r="P264" s="94" t="s">
        <v>28</v>
      </c>
      <c r="Q264" s="94">
        <v>8500071018</v>
      </c>
      <c r="R264" s="94">
        <v>5000553498</v>
      </c>
      <c r="S264" s="74"/>
      <c r="T264" s="90" t="s">
        <v>924</v>
      </c>
      <c r="U264" s="90">
        <v>8500071019</v>
      </c>
      <c r="V264" s="90">
        <v>5000553401</v>
      </c>
      <c r="W264" s="109">
        <v>45451</v>
      </c>
      <c r="X264" s="106">
        <v>1500</v>
      </c>
      <c r="Y264" s="106">
        <v>15000</v>
      </c>
      <c r="Z264" s="106" t="s">
        <v>1840</v>
      </c>
      <c r="AA264" s="106">
        <f t="shared" si="18"/>
        <v>0</v>
      </c>
      <c r="AB264" s="106">
        <f t="shared" si="19"/>
        <v>0</v>
      </c>
      <c r="AC264" s="94"/>
      <c r="AD264" s="94"/>
      <c r="AE264" s="94"/>
      <c r="AF264" s="94"/>
      <c r="AG264" s="94"/>
      <c r="AH264" s="263"/>
    </row>
    <row r="265" spans="1:34" ht="32.25" customHeight="1">
      <c r="A265" s="45"/>
      <c r="B265" s="121"/>
      <c r="C265" s="192"/>
      <c r="D265" s="2" t="s">
        <v>3576</v>
      </c>
      <c r="E265" s="94">
        <v>10</v>
      </c>
      <c r="F265" s="74">
        <v>1050</v>
      </c>
      <c r="G265" s="45">
        <f t="shared" si="20"/>
        <v>10500</v>
      </c>
      <c r="H265" s="119" t="s">
        <v>46</v>
      </c>
      <c r="I265" s="128">
        <v>45418</v>
      </c>
      <c r="J265" s="74">
        <v>1050</v>
      </c>
      <c r="K265" s="74">
        <v>11</v>
      </c>
      <c r="L265" s="156">
        <v>45416</v>
      </c>
      <c r="M265" s="90">
        <v>10500</v>
      </c>
      <c r="N265" s="90" t="s">
        <v>3513</v>
      </c>
      <c r="O265" s="90"/>
      <c r="P265" s="94" t="s">
        <v>28</v>
      </c>
      <c r="Q265" s="94">
        <v>8500071018</v>
      </c>
      <c r="R265" s="94">
        <v>5000553498</v>
      </c>
      <c r="S265" s="74"/>
      <c r="T265" s="90" t="s">
        <v>924</v>
      </c>
      <c r="U265" s="90">
        <v>8500071019</v>
      </c>
      <c r="V265" s="90">
        <v>5000553401</v>
      </c>
      <c r="W265" s="109">
        <v>45451</v>
      </c>
      <c r="X265" s="106">
        <v>1050</v>
      </c>
      <c r="Y265" s="106">
        <v>10500</v>
      </c>
      <c r="Z265" s="106" t="s">
        <v>1841</v>
      </c>
      <c r="AA265" s="106">
        <f t="shared" si="18"/>
        <v>0</v>
      </c>
      <c r="AB265" s="106">
        <f t="shared" si="19"/>
        <v>0</v>
      </c>
      <c r="AC265" s="94"/>
      <c r="AD265" s="94"/>
      <c r="AE265" s="94"/>
      <c r="AF265" s="94"/>
      <c r="AG265" s="94"/>
      <c r="AH265" s="263"/>
    </row>
    <row r="266" spans="1:34" ht="32.25" customHeight="1">
      <c r="A266" s="90"/>
      <c r="B266" s="121"/>
      <c r="C266" s="192"/>
      <c r="D266" s="121"/>
      <c r="E266" s="94">
        <v>10</v>
      </c>
      <c r="F266" s="74">
        <v>450</v>
      </c>
      <c r="G266" s="45">
        <f t="shared" si="20"/>
        <v>4500</v>
      </c>
      <c r="H266" s="119" t="s">
        <v>37</v>
      </c>
      <c r="I266" s="128">
        <v>45411</v>
      </c>
      <c r="J266" s="74">
        <v>450</v>
      </c>
      <c r="K266" s="74">
        <f>5+2</f>
        <v>7</v>
      </c>
      <c r="L266" s="156">
        <v>45416</v>
      </c>
      <c r="M266" s="90">
        <v>4500</v>
      </c>
      <c r="N266" s="90" t="s">
        <v>3511</v>
      </c>
      <c r="O266" s="90"/>
      <c r="P266" s="94" t="s">
        <v>28</v>
      </c>
      <c r="Q266" s="94">
        <v>8500071018</v>
      </c>
      <c r="R266" s="94">
        <v>5000526474</v>
      </c>
      <c r="S266" s="94"/>
      <c r="T266" s="90" t="s">
        <v>924</v>
      </c>
      <c r="U266" s="90">
        <v>8500071019</v>
      </c>
      <c r="V266" s="90">
        <v>5000553401</v>
      </c>
      <c r="W266" s="109">
        <v>45435</v>
      </c>
      <c r="X266" s="106">
        <v>450</v>
      </c>
      <c r="Y266" s="106">
        <v>4500</v>
      </c>
      <c r="Z266" s="106" t="s">
        <v>1841</v>
      </c>
      <c r="AA266" s="106">
        <f t="shared" si="18"/>
        <v>0</v>
      </c>
      <c r="AB266" s="106">
        <f t="shared" si="19"/>
        <v>0</v>
      </c>
      <c r="AC266" s="94"/>
      <c r="AD266" s="94"/>
      <c r="AE266" s="94"/>
      <c r="AF266" s="94"/>
      <c r="AG266" s="94"/>
      <c r="AH266" s="263"/>
    </row>
    <row r="267" spans="1:34" ht="32.25" customHeight="1">
      <c r="A267" s="90" t="s">
        <v>720</v>
      </c>
      <c r="B267" s="88">
        <v>2000001345</v>
      </c>
      <c r="C267" s="192" t="s">
        <v>1781</v>
      </c>
      <c r="D267" s="2">
        <v>2000001345</v>
      </c>
      <c r="E267" s="94">
        <v>10</v>
      </c>
      <c r="F267" s="74">
        <v>100</v>
      </c>
      <c r="G267" s="45">
        <f t="shared" si="20"/>
        <v>1000</v>
      </c>
      <c r="H267" s="119" t="s">
        <v>243</v>
      </c>
      <c r="I267" s="128">
        <v>45429</v>
      </c>
      <c r="J267" s="74">
        <v>100</v>
      </c>
      <c r="K267" s="74">
        <f>1+1</f>
        <v>2</v>
      </c>
      <c r="L267" s="156">
        <v>45433</v>
      </c>
      <c r="M267" s="90">
        <v>1000</v>
      </c>
      <c r="N267" s="90">
        <v>10</v>
      </c>
      <c r="O267" s="90" t="s">
        <v>1574</v>
      </c>
      <c r="P267" s="94" t="s">
        <v>28</v>
      </c>
      <c r="Q267" s="94">
        <v>8500071123</v>
      </c>
      <c r="R267" s="94">
        <v>5000608861</v>
      </c>
      <c r="S267" s="94"/>
      <c r="T267" s="90" t="s">
        <v>1558</v>
      </c>
      <c r="U267" s="90">
        <v>8500071122</v>
      </c>
      <c r="V267" s="90">
        <v>5000629270</v>
      </c>
      <c r="W267" s="109">
        <v>45443</v>
      </c>
      <c r="X267" s="106">
        <v>100</v>
      </c>
      <c r="Y267" s="106">
        <v>1000</v>
      </c>
      <c r="Z267" s="106" t="s">
        <v>1980</v>
      </c>
      <c r="AA267" s="106">
        <f t="shared" ref="AA267:AA272" si="21">J267-X267</f>
        <v>0</v>
      </c>
      <c r="AB267" s="106">
        <f t="shared" ref="AB267:AB272" si="22">M267-Y267</f>
        <v>0</v>
      </c>
      <c r="AC267" s="94"/>
      <c r="AD267" s="94"/>
      <c r="AE267" s="94"/>
      <c r="AF267" s="94"/>
      <c r="AG267" s="94"/>
      <c r="AH267" s="263"/>
    </row>
    <row r="268" spans="1:34" ht="32.25" customHeight="1">
      <c r="A268" s="90"/>
      <c r="B268" s="88"/>
      <c r="C268" s="192"/>
      <c r="D268" s="2" t="s">
        <v>3643</v>
      </c>
      <c r="E268" s="94">
        <v>10</v>
      </c>
      <c r="F268" s="74">
        <v>100</v>
      </c>
      <c r="G268" s="45">
        <f t="shared" si="20"/>
        <v>1000</v>
      </c>
      <c r="H268" s="119" t="s">
        <v>27</v>
      </c>
      <c r="I268" s="128">
        <v>45429</v>
      </c>
      <c r="J268" s="74">
        <v>100</v>
      </c>
      <c r="K268" s="74">
        <f>1+1</f>
        <v>2</v>
      </c>
      <c r="L268" s="156">
        <v>45433</v>
      </c>
      <c r="M268" s="90">
        <v>1000</v>
      </c>
      <c r="N268" s="90">
        <v>10</v>
      </c>
      <c r="O268" s="90" t="s">
        <v>1813</v>
      </c>
      <c r="P268" s="94" t="s">
        <v>28</v>
      </c>
      <c r="Q268" s="94">
        <v>8500071123</v>
      </c>
      <c r="R268" s="94">
        <v>5000608861</v>
      </c>
      <c r="S268" s="94"/>
      <c r="T268" s="90" t="s">
        <v>1558</v>
      </c>
      <c r="U268" s="90">
        <v>8500071122</v>
      </c>
      <c r="V268" s="90">
        <v>5000629270</v>
      </c>
      <c r="W268" s="109">
        <v>45476</v>
      </c>
      <c r="X268" s="106">
        <v>100</v>
      </c>
      <c r="Y268" s="106">
        <v>1000</v>
      </c>
      <c r="Z268" s="106" t="s">
        <v>803</v>
      </c>
      <c r="AA268" s="106">
        <f t="shared" si="21"/>
        <v>0</v>
      </c>
      <c r="AB268" s="106">
        <f t="shared" si="22"/>
        <v>0</v>
      </c>
      <c r="AC268" s="94"/>
      <c r="AD268" s="94"/>
      <c r="AE268" s="94"/>
      <c r="AF268" s="94"/>
      <c r="AG268" s="94"/>
      <c r="AH268" s="263"/>
    </row>
    <row r="269" spans="1:34" ht="32.25" customHeight="1">
      <c r="A269" s="90"/>
      <c r="B269" s="88"/>
      <c r="C269" s="192"/>
      <c r="D269" s="2"/>
      <c r="E269" s="94">
        <v>10</v>
      </c>
      <c r="F269" s="74">
        <v>1300</v>
      </c>
      <c r="G269" s="45">
        <f t="shared" si="20"/>
        <v>13000</v>
      </c>
      <c r="H269" s="119" t="s">
        <v>46</v>
      </c>
      <c r="I269" s="128">
        <v>45429</v>
      </c>
      <c r="J269" s="74">
        <v>1300</v>
      </c>
      <c r="K269" s="74">
        <f>13+1</f>
        <v>14</v>
      </c>
      <c r="L269" s="156">
        <v>45433</v>
      </c>
      <c r="M269" s="90">
        <v>13000</v>
      </c>
      <c r="N269" s="90">
        <v>130</v>
      </c>
      <c r="O269" s="90" t="s">
        <v>1784</v>
      </c>
      <c r="P269" s="94" t="s">
        <v>28</v>
      </c>
      <c r="Q269" s="94">
        <v>8500071123</v>
      </c>
      <c r="R269" s="94">
        <v>5000608861</v>
      </c>
      <c r="S269" s="94"/>
      <c r="T269" s="90" t="s">
        <v>1558</v>
      </c>
      <c r="U269" s="90">
        <v>8500071122</v>
      </c>
      <c r="V269" s="90">
        <v>5000629270</v>
      </c>
      <c r="W269" s="109" t="s">
        <v>3673</v>
      </c>
      <c r="X269" s="106">
        <f>50+1250</f>
        <v>1300</v>
      </c>
      <c r="Y269" s="106">
        <f>500+12500</f>
        <v>13000</v>
      </c>
      <c r="Z269" s="106" t="s">
        <v>2653</v>
      </c>
      <c r="AA269" s="106">
        <f t="shared" si="21"/>
        <v>0</v>
      </c>
      <c r="AB269" s="106">
        <f t="shared" si="22"/>
        <v>0</v>
      </c>
      <c r="AC269" s="94"/>
      <c r="AD269" s="94"/>
      <c r="AE269" s="94"/>
      <c r="AF269" s="94"/>
      <c r="AG269" s="94"/>
      <c r="AH269" s="263"/>
    </row>
    <row r="270" spans="1:34" ht="32.25" customHeight="1">
      <c r="A270" s="90" t="s">
        <v>720</v>
      </c>
      <c r="B270" s="88">
        <v>2000001345</v>
      </c>
      <c r="C270" s="192" t="s">
        <v>721</v>
      </c>
      <c r="D270" s="2" t="s">
        <v>3645</v>
      </c>
      <c r="E270" s="94">
        <v>10</v>
      </c>
      <c r="F270" s="218">
        <v>600</v>
      </c>
      <c r="G270" s="219">
        <f t="shared" si="20"/>
        <v>6000</v>
      </c>
      <c r="H270" s="227" t="s">
        <v>27</v>
      </c>
      <c r="I270" s="128">
        <v>45429</v>
      </c>
      <c r="J270" s="74">
        <v>600</v>
      </c>
      <c r="K270" s="74">
        <v>6</v>
      </c>
      <c r="L270" s="156">
        <v>45433</v>
      </c>
      <c r="M270" s="90">
        <v>6000</v>
      </c>
      <c r="N270" s="90">
        <v>60</v>
      </c>
      <c r="O270" s="90" t="s">
        <v>3373</v>
      </c>
      <c r="P270" s="94" t="s">
        <v>28</v>
      </c>
      <c r="Q270" s="94">
        <v>8500071125</v>
      </c>
      <c r="R270" s="94">
        <v>5000608837</v>
      </c>
      <c r="S270" s="94"/>
      <c r="T270" s="90" t="s">
        <v>1558</v>
      </c>
      <c r="U270" s="90">
        <v>8500071124</v>
      </c>
      <c r="V270" s="90">
        <v>5000629271</v>
      </c>
      <c r="W270" s="109" t="s">
        <v>3698</v>
      </c>
      <c r="X270" s="106">
        <f>295+305</f>
        <v>600</v>
      </c>
      <c r="Y270" s="106">
        <f>2950+3050</f>
        <v>6000</v>
      </c>
      <c r="Z270" s="106" t="s">
        <v>2085</v>
      </c>
      <c r="AA270" s="106">
        <f t="shared" si="21"/>
        <v>0</v>
      </c>
      <c r="AB270" s="106">
        <f t="shared" si="22"/>
        <v>0</v>
      </c>
      <c r="AC270" s="94"/>
      <c r="AD270" s="94"/>
      <c r="AE270" s="94"/>
      <c r="AF270" s="94"/>
      <c r="AG270" s="94"/>
      <c r="AH270" s="263"/>
    </row>
    <row r="271" spans="1:34" ht="32.25" customHeight="1">
      <c r="A271" s="90"/>
      <c r="B271" s="121"/>
      <c r="C271" s="192"/>
      <c r="D271" s="121"/>
      <c r="E271" s="94">
        <v>10</v>
      </c>
      <c r="F271" s="218">
        <v>700</v>
      </c>
      <c r="G271" s="219">
        <f t="shared" si="20"/>
        <v>7000</v>
      </c>
      <c r="H271" s="227" t="s">
        <v>46</v>
      </c>
      <c r="I271" s="128">
        <v>45429</v>
      </c>
      <c r="J271" s="74">
        <v>700</v>
      </c>
      <c r="K271" s="74">
        <v>6</v>
      </c>
      <c r="L271" s="156">
        <v>45433</v>
      </c>
      <c r="M271" s="90">
        <v>7000</v>
      </c>
      <c r="N271" s="90">
        <v>70</v>
      </c>
      <c r="O271" s="90" t="s">
        <v>1412</v>
      </c>
      <c r="P271" s="94" t="s">
        <v>28</v>
      </c>
      <c r="Q271" s="94">
        <v>8500071125</v>
      </c>
      <c r="R271" s="94">
        <v>5000608837</v>
      </c>
      <c r="S271" s="94"/>
      <c r="T271" s="90" t="s">
        <v>1558</v>
      </c>
      <c r="U271" s="90">
        <v>8500071124</v>
      </c>
      <c r="V271" s="90">
        <v>5000629271</v>
      </c>
      <c r="W271" s="109">
        <v>45443</v>
      </c>
      <c r="X271" s="106">
        <v>700</v>
      </c>
      <c r="Y271" s="106">
        <v>7000</v>
      </c>
      <c r="Z271" s="106" t="s">
        <v>1980</v>
      </c>
      <c r="AA271" s="106">
        <f t="shared" si="21"/>
        <v>0</v>
      </c>
      <c r="AB271" s="106">
        <f t="shared" si="22"/>
        <v>0</v>
      </c>
      <c r="AC271" s="94"/>
      <c r="AD271" s="94"/>
      <c r="AE271" s="94"/>
      <c r="AF271" s="94"/>
      <c r="AG271" s="94"/>
      <c r="AH271" s="263"/>
    </row>
    <row r="272" spans="1:34" ht="32.25" customHeight="1">
      <c r="A272" s="90"/>
      <c r="B272" s="121"/>
      <c r="C272" s="192"/>
      <c r="D272" s="121"/>
      <c r="E272" s="94">
        <v>10</v>
      </c>
      <c r="F272" s="218">
        <v>200</v>
      </c>
      <c r="G272" s="219">
        <f t="shared" si="20"/>
        <v>2000</v>
      </c>
      <c r="H272" s="227" t="s">
        <v>37</v>
      </c>
      <c r="I272" s="128">
        <v>45429</v>
      </c>
      <c r="J272" s="74">
        <v>200</v>
      </c>
      <c r="K272" s="74">
        <f>2+2</f>
        <v>4</v>
      </c>
      <c r="L272" s="156">
        <v>45433</v>
      </c>
      <c r="M272" s="90">
        <v>2000</v>
      </c>
      <c r="N272" s="90">
        <v>20</v>
      </c>
      <c r="O272" s="90" t="s">
        <v>1344</v>
      </c>
      <c r="P272" s="94" t="s">
        <v>28</v>
      </c>
      <c r="Q272" s="94">
        <v>8500071125</v>
      </c>
      <c r="R272" s="94">
        <v>5000608837</v>
      </c>
      <c r="S272" s="94"/>
      <c r="T272" s="90" t="s">
        <v>1558</v>
      </c>
      <c r="U272" s="90">
        <v>8500071124</v>
      </c>
      <c r="V272" s="90">
        <v>5000629271</v>
      </c>
      <c r="W272" s="109">
        <v>45443</v>
      </c>
      <c r="X272" s="106">
        <v>200</v>
      </c>
      <c r="Y272" s="106">
        <v>2000</v>
      </c>
      <c r="Z272" s="106" t="s">
        <v>1980</v>
      </c>
      <c r="AA272" s="106">
        <f t="shared" si="21"/>
        <v>0</v>
      </c>
      <c r="AB272" s="106">
        <f t="shared" si="22"/>
        <v>0</v>
      </c>
      <c r="AC272" s="94"/>
      <c r="AD272" s="94"/>
      <c r="AE272" s="94"/>
      <c r="AF272" s="94"/>
      <c r="AG272" s="94"/>
      <c r="AH272" s="263"/>
    </row>
    <row r="273" spans="1:34" ht="32.25" customHeight="1">
      <c r="A273" s="45" t="s">
        <v>1610</v>
      </c>
      <c r="B273" s="121">
        <v>6000030280</v>
      </c>
      <c r="C273" s="2" t="s">
        <v>1611</v>
      </c>
      <c r="D273" s="2" t="s">
        <v>3457</v>
      </c>
      <c r="E273" s="94">
        <v>4</v>
      </c>
      <c r="F273" s="74">
        <v>1000</v>
      </c>
      <c r="G273" s="45">
        <f t="shared" ref="G273:G290" si="23">F273*E273</f>
        <v>4000</v>
      </c>
      <c r="H273" s="119" t="s">
        <v>46</v>
      </c>
      <c r="I273" s="128">
        <v>45411</v>
      </c>
      <c r="J273" s="74">
        <v>1000</v>
      </c>
      <c r="K273" s="74">
        <f>11+3</f>
        <v>14</v>
      </c>
      <c r="L273" s="156">
        <v>45414</v>
      </c>
      <c r="M273" s="90">
        <v>4000</v>
      </c>
      <c r="N273" s="90"/>
      <c r="O273" s="90"/>
      <c r="P273" s="94" t="s">
        <v>160</v>
      </c>
      <c r="Q273" s="94">
        <v>8500070936</v>
      </c>
      <c r="R273" s="94"/>
      <c r="S273" s="94"/>
      <c r="T273" s="90" t="s">
        <v>1666</v>
      </c>
      <c r="U273" s="90"/>
      <c r="V273" s="90"/>
      <c r="W273" s="109">
        <v>45419</v>
      </c>
      <c r="X273" s="106">
        <v>1000</v>
      </c>
      <c r="Y273" s="106">
        <v>4000</v>
      </c>
      <c r="Z273" s="106" t="s">
        <v>2006</v>
      </c>
      <c r="AA273" s="106">
        <f t="shared" si="18"/>
        <v>0</v>
      </c>
      <c r="AB273" s="106">
        <f t="shared" si="19"/>
        <v>0</v>
      </c>
      <c r="AC273" s="94"/>
      <c r="AD273" s="94"/>
      <c r="AE273" s="94"/>
      <c r="AF273" s="94"/>
      <c r="AG273" s="94"/>
      <c r="AH273" s="263"/>
    </row>
    <row r="274" spans="1:34" ht="32.25" customHeight="1">
      <c r="A274" s="45" t="s">
        <v>1610</v>
      </c>
      <c r="B274" s="121">
        <v>6000030279</v>
      </c>
      <c r="C274" s="2" t="s">
        <v>1611</v>
      </c>
      <c r="D274" s="2" t="s">
        <v>3460</v>
      </c>
      <c r="E274" s="94">
        <v>4</v>
      </c>
      <c r="F274" s="74">
        <v>3000</v>
      </c>
      <c r="G274" s="45">
        <f t="shared" si="23"/>
        <v>12000</v>
      </c>
      <c r="H274" s="119" t="s">
        <v>46</v>
      </c>
      <c r="I274" s="128">
        <v>45416</v>
      </c>
      <c r="J274" s="74">
        <v>3000</v>
      </c>
      <c r="K274" s="74">
        <v>34</v>
      </c>
      <c r="L274" s="156">
        <v>45414</v>
      </c>
      <c r="M274" s="90">
        <v>12000</v>
      </c>
      <c r="N274" s="90">
        <v>59</v>
      </c>
      <c r="O274" s="90"/>
      <c r="P274" s="94" t="s">
        <v>160</v>
      </c>
      <c r="Q274" s="94">
        <v>8500070933</v>
      </c>
      <c r="R274" s="94"/>
      <c r="S274" s="74"/>
      <c r="T274" s="90" t="s">
        <v>1666</v>
      </c>
      <c r="U274" s="90"/>
      <c r="V274" s="90"/>
      <c r="W274" s="109">
        <v>45416</v>
      </c>
      <c r="X274" s="106">
        <v>3000</v>
      </c>
      <c r="Y274" s="106">
        <v>12000</v>
      </c>
      <c r="Z274" s="106" t="s">
        <v>2006</v>
      </c>
      <c r="AA274" s="106">
        <f t="shared" si="18"/>
        <v>0</v>
      </c>
      <c r="AB274" s="106">
        <f t="shared" si="19"/>
        <v>0</v>
      </c>
      <c r="AC274" s="94" t="s">
        <v>3553</v>
      </c>
      <c r="AD274" s="94"/>
      <c r="AE274" s="94"/>
      <c r="AF274" s="94"/>
      <c r="AG274" s="94"/>
      <c r="AH274" s="263"/>
    </row>
    <row r="275" spans="1:34" ht="32.25" customHeight="1">
      <c r="A275" s="45" t="s">
        <v>1610</v>
      </c>
      <c r="B275" s="121">
        <v>6000030282</v>
      </c>
      <c r="C275" s="2" t="s">
        <v>1611</v>
      </c>
      <c r="D275" s="2" t="s">
        <v>3462</v>
      </c>
      <c r="E275" s="94">
        <v>4</v>
      </c>
      <c r="F275" s="74">
        <v>5100</v>
      </c>
      <c r="G275" s="45">
        <f t="shared" si="23"/>
        <v>20400</v>
      </c>
      <c r="H275" s="119" t="s">
        <v>46</v>
      </c>
      <c r="I275" s="128" t="s">
        <v>3470</v>
      </c>
      <c r="J275" s="74">
        <f>4000+1100</f>
        <v>5100</v>
      </c>
      <c r="K275" s="74">
        <v>40</v>
      </c>
      <c r="L275" s="156">
        <v>45411</v>
      </c>
      <c r="M275" s="90">
        <v>20400</v>
      </c>
      <c r="N275" s="90">
        <v>100</v>
      </c>
      <c r="O275" s="90"/>
      <c r="P275" s="94" t="s">
        <v>1666</v>
      </c>
      <c r="Q275" s="94">
        <v>8500071423</v>
      </c>
      <c r="R275" s="94">
        <v>5000663713</v>
      </c>
      <c r="S275" s="94"/>
      <c r="T275" s="90" t="s">
        <v>1666</v>
      </c>
      <c r="U275" s="90">
        <v>8500071422</v>
      </c>
      <c r="V275" s="90">
        <v>5000663711</v>
      </c>
      <c r="W275" s="109" t="s">
        <v>3485</v>
      </c>
      <c r="X275" s="106">
        <f>4000+1100</f>
        <v>5100</v>
      </c>
      <c r="Y275" s="106">
        <f>16000+4400</f>
        <v>20400</v>
      </c>
      <c r="Z275" s="106" t="s">
        <v>3486</v>
      </c>
      <c r="AA275" s="106">
        <f t="shared" si="18"/>
        <v>0</v>
      </c>
      <c r="AB275" s="106">
        <f t="shared" si="19"/>
        <v>0</v>
      </c>
      <c r="AC275" s="94" t="s">
        <v>3487</v>
      </c>
      <c r="AD275" s="94"/>
      <c r="AE275" s="94"/>
      <c r="AF275" s="94"/>
      <c r="AG275" s="94"/>
      <c r="AH275" s="263"/>
    </row>
    <row r="276" spans="1:34" ht="32.25" customHeight="1">
      <c r="A276" s="90" t="s">
        <v>240</v>
      </c>
      <c r="B276" s="121">
        <v>6000029215</v>
      </c>
      <c r="C276" s="192" t="s">
        <v>3407</v>
      </c>
      <c r="D276" s="2" t="s">
        <v>3466</v>
      </c>
      <c r="E276" s="94">
        <v>10</v>
      </c>
      <c r="F276" s="74">
        <v>150</v>
      </c>
      <c r="G276" s="45">
        <f t="shared" si="23"/>
        <v>1500</v>
      </c>
      <c r="H276" s="119" t="s">
        <v>46</v>
      </c>
      <c r="I276" s="128">
        <v>45411</v>
      </c>
      <c r="J276" s="74">
        <v>150</v>
      </c>
      <c r="K276" s="74"/>
      <c r="L276" s="156">
        <v>45411</v>
      </c>
      <c r="M276" s="90">
        <v>1500</v>
      </c>
      <c r="N276" s="90"/>
      <c r="O276" s="90"/>
      <c r="P276" s="94" t="s">
        <v>1666</v>
      </c>
      <c r="Q276" s="94"/>
      <c r="R276" s="94"/>
      <c r="S276" s="94"/>
      <c r="T276" s="90" t="s">
        <v>1666</v>
      </c>
      <c r="U276" s="90"/>
      <c r="V276" s="90"/>
      <c r="W276" s="109">
        <v>45411</v>
      </c>
      <c r="X276" s="106">
        <v>150</v>
      </c>
      <c r="Y276" s="106">
        <v>1500</v>
      </c>
      <c r="Z276" s="106" t="s">
        <v>2006</v>
      </c>
      <c r="AA276" s="106">
        <f t="shared" si="18"/>
        <v>0</v>
      </c>
      <c r="AB276" s="106">
        <f t="shared" si="19"/>
        <v>0</v>
      </c>
      <c r="AC276" s="94"/>
      <c r="AD276" s="94"/>
      <c r="AE276" s="94"/>
      <c r="AF276" s="94"/>
      <c r="AG276" s="94"/>
      <c r="AH276" s="263"/>
    </row>
    <row r="277" spans="1:34" ht="32.25" customHeight="1">
      <c r="A277" s="90" t="s">
        <v>240</v>
      </c>
      <c r="B277" s="121">
        <v>6000030364</v>
      </c>
      <c r="C277" s="192" t="s">
        <v>2050</v>
      </c>
      <c r="D277" s="2">
        <v>240605</v>
      </c>
      <c r="E277" s="94">
        <v>30</v>
      </c>
      <c r="F277" s="74">
        <v>50</v>
      </c>
      <c r="G277" s="45">
        <f t="shared" si="23"/>
        <v>1500</v>
      </c>
      <c r="H277" s="119" t="s">
        <v>46</v>
      </c>
      <c r="I277" s="128" t="s">
        <v>3514</v>
      </c>
      <c r="J277" s="74">
        <f>38+12</f>
        <v>50</v>
      </c>
      <c r="K277" s="74">
        <v>1</v>
      </c>
      <c r="L277" s="156">
        <v>45421</v>
      </c>
      <c r="M277" s="90">
        <v>1500</v>
      </c>
      <c r="N277" s="90">
        <v>15</v>
      </c>
      <c r="O277" s="90"/>
      <c r="P277" s="94" t="s">
        <v>1666</v>
      </c>
      <c r="Q277" s="94">
        <v>8500070737</v>
      </c>
      <c r="R277" s="94">
        <v>5000553493</v>
      </c>
      <c r="S277" s="94"/>
      <c r="T277" s="90" t="s">
        <v>794</v>
      </c>
      <c r="U277" s="90">
        <v>8500070736</v>
      </c>
      <c r="V277" s="90">
        <v>5000572277</v>
      </c>
      <c r="W277" s="109">
        <v>45423</v>
      </c>
      <c r="X277" s="106">
        <v>50</v>
      </c>
      <c r="Y277" s="106">
        <v>1500</v>
      </c>
      <c r="Z277" s="106" t="s">
        <v>2006</v>
      </c>
      <c r="AA277" s="106">
        <f t="shared" si="18"/>
        <v>0</v>
      </c>
      <c r="AB277" s="106">
        <f t="shared" si="19"/>
        <v>0</v>
      </c>
      <c r="AC277" s="94" t="s">
        <v>3612</v>
      </c>
      <c r="AD277" s="94"/>
      <c r="AE277" s="94"/>
      <c r="AF277" s="94"/>
      <c r="AG277" s="94"/>
      <c r="AH277" s="263"/>
    </row>
    <row r="278" spans="1:34" ht="32.25" customHeight="1">
      <c r="A278" s="90" t="s">
        <v>240</v>
      </c>
      <c r="B278" s="121">
        <v>6000030364</v>
      </c>
      <c r="C278" s="192" t="s">
        <v>587</v>
      </c>
      <c r="D278" s="2">
        <v>240605</v>
      </c>
      <c r="E278" s="94">
        <v>30</v>
      </c>
      <c r="F278" s="74">
        <v>35</v>
      </c>
      <c r="G278" s="45">
        <f t="shared" si="23"/>
        <v>1050</v>
      </c>
      <c r="H278" s="119" t="s">
        <v>46</v>
      </c>
      <c r="I278" s="128">
        <v>45411</v>
      </c>
      <c r="J278" s="152">
        <v>34</v>
      </c>
      <c r="K278" s="74" t="s">
        <v>3467</v>
      </c>
      <c r="L278" s="156">
        <v>45421</v>
      </c>
      <c r="M278" s="90">
        <v>1050</v>
      </c>
      <c r="N278" s="90">
        <v>11</v>
      </c>
      <c r="O278" s="90"/>
      <c r="P278" s="94" t="s">
        <v>1666</v>
      </c>
      <c r="Q278" s="94"/>
      <c r="R278" s="94"/>
      <c r="S278" s="74"/>
      <c r="T278" s="90" t="s">
        <v>794</v>
      </c>
      <c r="U278" s="90">
        <v>8500070744</v>
      </c>
      <c r="V278" s="90">
        <v>5000572275</v>
      </c>
      <c r="W278" s="109">
        <v>45423</v>
      </c>
      <c r="X278" s="106">
        <v>34</v>
      </c>
      <c r="Y278" s="106">
        <v>1050</v>
      </c>
      <c r="Z278" s="106" t="s">
        <v>2006</v>
      </c>
      <c r="AA278" s="106">
        <f t="shared" si="18"/>
        <v>0</v>
      </c>
      <c r="AB278" s="106">
        <f t="shared" si="19"/>
        <v>0</v>
      </c>
      <c r="AC278" s="94"/>
      <c r="AD278" s="94"/>
      <c r="AE278" s="94"/>
      <c r="AF278" s="94"/>
      <c r="AG278" s="94"/>
      <c r="AH278" s="263"/>
    </row>
    <row r="279" spans="1:34" ht="32.25" customHeight="1">
      <c r="A279" s="90" t="s">
        <v>240</v>
      </c>
      <c r="B279" s="121">
        <v>6000030363</v>
      </c>
      <c r="C279" s="192" t="s">
        <v>2051</v>
      </c>
      <c r="D279" s="2"/>
      <c r="E279" s="94">
        <v>30</v>
      </c>
      <c r="F279" s="74">
        <v>50</v>
      </c>
      <c r="G279" s="45">
        <f t="shared" si="23"/>
        <v>1500</v>
      </c>
      <c r="H279" s="119" t="s">
        <v>3613</v>
      </c>
      <c r="I279" s="128">
        <v>45374</v>
      </c>
      <c r="J279" s="74">
        <v>50</v>
      </c>
      <c r="K279" s="74"/>
      <c r="L279" s="156">
        <v>45435</v>
      </c>
      <c r="M279" s="90">
        <v>1500</v>
      </c>
      <c r="N279" s="90">
        <v>15</v>
      </c>
      <c r="O279" s="90"/>
      <c r="P279" s="94" t="s">
        <v>1666</v>
      </c>
      <c r="Q279" s="94"/>
      <c r="R279" s="94"/>
      <c r="S279" s="74"/>
      <c r="T279" s="90" t="s">
        <v>794</v>
      </c>
      <c r="U279" s="90">
        <v>8500070728</v>
      </c>
      <c r="V279" s="90"/>
      <c r="W279" s="109">
        <v>45435</v>
      </c>
      <c r="X279" s="106">
        <v>50</v>
      </c>
      <c r="Y279" s="106">
        <v>1500</v>
      </c>
      <c r="Z279" s="106" t="s">
        <v>1460</v>
      </c>
      <c r="AA279" s="106">
        <f>J279-X279</f>
        <v>0</v>
      </c>
      <c r="AB279" s="106">
        <f>M279-Y279</f>
        <v>0</v>
      </c>
      <c r="AC279" s="111" t="s">
        <v>3615</v>
      </c>
      <c r="AD279" s="111" t="s">
        <v>3614</v>
      </c>
      <c r="AE279" s="94"/>
      <c r="AF279" s="94"/>
      <c r="AG279" s="94"/>
      <c r="AH279" s="263"/>
    </row>
    <row r="280" spans="1:34" ht="32.25" customHeight="1">
      <c r="A280" s="90" t="s">
        <v>240</v>
      </c>
      <c r="B280" s="121">
        <v>6000030385</v>
      </c>
      <c r="C280" s="192" t="s">
        <v>3407</v>
      </c>
      <c r="D280" s="2" t="s">
        <v>3490</v>
      </c>
      <c r="E280" s="94">
        <v>10</v>
      </c>
      <c r="F280" s="74">
        <v>110</v>
      </c>
      <c r="G280" s="45">
        <f t="shared" si="23"/>
        <v>1100</v>
      </c>
      <c r="H280" s="119" t="s">
        <v>46</v>
      </c>
      <c r="I280" s="128">
        <v>45414</v>
      </c>
      <c r="J280" s="74">
        <v>110</v>
      </c>
      <c r="K280" s="74"/>
      <c r="L280" s="156">
        <v>45418</v>
      </c>
      <c r="M280" s="90">
        <v>1100</v>
      </c>
      <c r="N280" s="90"/>
      <c r="O280" s="90"/>
      <c r="P280" s="94" t="s">
        <v>1666</v>
      </c>
      <c r="Q280" s="94"/>
      <c r="R280" s="94"/>
      <c r="S280" s="74"/>
      <c r="T280" s="90" t="s">
        <v>1666</v>
      </c>
      <c r="U280" s="90"/>
      <c r="V280" s="90"/>
      <c r="W280" s="109">
        <v>45423</v>
      </c>
      <c r="X280" s="106">
        <v>110</v>
      </c>
      <c r="Y280" s="106">
        <v>1100</v>
      </c>
      <c r="Z280" s="106" t="s">
        <v>2006</v>
      </c>
      <c r="AA280" s="106">
        <f t="shared" si="18"/>
        <v>0</v>
      </c>
      <c r="AB280" s="106">
        <f t="shared" si="19"/>
        <v>0</v>
      </c>
      <c r="AC280" s="94"/>
      <c r="AD280" s="94"/>
      <c r="AE280" s="94"/>
      <c r="AF280" s="94"/>
      <c r="AG280" s="94"/>
      <c r="AH280" s="263"/>
    </row>
    <row r="281" spans="1:34" ht="32.25" customHeight="1">
      <c r="A281" s="90"/>
      <c r="B281" s="121"/>
      <c r="C281" s="192" t="s">
        <v>3580</v>
      </c>
      <c r="D281" s="2"/>
      <c r="E281" s="94">
        <v>30</v>
      </c>
      <c r="F281" s="74">
        <v>100</v>
      </c>
      <c r="G281" s="45">
        <f>F281*E281</f>
        <v>3000</v>
      </c>
      <c r="H281" s="119" t="s">
        <v>46</v>
      </c>
      <c r="I281" s="128">
        <v>45435</v>
      </c>
      <c r="J281" s="74">
        <v>100</v>
      </c>
      <c r="K281" s="74"/>
      <c r="L281" s="156">
        <v>45435</v>
      </c>
      <c r="M281" s="90">
        <v>3000</v>
      </c>
      <c r="N281" s="90"/>
      <c r="O281" s="90"/>
      <c r="P281" s="94" t="s">
        <v>1666</v>
      </c>
      <c r="Q281" s="94"/>
      <c r="R281" s="94"/>
      <c r="S281" s="74"/>
      <c r="T281" s="90" t="s">
        <v>1666</v>
      </c>
      <c r="U281" s="90"/>
      <c r="V281" s="90"/>
      <c r="W281" s="109">
        <v>45439</v>
      </c>
      <c r="X281" s="106">
        <v>100</v>
      </c>
      <c r="Y281" s="106">
        <v>3000</v>
      </c>
      <c r="Z281" s="106" t="s">
        <v>1460</v>
      </c>
      <c r="AA281" s="106">
        <f t="shared" ref="AA281:AA343" si="24">J281-X281</f>
        <v>0</v>
      </c>
      <c r="AB281" s="106">
        <f t="shared" ref="AB281:AB343" si="25">M281-Y281</f>
        <v>0</v>
      </c>
      <c r="AC281" s="94"/>
      <c r="AD281" s="94"/>
      <c r="AE281" s="94"/>
      <c r="AF281" s="94"/>
      <c r="AG281" s="94"/>
      <c r="AH281" s="263"/>
    </row>
    <row r="282" spans="1:34" ht="32.25" customHeight="1">
      <c r="A282" s="90" t="s">
        <v>240</v>
      </c>
      <c r="B282" s="121">
        <v>6000029859</v>
      </c>
      <c r="C282" s="192" t="s">
        <v>2888</v>
      </c>
      <c r="D282" s="2" t="s">
        <v>3491</v>
      </c>
      <c r="E282" s="94">
        <v>30</v>
      </c>
      <c r="F282" s="74">
        <v>200</v>
      </c>
      <c r="G282" s="45">
        <f t="shared" si="23"/>
        <v>6000</v>
      </c>
      <c r="H282" s="119" t="s">
        <v>46</v>
      </c>
      <c r="I282" s="128">
        <v>45414</v>
      </c>
      <c r="J282" s="158">
        <v>200</v>
      </c>
      <c r="K282" s="74"/>
      <c r="L282" s="156">
        <v>45422</v>
      </c>
      <c r="M282" s="90">
        <v>6000</v>
      </c>
      <c r="N282" s="90"/>
      <c r="O282" s="90"/>
      <c r="P282" s="94" t="s">
        <v>1666</v>
      </c>
      <c r="Q282" s="94"/>
      <c r="R282" s="94"/>
      <c r="S282" s="94"/>
      <c r="T282" s="90" t="s">
        <v>1666</v>
      </c>
      <c r="U282" s="90"/>
      <c r="V282" s="90"/>
      <c r="W282" s="109">
        <v>45422</v>
      </c>
      <c r="X282" s="106">
        <v>200</v>
      </c>
      <c r="Y282" s="106">
        <v>6000</v>
      </c>
      <c r="Z282" s="106" t="s">
        <v>2006</v>
      </c>
      <c r="AA282" s="106">
        <f t="shared" si="24"/>
        <v>0</v>
      </c>
      <c r="AB282" s="106">
        <f t="shared" si="25"/>
        <v>0</v>
      </c>
      <c r="AC282" s="94"/>
      <c r="AD282" s="94"/>
      <c r="AE282" s="94"/>
      <c r="AF282" s="94"/>
      <c r="AG282" s="94"/>
      <c r="AH282" s="263"/>
    </row>
    <row r="283" spans="1:34" ht="32.25" customHeight="1">
      <c r="A283" s="90"/>
      <c r="B283" s="121"/>
      <c r="C283" s="192" t="s">
        <v>3579</v>
      </c>
      <c r="D283" s="2"/>
      <c r="E283" s="94"/>
      <c r="F283" s="74">
        <v>96</v>
      </c>
      <c r="G283" s="45"/>
      <c r="H283" s="119" t="s">
        <v>46</v>
      </c>
      <c r="I283" s="128">
        <v>45435</v>
      </c>
      <c r="J283" s="158">
        <v>96</v>
      </c>
      <c r="K283" s="74"/>
      <c r="L283" s="156">
        <v>45435</v>
      </c>
      <c r="M283" s="90">
        <v>2880</v>
      </c>
      <c r="N283" s="90"/>
      <c r="O283" s="90"/>
      <c r="P283" s="94" t="s">
        <v>1666</v>
      </c>
      <c r="Q283" s="94"/>
      <c r="R283" s="94"/>
      <c r="S283" s="94"/>
      <c r="T283" s="90" t="s">
        <v>1666</v>
      </c>
      <c r="U283" s="90"/>
      <c r="V283" s="90"/>
      <c r="W283" s="109">
        <v>45437</v>
      </c>
      <c r="X283" s="106">
        <v>96</v>
      </c>
      <c r="Y283" s="106">
        <v>2880</v>
      </c>
      <c r="Z283" s="106" t="s">
        <v>1460</v>
      </c>
      <c r="AA283" s="106">
        <f t="shared" si="24"/>
        <v>0</v>
      </c>
      <c r="AB283" s="106">
        <f t="shared" si="25"/>
        <v>0</v>
      </c>
      <c r="AC283" s="94"/>
      <c r="AD283" s="94"/>
      <c r="AE283" s="94"/>
      <c r="AF283" s="94"/>
      <c r="AG283" s="94"/>
      <c r="AH283" s="263"/>
    </row>
    <row r="284" spans="1:34" ht="32.25" customHeight="1">
      <c r="A284" s="90" t="s">
        <v>240</v>
      </c>
      <c r="B284" s="121">
        <v>6000030384</v>
      </c>
      <c r="C284" s="192" t="s">
        <v>3407</v>
      </c>
      <c r="D284" s="2" t="s">
        <v>3492</v>
      </c>
      <c r="E284" s="94">
        <v>10</v>
      </c>
      <c r="F284" s="74">
        <v>150</v>
      </c>
      <c r="G284" s="45">
        <f t="shared" si="23"/>
        <v>1500</v>
      </c>
      <c r="H284" s="119" t="s">
        <v>46</v>
      </c>
      <c r="I284" s="128">
        <v>45414</v>
      </c>
      <c r="J284" s="74">
        <v>150</v>
      </c>
      <c r="K284" s="74"/>
      <c r="L284" s="156">
        <v>45418</v>
      </c>
      <c r="M284" s="90">
        <v>1500</v>
      </c>
      <c r="N284" s="90"/>
      <c r="O284" s="90"/>
      <c r="P284" s="94" t="s">
        <v>1666</v>
      </c>
      <c r="Q284" s="94"/>
      <c r="R284" s="94"/>
      <c r="S284" s="94"/>
      <c r="T284" s="90" t="s">
        <v>1666</v>
      </c>
      <c r="U284" s="90"/>
      <c r="V284" s="90"/>
      <c r="W284" s="109">
        <v>45422</v>
      </c>
      <c r="X284" s="106">
        <v>150</v>
      </c>
      <c r="Y284" s="106">
        <v>1500</v>
      </c>
      <c r="Z284" s="106" t="s">
        <v>2006</v>
      </c>
      <c r="AA284" s="106">
        <f t="shared" si="24"/>
        <v>0</v>
      </c>
      <c r="AB284" s="106">
        <f t="shared" si="25"/>
        <v>0</v>
      </c>
      <c r="AC284" s="94"/>
      <c r="AD284" s="94"/>
      <c r="AE284" s="94"/>
      <c r="AF284" s="94"/>
      <c r="AG284" s="94"/>
      <c r="AH284" s="263"/>
    </row>
    <row r="285" spans="1:34" ht="32.25" customHeight="1">
      <c r="A285" s="90"/>
      <c r="B285" s="121"/>
      <c r="C285" s="192" t="s">
        <v>3580</v>
      </c>
      <c r="D285" s="2"/>
      <c r="E285" s="94">
        <v>30</v>
      </c>
      <c r="F285" s="74">
        <v>100</v>
      </c>
      <c r="G285" s="45">
        <f t="shared" si="23"/>
        <v>3000</v>
      </c>
      <c r="H285" s="119" t="s">
        <v>46</v>
      </c>
      <c r="I285" s="128">
        <v>45435</v>
      </c>
      <c r="J285" s="74">
        <v>100</v>
      </c>
      <c r="K285" s="74"/>
      <c r="L285" s="156">
        <v>45435</v>
      </c>
      <c r="M285" s="90">
        <v>3000</v>
      </c>
      <c r="N285" s="90"/>
      <c r="O285" s="90"/>
      <c r="P285" s="94" t="s">
        <v>1666</v>
      </c>
      <c r="Q285" s="94"/>
      <c r="R285" s="94"/>
      <c r="S285" s="94"/>
      <c r="T285" s="90" t="s">
        <v>1666</v>
      </c>
      <c r="U285" s="90"/>
      <c r="V285" s="90"/>
      <c r="W285" s="109">
        <v>45439</v>
      </c>
      <c r="X285" s="106">
        <v>100</v>
      </c>
      <c r="Y285" s="106">
        <v>3000</v>
      </c>
      <c r="Z285" s="106" t="s">
        <v>1460</v>
      </c>
      <c r="AA285" s="106">
        <f t="shared" si="24"/>
        <v>0</v>
      </c>
      <c r="AB285" s="106">
        <f t="shared" si="25"/>
        <v>0</v>
      </c>
      <c r="AC285" s="94"/>
      <c r="AD285" s="94"/>
      <c r="AE285" s="94"/>
      <c r="AF285" s="94"/>
      <c r="AG285" s="94"/>
      <c r="AH285" s="263"/>
    </row>
    <row r="286" spans="1:34" ht="32.25" customHeight="1">
      <c r="A286" s="90" t="s">
        <v>157</v>
      </c>
      <c r="B286" s="121">
        <v>6000029836</v>
      </c>
      <c r="C286" s="192" t="s">
        <v>838</v>
      </c>
      <c r="D286" s="2" t="s">
        <v>3493</v>
      </c>
      <c r="E286" s="94">
        <v>15</v>
      </c>
      <c r="F286" s="74">
        <v>100</v>
      </c>
      <c r="G286" s="45">
        <f t="shared" si="23"/>
        <v>1500</v>
      </c>
      <c r="H286" s="119" t="s">
        <v>46</v>
      </c>
      <c r="I286" s="128">
        <v>45414</v>
      </c>
      <c r="J286" s="74">
        <v>100</v>
      </c>
      <c r="K286" s="74"/>
      <c r="L286" s="156">
        <v>45414</v>
      </c>
      <c r="M286" s="90">
        <v>1500</v>
      </c>
      <c r="N286" s="90"/>
      <c r="O286" s="90"/>
      <c r="P286" s="94" t="s">
        <v>1666</v>
      </c>
      <c r="Q286" s="94"/>
      <c r="R286" s="94"/>
      <c r="S286" s="94"/>
      <c r="T286" s="90" t="s">
        <v>1666</v>
      </c>
      <c r="U286" s="90"/>
      <c r="V286" s="90"/>
      <c r="W286" s="109">
        <v>45423</v>
      </c>
      <c r="X286" s="106">
        <v>100</v>
      </c>
      <c r="Y286" s="106">
        <v>1500</v>
      </c>
      <c r="Z286" s="106" t="s">
        <v>2006</v>
      </c>
      <c r="AA286" s="106">
        <f t="shared" si="24"/>
        <v>0</v>
      </c>
      <c r="AB286" s="106">
        <f t="shared" si="25"/>
        <v>0</v>
      </c>
      <c r="AC286" s="94"/>
      <c r="AD286" s="94"/>
      <c r="AE286" s="94"/>
      <c r="AF286" s="94"/>
      <c r="AG286" s="94"/>
      <c r="AH286" s="263"/>
    </row>
    <row r="287" spans="1:34" ht="32.25" customHeight="1">
      <c r="A287" s="90"/>
      <c r="B287" s="121">
        <v>6000029837</v>
      </c>
      <c r="C287" s="192" t="s">
        <v>838</v>
      </c>
      <c r="D287" s="349" t="s">
        <v>3494</v>
      </c>
      <c r="E287" s="94">
        <v>15</v>
      </c>
      <c r="F287" s="74">
        <v>280</v>
      </c>
      <c r="G287" s="45">
        <f t="shared" si="23"/>
        <v>4200</v>
      </c>
      <c r="H287" s="119" t="s">
        <v>46</v>
      </c>
      <c r="I287" s="128">
        <v>45414</v>
      </c>
      <c r="J287" s="74">
        <v>280</v>
      </c>
      <c r="K287" s="74"/>
      <c r="L287" s="156">
        <v>45414</v>
      </c>
      <c r="M287" s="90">
        <v>4200</v>
      </c>
      <c r="N287" s="90"/>
      <c r="O287" s="90"/>
      <c r="P287" s="94" t="s">
        <v>1666</v>
      </c>
      <c r="Q287" s="94"/>
      <c r="R287" s="94"/>
      <c r="S287" s="74"/>
      <c r="T287" s="90" t="s">
        <v>1666</v>
      </c>
      <c r="U287" s="90"/>
      <c r="V287" s="90"/>
      <c r="W287" s="109">
        <v>45421</v>
      </c>
      <c r="X287" s="106">
        <v>280</v>
      </c>
      <c r="Y287" s="106">
        <v>4200</v>
      </c>
      <c r="Z287" s="106" t="s">
        <v>2006</v>
      </c>
      <c r="AA287" s="106">
        <f t="shared" si="24"/>
        <v>0</v>
      </c>
      <c r="AB287" s="106">
        <f t="shared" si="25"/>
        <v>0</v>
      </c>
      <c r="AC287" s="94"/>
      <c r="AD287" s="94"/>
      <c r="AE287" s="94"/>
      <c r="AF287" s="94"/>
      <c r="AG287" s="94"/>
      <c r="AH287" s="263"/>
    </row>
    <row r="288" spans="1:34" ht="32.25" customHeight="1">
      <c r="A288" s="90"/>
      <c r="B288" s="121">
        <v>6000029838</v>
      </c>
      <c r="C288" s="192" t="s">
        <v>838</v>
      </c>
      <c r="D288" s="2" t="s">
        <v>3495</v>
      </c>
      <c r="E288" s="94">
        <v>15</v>
      </c>
      <c r="F288" s="74">
        <v>190</v>
      </c>
      <c r="G288" s="45">
        <f>F288*E288</f>
        <v>2850</v>
      </c>
      <c r="H288" s="119" t="s">
        <v>46</v>
      </c>
      <c r="I288" s="128">
        <v>45414</v>
      </c>
      <c r="J288" s="74">
        <v>190</v>
      </c>
      <c r="K288" s="74"/>
      <c r="L288" s="156">
        <v>45414</v>
      </c>
      <c r="M288" s="90">
        <v>2850</v>
      </c>
      <c r="N288" s="90"/>
      <c r="O288" s="90"/>
      <c r="P288" s="94" t="s">
        <v>1666</v>
      </c>
      <c r="Q288" s="94"/>
      <c r="R288" s="94"/>
      <c r="S288" s="74"/>
      <c r="T288" s="90" t="s">
        <v>1666</v>
      </c>
      <c r="U288" s="90"/>
      <c r="V288" s="90"/>
      <c r="W288" s="109">
        <v>45423</v>
      </c>
      <c r="X288" s="106">
        <v>190</v>
      </c>
      <c r="Y288" s="106">
        <v>2850</v>
      </c>
      <c r="Z288" s="106" t="s">
        <v>2006</v>
      </c>
      <c r="AA288" s="106">
        <f t="shared" si="24"/>
        <v>0</v>
      </c>
      <c r="AB288" s="106">
        <f t="shared" si="25"/>
        <v>0</v>
      </c>
      <c r="AC288" s="94"/>
      <c r="AD288" s="94"/>
      <c r="AE288" s="94"/>
      <c r="AF288" s="94"/>
      <c r="AG288" s="94"/>
      <c r="AH288" s="263"/>
    </row>
    <row r="289" spans="1:34" ht="32.25" customHeight="1">
      <c r="A289" s="90" t="s">
        <v>804</v>
      </c>
      <c r="B289" s="88">
        <v>6000030298</v>
      </c>
      <c r="C289" s="2" t="s">
        <v>3424</v>
      </c>
      <c r="D289" s="117">
        <v>6000030298</v>
      </c>
      <c r="E289" s="192">
        <v>10</v>
      </c>
      <c r="F289" s="74">
        <v>52</v>
      </c>
      <c r="G289" s="45">
        <f t="shared" si="23"/>
        <v>520</v>
      </c>
      <c r="H289" s="119" t="s">
        <v>27</v>
      </c>
      <c r="I289" s="128">
        <v>45407</v>
      </c>
      <c r="J289" s="74">
        <v>52</v>
      </c>
      <c r="K289" s="74">
        <v>10</v>
      </c>
      <c r="L289" s="156">
        <v>45406</v>
      </c>
      <c r="M289" s="90">
        <v>520</v>
      </c>
      <c r="N289" s="90">
        <v>61</v>
      </c>
      <c r="O289" s="90" t="s">
        <v>736</v>
      </c>
      <c r="P289" s="94" t="s">
        <v>1666</v>
      </c>
      <c r="Q289" s="94"/>
      <c r="R289" s="94"/>
      <c r="S289" s="74"/>
      <c r="T289" s="90" t="s">
        <v>761</v>
      </c>
      <c r="U289" s="90">
        <v>8500070583</v>
      </c>
      <c r="V289" s="90"/>
      <c r="W289" s="109">
        <v>45437</v>
      </c>
      <c r="X289" s="106">
        <v>52</v>
      </c>
      <c r="Y289" s="106">
        <v>520</v>
      </c>
      <c r="Z289" s="106" t="s">
        <v>800</v>
      </c>
      <c r="AA289" s="106">
        <f t="shared" si="24"/>
        <v>0</v>
      </c>
      <c r="AB289" s="106">
        <f t="shared" si="25"/>
        <v>0</v>
      </c>
      <c r="AC289" s="94"/>
      <c r="AD289" s="94"/>
      <c r="AE289" s="94"/>
      <c r="AF289" s="94"/>
      <c r="AG289" s="94"/>
      <c r="AH289" s="263"/>
    </row>
    <row r="290" spans="1:34" ht="32.25" customHeight="1">
      <c r="A290" s="90"/>
      <c r="B290" s="88"/>
      <c r="C290" s="2"/>
      <c r="D290" s="117"/>
      <c r="E290" s="192">
        <v>10</v>
      </c>
      <c r="F290" s="74">
        <v>1510</v>
      </c>
      <c r="G290" s="45">
        <f t="shared" si="23"/>
        <v>15100</v>
      </c>
      <c r="H290" s="119" t="s">
        <v>46</v>
      </c>
      <c r="I290" s="128">
        <v>45418</v>
      </c>
      <c r="J290" s="74">
        <v>1510</v>
      </c>
      <c r="K290" s="74">
        <v>13</v>
      </c>
      <c r="L290" s="156">
        <v>45418</v>
      </c>
      <c r="M290" s="90">
        <v>15100</v>
      </c>
      <c r="N290" s="90">
        <v>128</v>
      </c>
      <c r="O290" s="90"/>
      <c r="P290" s="94" t="s">
        <v>1666</v>
      </c>
      <c r="Q290" s="94"/>
      <c r="R290" s="94"/>
      <c r="S290" s="74"/>
      <c r="T290" s="90" t="s">
        <v>1666</v>
      </c>
      <c r="U290" s="90"/>
      <c r="V290" s="90"/>
      <c r="W290" s="109">
        <v>45425</v>
      </c>
      <c r="X290" s="106">
        <v>1510</v>
      </c>
      <c r="Y290" s="106">
        <v>15100</v>
      </c>
      <c r="Z290" s="106" t="s">
        <v>2006</v>
      </c>
      <c r="AA290" s="106">
        <f t="shared" si="24"/>
        <v>0</v>
      </c>
      <c r="AB290" s="106">
        <f t="shared" si="25"/>
        <v>0</v>
      </c>
      <c r="AC290" s="94" t="s">
        <v>3667</v>
      </c>
      <c r="AD290" s="94"/>
      <c r="AE290" s="94"/>
      <c r="AF290" s="94"/>
      <c r="AG290" s="94"/>
      <c r="AH290" s="263"/>
    </row>
    <row r="291" spans="1:34" ht="32.25" customHeight="1">
      <c r="A291" s="90" t="s">
        <v>804</v>
      </c>
      <c r="B291" s="88">
        <v>6000030300</v>
      </c>
      <c r="C291" s="2" t="s">
        <v>2346</v>
      </c>
      <c r="D291" s="117">
        <v>6000030300</v>
      </c>
      <c r="E291" s="192">
        <v>10</v>
      </c>
      <c r="F291" s="74">
        <v>800</v>
      </c>
      <c r="G291" s="45">
        <f t="shared" ref="G291:G299" si="26">F291*E291</f>
        <v>8000</v>
      </c>
      <c r="H291" s="119" t="s">
        <v>27</v>
      </c>
      <c r="I291" s="128">
        <v>45411</v>
      </c>
      <c r="J291" s="74">
        <v>800</v>
      </c>
      <c r="K291" s="74">
        <v>8</v>
      </c>
      <c r="L291" s="156">
        <v>45406</v>
      </c>
      <c r="M291" s="90">
        <v>8000</v>
      </c>
      <c r="N291" s="90">
        <v>80</v>
      </c>
      <c r="O291" s="90" t="s">
        <v>1363</v>
      </c>
      <c r="P291" s="94" t="s">
        <v>1666</v>
      </c>
      <c r="Q291" s="94">
        <v>8500071419</v>
      </c>
      <c r="R291" s="94">
        <v>5000663716</v>
      </c>
      <c r="S291" s="74"/>
      <c r="T291" s="90" t="s">
        <v>761</v>
      </c>
      <c r="U291" s="90">
        <v>8500071418</v>
      </c>
      <c r="V291" s="90">
        <v>5000663714</v>
      </c>
      <c r="W291" s="109">
        <v>45430</v>
      </c>
      <c r="X291" s="106">
        <v>800</v>
      </c>
      <c r="Y291" s="106">
        <v>8000</v>
      </c>
      <c r="Z291" s="106" t="s">
        <v>1980</v>
      </c>
      <c r="AA291" s="106">
        <f t="shared" si="24"/>
        <v>0</v>
      </c>
      <c r="AB291" s="106">
        <f t="shared" si="25"/>
        <v>0</v>
      </c>
      <c r="AC291" s="485" t="s">
        <v>3636</v>
      </c>
      <c r="AD291" s="94"/>
      <c r="AE291" s="94"/>
      <c r="AF291" s="94"/>
      <c r="AG291" s="94"/>
      <c r="AH291" s="263"/>
    </row>
    <row r="292" spans="1:34" ht="32.25" customHeight="1">
      <c r="A292" s="90"/>
      <c r="B292" s="88"/>
      <c r="C292" s="2"/>
      <c r="D292" s="117"/>
      <c r="E292" s="192">
        <v>10</v>
      </c>
      <c r="F292" s="74">
        <v>1460</v>
      </c>
      <c r="G292" s="45">
        <f t="shared" si="26"/>
        <v>14600</v>
      </c>
      <c r="H292" s="119" t="s">
        <v>46</v>
      </c>
      <c r="I292" s="128">
        <v>45407</v>
      </c>
      <c r="J292" s="74">
        <v>1460</v>
      </c>
      <c r="K292" s="74">
        <v>20</v>
      </c>
      <c r="L292" s="156">
        <v>45406</v>
      </c>
      <c r="M292" s="90">
        <v>14600</v>
      </c>
      <c r="N292" s="90">
        <v>146</v>
      </c>
      <c r="O292" s="90" t="s">
        <v>1784</v>
      </c>
      <c r="P292" s="94" t="s">
        <v>1666</v>
      </c>
      <c r="Q292" s="94">
        <v>8500071421</v>
      </c>
      <c r="R292" s="94">
        <v>5000663719</v>
      </c>
      <c r="S292" s="74"/>
      <c r="T292" s="90" t="s">
        <v>761</v>
      </c>
      <c r="U292" s="90">
        <v>8500071420</v>
      </c>
      <c r="V292" s="90">
        <v>5000663718</v>
      </c>
      <c r="W292" s="109">
        <v>45448</v>
      </c>
      <c r="X292" s="106">
        <v>1460</v>
      </c>
      <c r="Y292" s="106">
        <v>14600</v>
      </c>
      <c r="Z292" s="106" t="s">
        <v>817</v>
      </c>
      <c r="AA292" s="106">
        <f t="shared" si="24"/>
        <v>0</v>
      </c>
      <c r="AB292" s="106">
        <f t="shared" si="25"/>
        <v>0</v>
      </c>
      <c r="AC292" s="486"/>
      <c r="AD292" s="94" t="s">
        <v>3693</v>
      </c>
      <c r="AE292" s="94"/>
      <c r="AF292" s="94"/>
      <c r="AG292" s="94"/>
      <c r="AH292" s="263"/>
    </row>
    <row r="293" spans="1:34" ht="32.25" customHeight="1">
      <c r="A293" s="90"/>
      <c r="B293" s="88"/>
      <c r="C293" s="2"/>
      <c r="D293" s="117"/>
      <c r="E293" s="192">
        <v>10</v>
      </c>
      <c r="F293" s="74">
        <v>200</v>
      </c>
      <c r="G293" s="45">
        <f t="shared" si="26"/>
        <v>2000</v>
      </c>
      <c r="H293" s="119" t="s">
        <v>37</v>
      </c>
      <c r="I293" s="128">
        <v>45411</v>
      </c>
      <c r="J293" s="74">
        <v>200</v>
      </c>
      <c r="K293" s="74">
        <v>2</v>
      </c>
      <c r="L293" s="156">
        <v>45406</v>
      </c>
      <c r="M293" s="90">
        <v>2000</v>
      </c>
      <c r="N293" s="90">
        <v>20</v>
      </c>
      <c r="O293" s="90" t="s">
        <v>1784</v>
      </c>
      <c r="P293" s="94" t="s">
        <v>1666</v>
      </c>
      <c r="Q293" s="94"/>
      <c r="R293" s="94"/>
      <c r="S293" s="74"/>
      <c r="T293" s="90" t="s">
        <v>761</v>
      </c>
      <c r="U293" s="90"/>
      <c r="V293" s="90"/>
      <c r="W293" s="109">
        <v>45455</v>
      </c>
      <c r="X293" s="106">
        <v>200</v>
      </c>
      <c r="Y293" s="106">
        <v>2000</v>
      </c>
      <c r="Z293" s="106" t="s">
        <v>35</v>
      </c>
      <c r="AA293" s="106">
        <f t="shared" si="24"/>
        <v>0</v>
      </c>
      <c r="AB293" s="106">
        <f t="shared" si="25"/>
        <v>0</v>
      </c>
      <c r="AC293" s="487"/>
      <c r="AD293" s="94"/>
      <c r="AE293" s="94"/>
      <c r="AF293" s="94"/>
      <c r="AG293" s="94"/>
      <c r="AH293" s="263"/>
    </row>
    <row r="294" spans="1:34" ht="32.25" customHeight="1">
      <c r="A294" s="90" t="s">
        <v>707</v>
      </c>
      <c r="B294" s="88">
        <v>2000001353</v>
      </c>
      <c r="C294" s="2" t="s">
        <v>3204</v>
      </c>
      <c r="D294" s="117">
        <v>2000001353</v>
      </c>
      <c r="E294" s="94">
        <v>10</v>
      </c>
      <c r="F294" s="192">
        <v>300</v>
      </c>
      <c r="G294" s="45">
        <f t="shared" si="26"/>
        <v>3000</v>
      </c>
      <c r="H294" s="119" t="s">
        <v>46</v>
      </c>
      <c r="I294" s="128">
        <v>45418</v>
      </c>
      <c r="J294" s="192">
        <v>300</v>
      </c>
      <c r="K294" s="74">
        <f>3+1</f>
        <v>4</v>
      </c>
      <c r="L294" s="156">
        <v>45416</v>
      </c>
      <c r="M294" s="90">
        <v>3000</v>
      </c>
      <c r="N294" s="90">
        <v>30</v>
      </c>
      <c r="O294" s="90" t="s">
        <v>1871</v>
      </c>
      <c r="P294" s="94" t="s">
        <v>28</v>
      </c>
      <c r="Q294" s="94">
        <v>8500071161</v>
      </c>
      <c r="R294" s="94">
        <v>5000553510</v>
      </c>
      <c r="S294" s="94"/>
      <c r="T294" s="90" t="s">
        <v>1558</v>
      </c>
      <c r="U294" s="90">
        <v>8500071160</v>
      </c>
      <c r="V294" s="90">
        <v>5000544864</v>
      </c>
      <c r="W294" s="109">
        <v>45426</v>
      </c>
      <c r="X294" s="106">
        <v>300</v>
      </c>
      <c r="Y294" s="106">
        <v>3000</v>
      </c>
      <c r="Z294" s="106" t="s">
        <v>800</v>
      </c>
      <c r="AA294" s="106">
        <f t="shared" si="24"/>
        <v>0</v>
      </c>
      <c r="AB294" s="106">
        <f t="shared" si="25"/>
        <v>0</v>
      </c>
      <c r="AC294" s="94"/>
      <c r="AD294" s="94"/>
      <c r="AE294" s="94"/>
      <c r="AF294" s="94"/>
      <c r="AG294" s="94"/>
      <c r="AH294" s="263"/>
    </row>
    <row r="295" spans="1:34" ht="32.25" customHeight="1">
      <c r="A295" s="90" t="s">
        <v>3497</v>
      </c>
      <c r="B295" s="88">
        <v>6000030428</v>
      </c>
      <c r="C295" s="2" t="s">
        <v>3496</v>
      </c>
      <c r="D295" s="117">
        <v>6000030428</v>
      </c>
      <c r="E295" s="94">
        <v>20</v>
      </c>
      <c r="F295" s="192">
        <v>2170</v>
      </c>
      <c r="G295" s="45">
        <f t="shared" si="26"/>
        <v>43400</v>
      </c>
      <c r="H295" s="119" t="s">
        <v>37</v>
      </c>
      <c r="I295" s="128">
        <v>45430</v>
      </c>
      <c r="J295" s="192">
        <v>2170</v>
      </c>
      <c r="K295" s="74">
        <v>22</v>
      </c>
      <c r="L295" s="156">
        <v>45426</v>
      </c>
      <c r="M295" s="90">
        <v>43400</v>
      </c>
      <c r="N295" s="90">
        <v>300</v>
      </c>
      <c r="O295" s="90" t="s">
        <v>3563</v>
      </c>
      <c r="P295" s="94" t="s">
        <v>3594</v>
      </c>
      <c r="Q295" s="94">
        <v>8500071265</v>
      </c>
      <c r="R295" s="53">
        <v>5000622708</v>
      </c>
      <c r="S295" s="94"/>
      <c r="T295" s="90" t="s">
        <v>794</v>
      </c>
      <c r="U295" s="90">
        <v>8500071264</v>
      </c>
      <c r="V295" s="90">
        <v>5000593657</v>
      </c>
      <c r="W295" s="109" t="s">
        <v>3639</v>
      </c>
      <c r="X295" s="106">
        <f>1000+500+670</f>
        <v>2170</v>
      </c>
      <c r="Y295" s="106">
        <f>20000+10000+13400</f>
        <v>43400</v>
      </c>
      <c r="Z295" s="106" t="s">
        <v>3640</v>
      </c>
      <c r="AA295" s="106">
        <f t="shared" si="24"/>
        <v>0</v>
      </c>
      <c r="AB295" s="106">
        <f t="shared" si="25"/>
        <v>0</v>
      </c>
      <c r="AC295" s="94"/>
      <c r="AD295" s="94"/>
      <c r="AE295" s="94"/>
      <c r="AF295" s="94"/>
      <c r="AG295" s="94"/>
      <c r="AH295" s="263"/>
    </row>
    <row r="296" spans="1:34" ht="32.25" customHeight="1">
      <c r="A296" s="90" t="s">
        <v>3497</v>
      </c>
      <c r="B296" s="88">
        <v>6000030429</v>
      </c>
      <c r="C296" s="2" t="s">
        <v>3496</v>
      </c>
      <c r="D296" s="117">
        <v>6000030429</v>
      </c>
      <c r="E296" s="253">
        <v>20</v>
      </c>
      <c r="F296" s="245">
        <v>250</v>
      </c>
      <c r="G296" s="219">
        <f t="shared" si="26"/>
        <v>5000</v>
      </c>
      <c r="H296" s="227" t="s">
        <v>27</v>
      </c>
      <c r="I296" s="128">
        <v>45430</v>
      </c>
      <c r="J296" s="192">
        <v>250</v>
      </c>
      <c r="K296" s="74">
        <v>3</v>
      </c>
      <c r="L296" s="156"/>
      <c r="M296" s="90"/>
      <c r="N296" s="90"/>
      <c r="O296" s="90"/>
      <c r="P296" s="94" t="s">
        <v>3594</v>
      </c>
      <c r="Q296" s="94">
        <v>8500071263</v>
      </c>
      <c r="R296" s="94">
        <v>5000622709</v>
      </c>
      <c r="S296" s="94"/>
      <c r="T296" s="90" t="s">
        <v>895</v>
      </c>
      <c r="U296" s="90">
        <v>8500071262</v>
      </c>
      <c r="V296" s="90">
        <v>5000593724</v>
      </c>
      <c r="W296" s="105"/>
      <c r="X296" s="106">
        <v>250</v>
      </c>
      <c r="Y296" s="106"/>
      <c r="Z296" s="106" t="s">
        <v>2112</v>
      </c>
      <c r="AA296" s="106">
        <f t="shared" si="24"/>
        <v>0</v>
      </c>
      <c r="AB296" s="106">
        <f t="shared" si="25"/>
        <v>0</v>
      </c>
      <c r="AC296" s="94"/>
      <c r="AD296" s="94"/>
      <c r="AE296" s="94"/>
      <c r="AF296" s="94"/>
      <c r="AG296" s="94"/>
      <c r="AH296" s="263"/>
    </row>
    <row r="297" spans="1:34" ht="32.25" customHeight="1">
      <c r="A297" s="90"/>
      <c r="B297" s="121"/>
      <c r="C297" s="192"/>
      <c r="D297" s="121"/>
      <c r="E297" s="94">
        <v>20</v>
      </c>
      <c r="F297" s="192">
        <v>250</v>
      </c>
      <c r="G297" s="45">
        <f t="shared" si="26"/>
        <v>5000</v>
      </c>
      <c r="H297" s="119" t="s">
        <v>46</v>
      </c>
      <c r="I297" s="128">
        <v>45430</v>
      </c>
      <c r="J297" s="192">
        <v>250</v>
      </c>
      <c r="K297" s="74">
        <v>3</v>
      </c>
      <c r="L297" s="156">
        <v>45427</v>
      </c>
      <c r="M297" s="90">
        <v>5000</v>
      </c>
      <c r="N297" s="90">
        <v>50</v>
      </c>
      <c r="O297" s="90" t="s">
        <v>790</v>
      </c>
      <c r="P297" s="94" t="s">
        <v>3594</v>
      </c>
      <c r="Q297" s="94">
        <v>8500071263</v>
      </c>
      <c r="R297" s="94">
        <v>5000622709</v>
      </c>
      <c r="S297" s="94"/>
      <c r="T297" s="90" t="s">
        <v>794</v>
      </c>
      <c r="U297" s="90">
        <v>8500071262</v>
      </c>
      <c r="V297" s="90">
        <v>5000593903</v>
      </c>
      <c r="W297" s="109">
        <v>45451</v>
      </c>
      <c r="X297" s="106">
        <v>250</v>
      </c>
      <c r="Y297" s="106">
        <v>5000</v>
      </c>
      <c r="Z297" s="106" t="s">
        <v>1460</v>
      </c>
      <c r="AA297" s="106">
        <f t="shared" si="24"/>
        <v>0</v>
      </c>
      <c r="AB297" s="106">
        <f t="shared" si="25"/>
        <v>0</v>
      </c>
      <c r="AC297" s="485" t="s">
        <v>3571</v>
      </c>
      <c r="AD297" s="94"/>
      <c r="AE297" s="94"/>
      <c r="AF297" s="94"/>
      <c r="AG297" s="94"/>
      <c r="AH297" s="263"/>
    </row>
    <row r="298" spans="1:34" ht="32.25" customHeight="1">
      <c r="A298" s="90"/>
      <c r="B298" s="121"/>
      <c r="C298" s="192"/>
      <c r="D298" s="121"/>
      <c r="E298" s="94">
        <v>20</v>
      </c>
      <c r="F298" s="192">
        <v>1670</v>
      </c>
      <c r="G298" s="45">
        <f t="shared" si="26"/>
        <v>33400</v>
      </c>
      <c r="H298" s="119" t="s">
        <v>37</v>
      </c>
      <c r="I298" s="128">
        <v>45430</v>
      </c>
      <c r="J298" s="192">
        <v>1670</v>
      </c>
      <c r="K298" s="74">
        <v>17</v>
      </c>
      <c r="L298" s="156">
        <v>45427</v>
      </c>
      <c r="M298" s="90">
        <v>33400</v>
      </c>
      <c r="N298" s="90">
        <v>300</v>
      </c>
      <c r="O298" s="90"/>
      <c r="P298" s="94" t="s">
        <v>3594</v>
      </c>
      <c r="Q298" s="94">
        <v>8500071263</v>
      </c>
      <c r="R298" s="94">
        <v>5000622709</v>
      </c>
      <c r="S298" s="94"/>
      <c r="T298" s="90" t="s">
        <v>794</v>
      </c>
      <c r="U298" s="90">
        <v>8500071262</v>
      </c>
      <c r="V298" s="90">
        <v>5000593903</v>
      </c>
      <c r="W298" s="109">
        <v>45448</v>
      </c>
      <c r="X298" s="106">
        <v>1670</v>
      </c>
      <c r="Y298" s="106">
        <v>33400</v>
      </c>
      <c r="Z298" s="106" t="s">
        <v>1988</v>
      </c>
      <c r="AA298" s="106">
        <f t="shared" si="24"/>
        <v>0</v>
      </c>
      <c r="AB298" s="106">
        <f t="shared" si="25"/>
        <v>0</v>
      </c>
      <c r="AC298" s="487"/>
      <c r="AD298" s="94"/>
      <c r="AE298" s="94"/>
      <c r="AF298" s="94"/>
      <c r="AG298" s="94"/>
      <c r="AH298" s="263"/>
    </row>
    <row r="299" spans="1:34" ht="32.25" customHeight="1">
      <c r="A299" s="90" t="s">
        <v>352</v>
      </c>
      <c r="B299" s="88">
        <v>6000030420</v>
      </c>
      <c r="C299" s="2" t="s">
        <v>1550</v>
      </c>
      <c r="D299" s="117">
        <v>6000030420</v>
      </c>
      <c r="E299" s="245">
        <v>10</v>
      </c>
      <c r="F299" s="245">
        <v>100</v>
      </c>
      <c r="G299" s="219">
        <f t="shared" si="26"/>
        <v>1000</v>
      </c>
      <c r="H299" s="227" t="s">
        <v>46</v>
      </c>
      <c r="I299" s="128" t="s">
        <v>1597</v>
      </c>
      <c r="J299" s="333"/>
      <c r="K299" s="74"/>
      <c r="L299" s="156">
        <v>45419</v>
      </c>
      <c r="M299" s="90">
        <v>1000</v>
      </c>
      <c r="N299" s="90">
        <v>5</v>
      </c>
      <c r="O299" s="90" t="s">
        <v>790</v>
      </c>
      <c r="P299" s="94"/>
      <c r="Q299" s="94"/>
      <c r="R299" s="94"/>
      <c r="S299" s="94"/>
      <c r="T299" s="90" t="s">
        <v>152</v>
      </c>
      <c r="U299" s="90">
        <v>8500071099</v>
      </c>
      <c r="V299" s="90">
        <v>5000556961</v>
      </c>
      <c r="W299" s="109">
        <v>45425</v>
      </c>
      <c r="X299" s="106"/>
      <c r="Y299" s="106">
        <v>1000</v>
      </c>
      <c r="Z299" s="106" t="s">
        <v>1980</v>
      </c>
      <c r="AA299" s="106">
        <f t="shared" si="24"/>
        <v>0</v>
      </c>
      <c r="AB299" s="106">
        <f t="shared" si="25"/>
        <v>0</v>
      </c>
      <c r="AC299" s="94"/>
      <c r="AD299" s="94"/>
      <c r="AE299" s="94"/>
      <c r="AF299" s="94"/>
      <c r="AG299" s="94"/>
      <c r="AH299" s="263"/>
    </row>
    <row r="300" spans="1:34" ht="32.25" customHeight="1">
      <c r="A300" s="90"/>
      <c r="B300" s="88"/>
      <c r="C300" s="2"/>
      <c r="D300" s="117"/>
      <c r="E300" s="192">
        <v>10</v>
      </c>
      <c r="F300" s="192">
        <v>150</v>
      </c>
      <c r="G300" s="45">
        <f>F300*E300</f>
        <v>1500</v>
      </c>
      <c r="H300" s="119" t="s">
        <v>37</v>
      </c>
      <c r="I300" s="128">
        <v>45428</v>
      </c>
      <c r="J300" s="192">
        <v>150</v>
      </c>
      <c r="K300" s="74">
        <f>2+4</f>
        <v>6</v>
      </c>
      <c r="L300" s="156">
        <v>45433</v>
      </c>
      <c r="M300" s="90">
        <v>1500</v>
      </c>
      <c r="N300" s="90">
        <v>8</v>
      </c>
      <c r="O300" s="90" t="s">
        <v>1388</v>
      </c>
      <c r="P300" s="94" t="s">
        <v>28</v>
      </c>
      <c r="Q300" s="94">
        <v>8500071100</v>
      </c>
      <c r="R300" s="94">
        <v>5000607473</v>
      </c>
      <c r="S300" s="94"/>
      <c r="T300" s="90" t="s">
        <v>152</v>
      </c>
      <c r="U300" s="90">
        <v>8500071099</v>
      </c>
      <c r="V300" s="90">
        <v>5000632459</v>
      </c>
      <c r="W300" s="109">
        <v>45455</v>
      </c>
      <c r="X300" s="106">
        <v>150</v>
      </c>
      <c r="Y300" s="106">
        <v>1500</v>
      </c>
      <c r="Z300" s="106" t="s">
        <v>800</v>
      </c>
      <c r="AA300" s="106">
        <f t="shared" si="24"/>
        <v>0</v>
      </c>
      <c r="AB300" s="106">
        <f t="shared" si="25"/>
        <v>0</v>
      </c>
      <c r="AC300" s="94"/>
      <c r="AD300" s="94"/>
      <c r="AE300" s="94"/>
      <c r="AF300" s="94"/>
      <c r="AG300" s="94"/>
      <c r="AH300" s="263"/>
    </row>
    <row r="301" spans="1:34" ht="32.25" customHeight="1">
      <c r="A301" s="90" t="s">
        <v>352</v>
      </c>
      <c r="B301" s="88">
        <v>6000030420</v>
      </c>
      <c r="C301" s="2" t="s">
        <v>1952</v>
      </c>
      <c r="D301" s="117">
        <v>6000030420</v>
      </c>
      <c r="E301" s="192">
        <v>10</v>
      </c>
      <c r="F301" s="192">
        <v>100</v>
      </c>
      <c r="G301" s="45">
        <f t="shared" ref="G301:G325" si="27">F301*E301</f>
        <v>1000</v>
      </c>
      <c r="H301" s="119" t="s">
        <v>27</v>
      </c>
      <c r="I301" s="128">
        <v>45428</v>
      </c>
      <c r="J301" s="192">
        <v>100</v>
      </c>
      <c r="K301" s="74">
        <f>1+4</f>
        <v>5</v>
      </c>
      <c r="L301" s="156">
        <v>45428</v>
      </c>
      <c r="M301" s="90">
        <v>1000</v>
      </c>
      <c r="N301" s="90">
        <v>10</v>
      </c>
      <c r="O301" s="90" t="s">
        <v>1584</v>
      </c>
      <c r="P301" s="94" t="s">
        <v>28</v>
      </c>
      <c r="Q301" s="94">
        <v>8500071102</v>
      </c>
      <c r="R301" s="94">
        <v>5000607471</v>
      </c>
      <c r="S301" s="94"/>
      <c r="T301" s="90" t="s">
        <v>1558</v>
      </c>
      <c r="U301" s="90">
        <v>8500071101</v>
      </c>
      <c r="V301" s="90">
        <v>5000607304</v>
      </c>
      <c r="W301" s="109">
        <v>45455</v>
      </c>
      <c r="X301" s="106">
        <v>100</v>
      </c>
      <c r="Y301" s="106">
        <v>1000</v>
      </c>
      <c r="Z301" s="106" t="s">
        <v>800</v>
      </c>
      <c r="AA301" s="106">
        <f t="shared" si="24"/>
        <v>0</v>
      </c>
      <c r="AB301" s="106">
        <f t="shared" si="25"/>
        <v>0</v>
      </c>
      <c r="AC301" s="94"/>
      <c r="AD301" s="94"/>
      <c r="AE301" s="94"/>
      <c r="AF301" s="94"/>
      <c r="AG301" s="94"/>
      <c r="AH301" s="263"/>
    </row>
    <row r="302" spans="1:34" ht="32.25" customHeight="1">
      <c r="A302" s="90"/>
      <c r="B302" s="88"/>
      <c r="C302" s="2"/>
      <c r="D302" s="117"/>
      <c r="E302" s="192">
        <v>10</v>
      </c>
      <c r="F302" s="192">
        <v>200</v>
      </c>
      <c r="G302" s="45">
        <f t="shared" si="27"/>
        <v>2000</v>
      </c>
      <c r="H302" s="119" t="s">
        <v>46</v>
      </c>
      <c r="I302" s="128">
        <v>45428</v>
      </c>
      <c r="J302" s="192">
        <v>200</v>
      </c>
      <c r="K302" s="74">
        <f>2+2</f>
        <v>4</v>
      </c>
      <c r="L302" s="156">
        <v>45428</v>
      </c>
      <c r="M302" s="90">
        <v>2000</v>
      </c>
      <c r="N302" s="90">
        <v>20</v>
      </c>
      <c r="O302" s="90" t="s">
        <v>1584</v>
      </c>
      <c r="P302" s="94" t="s">
        <v>28</v>
      </c>
      <c r="Q302" s="94">
        <v>8500071102</v>
      </c>
      <c r="R302" s="94">
        <v>5000607471</v>
      </c>
      <c r="S302" s="94"/>
      <c r="T302" s="90" t="s">
        <v>1558</v>
      </c>
      <c r="U302" s="90">
        <v>8500071101</v>
      </c>
      <c r="V302" s="90">
        <v>5000607304</v>
      </c>
      <c r="W302" s="109">
        <v>45455</v>
      </c>
      <c r="X302" s="106">
        <v>200</v>
      </c>
      <c r="Y302" s="106">
        <v>2000</v>
      </c>
      <c r="Z302" s="106" t="s">
        <v>800</v>
      </c>
      <c r="AA302" s="106">
        <f t="shared" si="24"/>
        <v>0</v>
      </c>
      <c r="AB302" s="106">
        <f t="shared" si="25"/>
        <v>0</v>
      </c>
      <c r="AC302" s="94"/>
      <c r="AD302" s="94"/>
      <c r="AE302" s="94"/>
      <c r="AF302" s="94"/>
      <c r="AG302" s="94"/>
      <c r="AH302" s="263"/>
    </row>
    <row r="303" spans="1:34" ht="32.25" customHeight="1">
      <c r="A303" s="90"/>
      <c r="B303" s="88"/>
      <c r="C303" s="2"/>
      <c r="D303" s="117"/>
      <c r="E303" s="192">
        <v>10</v>
      </c>
      <c r="F303" s="192">
        <v>100</v>
      </c>
      <c r="G303" s="45">
        <f t="shared" si="27"/>
        <v>1000</v>
      </c>
      <c r="H303" s="119" t="s">
        <v>37</v>
      </c>
      <c r="I303" s="128">
        <v>45428</v>
      </c>
      <c r="J303" s="192">
        <v>100</v>
      </c>
      <c r="K303" s="74">
        <f>1</f>
        <v>1</v>
      </c>
      <c r="L303" s="156">
        <v>45428</v>
      </c>
      <c r="M303" s="90">
        <v>1000</v>
      </c>
      <c r="N303" s="90">
        <v>10</v>
      </c>
      <c r="O303" s="90" t="s">
        <v>1584</v>
      </c>
      <c r="P303" s="94" t="s">
        <v>28</v>
      </c>
      <c r="Q303" s="94">
        <v>8500071102</v>
      </c>
      <c r="R303" s="94">
        <v>5000607471</v>
      </c>
      <c r="S303" s="94"/>
      <c r="T303" s="90" t="s">
        <v>1558</v>
      </c>
      <c r="U303" s="90">
        <v>8500071101</v>
      </c>
      <c r="V303" s="90">
        <v>5000607304</v>
      </c>
      <c r="W303" s="109">
        <v>45455</v>
      </c>
      <c r="X303" s="106">
        <v>100</v>
      </c>
      <c r="Y303" s="106">
        <v>1000</v>
      </c>
      <c r="Z303" s="106" t="s">
        <v>800</v>
      </c>
      <c r="AA303" s="106">
        <f t="shared" si="24"/>
        <v>0</v>
      </c>
      <c r="AB303" s="106">
        <f t="shared" si="25"/>
        <v>0</v>
      </c>
      <c r="AC303" s="94"/>
      <c r="AD303" s="94"/>
      <c r="AE303" s="94"/>
      <c r="AF303" s="94"/>
      <c r="AG303" s="94"/>
      <c r="AH303" s="263"/>
    </row>
    <row r="304" spans="1:34" ht="32.25" customHeight="1">
      <c r="A304" s="90" t="s">
        <v>24</v>
      </c>
      <c r="B304" s="88">
        <v>6000030749</v>
      </c>
      <c r="C304" s="2" t="s">
        <v>3298</v>
      </c>
      <c r="D304" s="117" t="s">
        <v>3498</v>
      </c>
      <c r="E304" s="192">
        <v>10</v>
      </c>
      <c r="F304" s="192">
        <v>25</v>
      </c>
      <c r="G304" s="45">
        <f t="shared" si="27"/>
        <v>250</v>
      </c>
      <c r="H304" s="119" t="s">
        <v>27</v>
      </c>
      <c r="I304" s="128">
        <v>45420</v>
      </c>
      <c r="J304" s="192">
        <v>25</v>
      </c>
      <c r="K304" s="74">
        <v>1</v>
      </c>
      <c r="L304" s="156">
        <v>45419</v>
      </c>
      <c r="M304" s="90">
        <v>250</v>
      </c>
      <c r="N304" s="90">
        <v>23</v>
      </c>
      <c r="O304" s="90" t="s">
        <v>3519</v>
      </c>
      <c r="P304" s="94" t="s">
        <v>28</v>
      </c>
      <c r="Q304" s="94">
        <v>8500071302</v>
      </c>
      <c r="R304" s="94">
        <v>5000562580</v>
      </c>
      <c r="S304" s="94"/>
      <c r="T304" s="90" t="s">
        <v>1558</v>
      </c>
      <c r="U304" s="90">
        <v>8500071301</v>
      </c>
      <c r="V304" s="90">
        <v>5000557146</v>
      </c>
      <c r="W304" s="109">
        <v>45420</v>
      </c>
      <c r="X304" s="106">
        <v>25</v>
      </c>
      <c r="Y304" s="106">
        <v>250</v>
      </c>
      <c r="Z304" s="106" t="s">
        <v>800</v>
      </c>
      <c r="AA304" s="106">
        <f t="shared" si="24"/>
        <v>0</v>
      </c>
      <c r="AB304" s="106">
        <f t="shared" si="25"/>
        <v>0</v>
      </c>
      <c r="AC304" s="94"/>
      <c r="AD304" s="94"/>
      <c r="AE304" s="94"/>
      <c r="AF304" s="94"/>
      <c r="AG304" s="94"/>
      <c r="AH304" s="263"/>
    </row>
    <row r="305" spans="1:34" ht="32.25" customHeight="1">
      <c r="A305" s="90"/>
      <c r="B305" s="88"/>
      <c r="C305" s="2"/>
      <c r="D305" s="117"/>
      <c r="E305" s="192">
        <v>10</v>
      </c>
      <c r="F305" s="192">
        <v>25</v>
      </c>
      <c r="G305" s="45">
        <f t="shared" si="27"/>
        <v>250</v>
      </c>
      <c r="H305" s="119" t="s">
        <v>46</v>
      </c>
      <c r="I305" s="128">
        <v>45420</v>
      </c>
      <c r="J305" s="192">
        <v>25</v>
      </c>
      <c r="K305" s="74">
        <v>3</v>
      </c>
      <c r="L305" s="156">
        <v>45419</v>
      </c>
      <c r="M305" s="90">
        <v>250</v>
      </c>
      <c r="N305" s="90">
        <v>23</v>
      </c>
      <c r="O305" s="90" t="s">
        <v>3519</v>
      </c>
      <c r="P305" s="94" t="s">
        <v>28</v>
      </c>
      <c r="Q305" s="94">
        <v>8500071302</v>
      </c>
      <c r="R305" s="94">
        <v>5000562580</v>
      </c>
      <c r="S305" s="94"/>
      <c r="T305" s="90" t="s">
        <v>1558</v>
      </c>
      <c r="U305" s="90">
        <v>8500071301</v>
      </c>
      <c r="V305" s="90">
        <v>5000557146</v>
      </c>
      <c r="W305" s="109">
        <v>45420</v>
      </c>
      <c r="X305" s="106">
        <v>25</v>
      </c>
      <c r="Y305" s="106">
        <v>250</v>
      </c>
      <c r="Z305" s="106" t="s">
        <v>800</v>
      </c>
      <c r="AA305" s="106">
        <f t="shared" si="24"/>
        <v>0</v>
      </c>
      <c r="AB305" s="106">
        <f t="shared" si="25"/>
        <v>0</v>
      </c>
      <c r="AC305" s="94"/>
      <c r="AD305" s="94"/>
      <c r="AE305" s="94"/>
      <c r="AF305" s="94"/>
      <c r="AG305" s="94"/>
      <c r="AH305" s="263"/>
    </row>
    <row r="306" spans="1:34" ht="32.25" customHeight="1">
      <c r="A306" s="90"/>
      <c r="B306" s="88"/>
      <c r="C306" s="2"/>
      <c r="D306" s="117"/>
      <c r="E306" s="192">
        <v>10</v>
      </c>
      <c r="F306" s="192">
        <v>25</v>
      </c>
      <c r="G306" s="45">
        <f t="shared" si="27"/>
        <v>250</v>
      </c>
      <c r="H306" s="119" t="s">
        <v>37</v>
      </c>
      <c r="I306" s="128">
        <v>45420</v>
      </c>
      <c r="J306" s="192">
        <v>25</v>
      </c>
      <c r="K306" s="74">
        <v>0</v>
      </c>
      <c r="L306" s="156">
        <v>45419</v>
      </c>
      <c r="M306" s="90">
        <v>250</v>
      </c>
      <c r="N306" s="90">
        <v>23</v>
      </c>
      <c r="O306" s="90" t="s">
        <v>3519</v>
      </c>
      <c r="P306" s="94" t="s">
        <v>28</v>
      </c>
      <c r="Q306" s="94">
        <v>8500071302</v>
      </c>
      <c r="R306" s="94">
        <v>5000562580</v>
      </c>
      <c r="S306" s="94"/>
      <c r="T306" s="90" t="s">
        <v>1558</v>
      </c>
      <c r="U306" s="90">
        <v>8500071301</v>
      </c>
      <c r="V306" s="90">
        <v>5000557146</v>
      </c>
      <c r="W306" s="109">
        <v>45420</v>
      </c>
      <c r="X306" s="106">
        <v>25</v>
      </c>
      <c r="Y306" s="106">
        <v>250</v>
      </c>
      <c r="Z306" s="106" t="s">
        <v>800</v>
      </c>
      <c r="AA306" s="106">
        <f t="shared" si="24"/>
        <v>0</v>
      </c>
      <c r="AB306" s="106">
        <f t="shared" si="25"/>
        <v>0</v>
      </c>
      <c r="AC306" s="94"/>
      <c r="AD306" s="94"/>
      <c r="AE306" s="94"/>
      <c r="AF306" s="94"/>
      <c r="AG306" s="94"/>
      <c r="AH306" s="263"/>
    </row>
    <row r="307" spans="1:34" ht="32.25" customHeight="1">
      <c r="A307" s="90"/>
      <c r="B307" s="88"/>
      <c r="C307" s="2"/>
      <c r="D307" s="117"/>
      <c r="E307" s="192">
        <v>10</v>
      </c>
      <c r="F307" s="192">
        <v>10</v>
      </c>
      <c r="G307" s="45">
        <f t="shared" si="27"/>
        <v>100</v>
      </c>
      <c r="H307" s="119" t="s">
        <v>146</v>
      </c>
      <c r="I307" s="128">
        <v>45420</v>
      </c>
      <c r="J307" s="192">
        <v>10</v>
      </c>
      <c r="K307" s="74">
        <v>1</v>
      </c>
      <c r="L307" s="156">
        <v>45419</v>
      </c>
      <c r="M307" s="90">
        <v>100</v>
      </c>
      <c r="N307" s="90">
        <v>21</v>
      </c>
      <c r="O307" s="90" t="s">
        <v>3519</v>
      </c>
      <c r="P307" s="94" t="s">
        <v>28</v>
      </c>
      <c r="Q307" s="94">
        <v>8500071307</v>
      </c>
      <c r="R307" s="94">
        <v>5000562581</v>
      </c>
      <c r="S307" s="94"/>
      <c r="T307" s="90" t="s">
        <v>1558</v>
      </c>
      <c r="U307" s="90">
        <v>8500071306</v>
      </c>
      <c r="V307" s="90">
        <v>5000557170</v>
      </c>
      <c r="W307" s="109">
        <v>45420</v>
      </c>
      <c r="X307" s="106">
        <v>10</v>
      </c>
      <c r="Y307" s="106">
        <v>100</v>
      </c>
      <c r="Z307" s="106" t="s">
        <v>800</v>
      </c>
      <c r="AA307" s="106">
        <f t="shared" si="24"/>
        <v>0</v>
      </c>
      <c r="AB307" s="106">
        <f t="shared" si="25"/>
        <v>0</v>
      </c>
      <c r="AC307" s="94"/>
      <c r="AD307" s="94"/>
      <c r="AE307" s="94"/>
      <c r="AF307" s="94"/>
      <c r="AG307" s="94"/>
      <c r="AH307" s="263"/>
    </row>
    <row r="308" spans="1:34" ht="32.25" customHeight="1">
      <c r="A308" s="90" t="s">
        <v>707</v>
      </c>
      <c r="B308" s="88">
        <v>2000001347</v>
      </c>
      <c r="C308" s="2" t="s">
        <v>3499</v>
      </c>
      <c r="D308" s="117">
        <v>2000001347</v>
      </c>
      <c r="E308" s="192">
        <v>10</v>
      </c>
      <c r="F308" s="74">
        <v>300</v>
      </c>
      <c r="G308" s="45">
        <f t="shared" si="27"/>
        <v>3000</v>
      </c>
      <c r="H308" s="119" t="s">
        <v>146</v>
      </c>
      <c r="I308" s="128">
        <v>45423</v>
      </c>
      <c r="J308" s="74">
        <v>300</v>
      </c>
      <c r="K308" s="74">
        <v>3</v>
      </c>
      <c r="L308" s="156">
        <v>45426</v>
      </c>
      <c r="M308" s="90">
        <v>3000</v>
      </c>
      <c r="N308" s="90">
        <v>35</v>
      </c>
      <c r="O308" s="90" t="s">
        <v>1871</v>
      </c>
      <c r="P308" s="94" t="s">
        <v>28</v>
      </c>
      <c r="Q308" s="94">
        <v>8500071249</v>
      </c>
      <c r="R308" s="94">
        <v>5000577092</v>
      </c>
      <c r="S308" s="94"/>
      <c r="T308" s="90" t="s">
        <v>1558</v>
      </c>
      <c r="U308" s="90">
        <v>8500071246</v>
      </c>
      <c r="V308" s="90">
        <v>5000593668</v>
      </c>
      <c r="W308" s="109">
        <v>45428</v>
      </c>
      <c r="X308" s="106">
        <f>300-18</f>
        <v>282</v>
      </c>
      <c r="Y308" s="106">
        <f>3000-180</f>
        <v>2820</v>
      </c>
      <c r="Z308" s="106" t="s">
        <v>800</v>
      </c>
      <c r="AA308" s="106">
        <f t="shared" si="24"/>
        <v>18</v>
      </c>
      <c r="AB308" s="106">
        <f>M308-Y308</f>
        <v>180</v>
      </c>
      <c r="AC308" s="94" t="s">
        <v>3759</v>
      </c>
      <c r="AD308" s="94" t="s">
        <v>3625</v>
      </c>
      <c r="AE308" s="94"/>
      <c r="AF308" s="94"/>
      <c r="AG308" s="94"/>
      <c r="AH308" s="263"/>
    </row>
    <row r="309" spans="1:34" ht="32.25" customHeight="1">
      <c r="A309" s="90" t="s">
        <v>707</v>
      </c>
      <c r="B309" s="88"/>
      <c r="C309" s="2"/>
      <c r="D309" s="117" t="s">
        <v>244</v>
      </c>
      <c r="E309" s="192">
        <v>10</v>
      </c>
      <c r="F309" s="74">
        <v>6</v>
      </c>
      <c r="G309" s="45">
        <f t="shared" si="27"/>
        <v>60</v>
      </c>
      <c r="H309" s="119" t="s">
        <v>146</v>
      </c>
      <c r="I309" s="128">
        <v>45423</v>
      </c>
      <c r="J309" s="74">
        <v>6</v>
      </c>
      <c r="K309" s="74">
        <v>2</v>
      </c>
      <c r="L309" s="156">
        <v>45426</v>
      </c>
      <c r="M309" s="90">
        <v>60</v>
      </c>
      <c r="N309" s="90">
        <v>1</v>
      </c>
      <c r="O309" s="90"/>
      <c r="P309" s="94" t="s">
        <v>28</v>
      </c>
      <c r="Q309" s="94">
        <v>8500071253</v>
      </c>
      <c r="R309" s="94">
        <v>5000577094</v>
      </c>
      <c r="S309" s="94"/>
      <c r="T309" s="90" t="s">
        <v>1558</v>
      </c>
      <c r="U309" s="90">
        <v>8500071251</v>
      </c>
      <c r="V309" s="90">
        <v>5000593680</v>
      </c>
      <c r="W309" s="109" t="s">
        <v>3646</v>
      </c>
      <c r="X309" s="106">
        <v>6</v>
      </c>
      <c r="Y309" s="106">
        <v>60</v>
      </c>
      <c r="Z309" s="106"/>
      <c r="AA309" s="106">
        <f t="shared" si="24"/>
        <v>0</v>
      </c>
      <c r="AB309" s="106">
        <f t="shared" si="25"/>
        <v>0</v>
      </c>
      <c r="AC309" s="94" t="s">
        <v>3626</v>
      </c>
      <c r="AD309" s="94"/>
      <c r="AE309" s="94"/>
      <c r="AF309" s="94"/>
      <c r="AG309" s="94"/>
      <c r="AH309" s="263"/>
    </row>
    <row r="310" spans="1:34" ht="32.25" customHeight="1">
      <c r="A310" s="90" t="s">
        <v>720</v>
      </c>
      <c r="B310" s="88">
        <v>2000001339</v>
      </c>
      <c r="C310" s="2" t="s">
        <v>1524</v>
      </c>
      <c r="D310" s="117">
        <v>2000001339</v>
      </c>
      <c r="E310" s="192">
        <v>10</v>
      </c>
      <c r="F310" s="74">
        <v>100</v>
      </c>
      <c r="G310" s="45">
        <f t="shared" si="27"/>
        <v>1000</v>
      </c>
      <c r="H310" s="119" t="s">
        <v>243</v>
      </c>
      <c r="I310" s="128">
        <v>45419</v>
      </c>
      <c r="J310" s="74">
        <v>100</v>
      </c>
      <c r="K310" s="74">
        <f>3+2</f>
        <v>5</v>
      </c>
      <c r="L310" s="156">
        <v>45421</v>
      </c>
      <c r="M310" s="90">
        <v>1000</v>
      </c>
      <c r="N310" s="90">
        <v>10</v>
      </c>
      <c r="O310" s="90" t="s">
        <v>790</v>
      </c>
      <c r="P310" s="94" t="s">
        <v>160</v>
      </c>
      <c r="Q310" s="94">
        <v>8500071066</v>
      </c>
      <c r="R310" s="94">
        <v>5000558051</v>
      </c>
      <c r="S310" s="94"/>
      <c r="T310" s="90" t="s">
        <v>761</v>
      </c>
      <c r="U310" s="90">
        <v>8500071065</v>
      </c>
      <c r="V310" s="90">
        <v>5000572831</v>
      </c>
      <c r="W310" s="109">
        <v>45425</v>
      </c>
      <c r="X310" s="106">
        <v>100</v>
      </c>
      <c r="Y310" s="106">
        <v>1000</v>
      </c>
      <c r="Z310" s="106" t="s">
        <v>1980</v>
      </c>
      <c r="AA310" s="106">
        <f t="shared" si="24"/>
        <v>0</v>
      </c>
      <c r="AB310" s="106">
        <f t="shared" si="25"/>
        <v>0</v>
      </c>
      <c r="AC310" s="94"/>
      <c r="AD310" s="94"/>
      <c r="AE310" s="94"/>
      <c r="AF310" s="94"/>
      <c r="AG310" s="94"/>
      <c r="AH310" s="263"/>
    </row>
    <row r="311" spans="1:34" ht="32.25" customHeight="1">
      <c r="A311" s="90"/>
      <c r="B311" s="88"/>
      <c r="C311" s="2"/>
      <c r="D311" s="117"/>
      <c r="E311" s="192">
        <v>10</v>
      </c>
      <c r="F311" s="74">
        <v>380</v>
      </c>
      <c r="G311" s="45">
        <f t="shared" si="27"/>
        <v>3800</v>
      </c>
      <c r="H311" s="119" t="s">
        <v>27</v>
      </c>
      <c r="I311" s="128">
        <v>45419</v>
      </c>
      <c r="J311" s="74">
        <v>380</v>
      </c>
      <c r="K311" s="74">
        <f>8+4</f>
        <v>12</v>
      </c>
      <c r="L311" s="156">
        <v>45421</v>
      </c>
      <c r="M311" s="90">
        <v>3800</v>
      </c>
      <c r="N311" s="90">
        <v>38</v>
      </c>
      <c r="O311" s="90" t="s">
        <v>791</v>
      </c>
      <c r="P311" s="94" t="s">
        <v>160</v>
      </c>
      <c r="Q311" s="94">
        <v>8500071066</v>
      </c>
      <c r="R311" s="94">
        <v>5000558051</v>
      </c>
      <c r="S311" s="94"/>
      <c r="T311" s="90" t="s">
        <v>761</v>
      </c>
      <c r="U311" s="90">
        <v>8500071065</v>
      </c>
      <c r="V311" s="90">
        <v>5000572831</v>
      </c>
      <c r="W311" s="109">
        <v>45426</v>
      </c>
      <c r="X311" s="106">
        <v>380</v>
      </c>
      <c r="Y311" s="106">
        <v>3800</v>
      </c>
      <c r="Z311" s="106" t="s">
        <v>1980</v>
      </c>
      <c r="AA311" s="106">
        <f t="shared" si="24"/>
        <v>0</v>
      </c>
      <c r="AB311" s="106">
        <f t="shared" si="25"/>
        <v>0</v>
      </c>
      <c r="AC311" s="94"/>
      <c r="AD311" s="94"/>
      <c r="AE311" s="94"/>
      <c r="AF311" s="94"/>
      <c r="AG311" s="94"/>
      <c r="AH311" s="263"/>
    </row>
    <row r="312" spans="1:34" ht="32.25" customHeight="1">
      <c r="A312" s="90"/>
      <c r="B312" s="88"/>
      <c r="C312" s="2"/>
      <c r="D312" s="117"/>
      <c r="E312" s="192">
        <v>10</v>
      </c>
      <c r="F312" s="218">
        <v>670</v>
      </c>
      <c r="G312" s="219">
        <f t="shared" si="27"/>
        <v>6700</v>
      </c>
      <c r="H312" s="227" t="s">
        <v>46</v>
      </c>
      <c r="I312" s="128" t="s">
        <v>1597</v>
      </c>
      <c r="J312" s="74"/>
      <c r="K312" s="74"/>
      <c r="L312" s="156"/>
      <c r="M312" s="90"/>
      <c r="N312" s="90"/>
      <c r="O312" s="90"/>
      <c r="P312" s="94"/>
      <c r="Q312" s="94">
        <v>8500071066</v>
      </c>
      <c r="R312" s="94">
        <v>5000637748</v>
      </c>
      <c r="S312" s="94"/>
      <c r="T312" s="90"/>
      <c r="U312" s="90"/>
      <c r="V312" s="90"/>
      <c r="W312" s="109"/>
      <c r="X312" s="106"/>
      <c r="Y312" s="106"/>
      <c r="Z312" s="106"/>
      <c r="AA312" s="106">
        <f t="shared" si="24"/>
        <v>0</v>
      </c>
      <c r="AB312" s="106">
        <f t="shared" si="25"/>
        <v>0</v>
      </c>
      <c r="AC312" s="94"/>
      <c r="AD312" s="94"/>
      <c r="AE312" s="94"/>
      <c r="AF312" s="94"/>
      <c r="AG312" s="94"/>
      <c r="AH312" s="263"/>
    </row>
    <row r="313" spans="1:34" ht="32.25" customHeight="1">
      <c r="A313" s="90" t="s">
        <v>707</v>
      </c>
      <c r="B313" s="88">
        <v>2000001331</v>
      </c>
      <c r="C313" s="2" t="s">
        <v>3094</v>
      </c>
      <c r="D313" s="117">
        <v>2000001331</v>
      </c>
      <c r="E313" s="192">
        <v>20</v>
      </c>
      <c r="F313" s="74">
        <v>7</v>
      </c>
      <c r="G313" s="45">
        <f t="shared" si="27"/>
        <v>140</v>
      </c>
      <c r="H313" s="119" t="s">
        <v>27</v>
      </c>
      <c r="I313" s="128">
        <v>45419</v>
      </c>
      <c r="J313" s="74">
        <v>7</v>
      </c>
      <c r="K313" s="74">
        <v>8</v>
      </c>
      <c r="L313" s="156"/>
      <c r="M313" s="45">
        <v>140</v>
      </c>
      <c r="N313" s="90"/>
      <c r="O313" s="90"/>
      <c r="P313" s="94" t="s">
        <v>160</v>
      </c>
      <c r="Q313" s="94">
        <v>8500070643</v>
      </c>
      <c r="R313" s="94">
        <v>5000557042</v>
      </c>
      <c r="S313" s="94"/>
      <c r="T313" s="90"/>
      <c r="U313" s="90"/>
      <c r="V313" s="90"/>
      <c r="W313" s="109">
        <v>45434</v>
      </c>
      <c r="X313" s="106">
        <v>7</v>
      </c>
      <c r="Y313" s="106">
        <v>140</v>
      </c>
      <c r="Z313" s="106" t="s">
        <v>800</v>
      </c>
      <c r="AA313" s="106">
        <f t="shared" si="24"/>
        <v>0</v>
      </c>
      <c r="AB313" s="106">
        <f t="shared" si="25"/>
        <v>0</v>
      </c>
      <c r="AC313" s="94" t="s">
        <v>3572</v>
      </c>
      <c r="AD313" s="94"/>
      <c r="AE313" s="94"/>
      <c r="AF313" s="94"/>
      <c r="AG313" s="94"/>
      <c r="AH313" s="263"/>
    </row>
    <row r="314" spans="1:34" ht="32.25" customHeight="1">
      <c r="A314" s="260"/>
      <c r="B314" s="121"/>
      <c r="C314" s="192"/>
      <c r="D314" s="192"/>
      <c r="E314" s="192">
        <v>20</v>
      </c>
      <c r="F314" s="74">
        <v>23</v>
      </c>
      <c r="G314" s="45">
        <f t="shared" si="27"/>
        <v>460</v>
      </c>
      <c r="H314" s="119" t="s">
        <v>46</v>
      </c>
      <c r="I314" s="128">
        <v>45419</v>
      </c>
      <c r="J314" s="74">
        <v>23</v>
      </c>
      <c r="K314" s="74"/>
      <c r="L314" s="156"/>
      <c r="M314" s="45">
        <v>460</v>
      </c>
      <c r="N314" s="90"/>
      <c r="O314" s="90"/>
      <c r="P314" s="94" t="s">
        <v>160</v>
      </c>
      <c r="Q314" s="94">
        <v>8500070643</v>
      </c>
      <c r="R314" s="94">
        <v>5000557042</v>
      </c>
      <c r="S314" s="94"/>
      <c r="T314" s="90"/>
      <c r="U314" s="90"/>
      <c r="V314" s="90"/>
      <c r="W314" s="109">
        <v>45434</v>
      </c>
      <c r="X314" s="106">
        <v>23</v>
      </c>
      <c r="Y314" s="106">
        <v>460</v>
      </c>
      <c r="Z314" s="106" t="s">
        <v>800</v>
      </c>
      <c r="AA314" s="106">
        <f t="shared" si="24"/>
        <v>0</v>
      </c>
      <c r="AB314" s="106">
        <f t="shared" si="25"/>
        <v>0</v>
      </c>
      <c r="AC314" s="94" t="s">
        <v>3572</v>
      </c>
      <c r="AD314" s="94"/>
      <c r="AE314" s="94"/>
      <c r="AF314" s="94"/>
      <c r="AG314" s="94"/>
      <c r="AH314" s="263"/>
    </row>
    <row r="315" spans="1:34" ht="32.25" customHeight="1">
      <c r="A315" s="45"/>
      <c r="B315" s="121"/>
      <c r="C315" s="192"/>
      <c r="D315" s="192"/>
      <c r="E315" s="192">
        <v>20</v>
      </c>
      <c r="F315" s="74">
        <v>14</v>
      </c>
      <c r="G315" s="45">
        <f t="shared" si="27"/>
        <v>280</v>
      </c>
      <c r="H315" s="119" t="s">
        <v>37</v>
      </c>
      <c r="I315" s="128">
        <v>45419</v>
      </c>
      <c r="J315" s="74">
        <v>14</v>
      </c>
      <c r="K315" s="74"/>
      <c r="L315" s="156"/>
      <c r="M315" s="45">
        <v>280</v>
      </c>
      <c r="N315" s="90"/>
      <c r="O315" s="90"/>
      <c r="P315" s="94" t="s">
        <v>160</v>
      </c>
      <c r="Q315" s="94">
        <v>8500070643</v>
      </c>
      <c r="R315" s="94">
        <v>5000557042</v>
      </c>
      <c r="S315" s="94"/>
      <c r="T315" s="90"/>
      <c r="U315" s="90"/>
      <c r="V315" s="90"/>
      <c r="W315" s="109">
        <v>45434</v>
      </c>
      <c r="X315" s="106">
        <v>14</v>
      </c>
      <c r="Y315" s="106">
        <v>280</v>
      </c>
      <c r="Z315" s="106" t="s">
        <v>800</v>
      </c>
      <c r="AA315" s="106">
        <f t="shared" si="24"/>
        <v>0</v>
      </c>
      <c r="AB315" s="106">
        <f t="shared" si="25"/>
        <v>0</v>
      </c>
      <c r="AC315" s="94" t="s">
        <v>3573</v>
      </c>
      <c r="AD315" s="94"/>
      <c r="AE315" s="94"/>
      <c r="AF315" s="94"/>
      <c r="AG315" s="94"/>
      <c r="AH315" s="263"/>
    </row>
    <row r="316" spans="1:34" ht="32.25" customHeight="1">
      <c r="A316" s="90" t="s">
        <v>726</v>
      </c>
      <c r="B316" s="88">
        <v>6000029779</v>
      </c>
      <c r="C316" s="2" t="s">
        <v>828</v>
      </c>
      <c r="D316" s="117" t="s">
        <v>3521</v>
      </c>
      <c r="E316" s="94">
        <v>10</v>
      </c>
      <c r="F316" s="74">
        <v>200</v>
      </c>
      <c r="G316" s="45">
        <f t="shared" si="27"/>
        <v>2000</v>
      </c>
      <c r="H316" s="119" t="s">
        <v>27</v>
      </c>
      <c r="I316" s="128">
        <v>45419</v>
      </c>
      <c r="J316" s="74">
        <v>200</v>
      </c>
      <c r="K316" s="74">
        <v>9</v>
      </c>
      <c r="L316" s="156">
        <v>45425</v>
      </c>
      <c r="M316" s="90">
        <v>2000</v>
      </c>
      <c r="N316" s="90">
        <v>30</v>
      </c>
      <c r="O316" s="90" t="s">
        <v>1648</v>
      </c>
      <c r="P316" s="94" t="s">
        <v>160</v>
      </c>
      <c r="Q316" s="94">
        <v>8500071173</v>
      </c>
      <c r="R316" s="94">
        <v>5000558222</v>
      </c>
      <c r="S316" s="94"/>
      <c r="T316" s="90" t="s">
        <v>655</v>
      </c>
      <c r="U316" s="90">
        <v>8500071172</v>
      </c>
      <c r="V316" s="90">
        <v>5000588501</v>
      </c>
      <c r="W316" s="109">
        <v>45426</v>
      </c>
      <c r="X316" s="106">
        <v>200</v>
      </c>
      <c r="Y316" s="106">
        <v>2000</v>
      </c>
      <c r="Z316" s="106" t="s">
        <v>800</v>
      </c>
      <c r="AA316" s="106">
        <f t="shared" si="24"/>
        <v>0</v>
      </c>
      <c r="AB316" s="106">
        <f t="shared" si="25"/>
        <v>0</v>
      </c>
      <c r="AC316" s="94"/>
      <c r="AD316" s="94"/>
      <c r="AE316" s="94"/>
      <c r="AF316" s="94"/>
      <c r="AG316" s="94"/>
      <c r="AH316" s="263"/>
    </row>
    <row r="317" spans="1:34" ht="32.25" customHeight="1">
      <c r="A317" s="260"/>
      <c r="B317" s="121"/>
      <c r="C317" s="192"/>
      <c r="D317" s="192"/>
      <c r="E317" s="94">
        <v>10</v>
      </c>
      <c r="F317" s="74">
        <v>250</v>
      </c>
      <c r="G317" s="45">
        <f t="shared" si="27"/>
        <v>2500</v>
      </c>
      <c r="H317" s="119" t="s">
        <v>46</v>
      </c>
      <c r="I317" s="128">
        <v>45419</v>
      </c>
      <c r="J317" s="74">
        <v>250</v>
      </c>
      <c r="K317" s="74">
        <f>4+8</f>
        <v>12</v>
      </c>
      <c r="L317" s="156">
        <v>45425</v>
      </c>
      <c r="M317" s="90">
        <f>2000+500</f>
        <v>2500</v>
      </c>
      <c r="N317" s="90">
        <v>30</v>
      </c>
      <c r="O317" s="90" t="s">
        <v>1648</v>
      </c>
      <c r="P317" s="94" t="s">
        <v>160</v>
      </c>
      <c r="Q317" s="94">
        <v>8500071173</v>
      </c>
      <c r="R317" s="94">
        <v>5000558222</v>
      </c>
      <c r="S317" s="94"/>
      <c r="T317" s="90" t="s">
        <v>655</v>
      </c>
      <c r="U317" s="90">
        <v>8500071172</v>
      </c>
      <c r="V317" s="90">
        <v>5000588501</v>
      </c>
      <c r="W317" s="109">
        <v>45430</v>
      </c>
      <c r="X317" s="106">
        <v>250</v>
      </c>
      <c r="Y317" s="106">
        <v>2500</v>
      </c>
      <c r="Z317" s="106" t="s">
        <v>267</v>
      </c>
      <c r="AA317" s="106">
        <f t="shared" si="24"/>
        <v>0</v>
      </c>
      <c r="AB317" s="106">
        <f t="shared" si="25"/>
        <v>0</v>
      </c>
      <c r="AC317" s="94"/>
      <c r="AD317" s="94"/>
      <c r="AE317" s="94"/>
      <c r="AF317" s="94"/>
      <c r="AG317" s="94"/>
      <c r="AH317" s="263"/>
    </row>
    <row r="318" spans="1:34" ht="32.25" customHeight="1">
      <c r="A318" s="45" t="s">
        <v>707</v>
      </c>
      <c r="B318" s="121">
        <v>2000001332</v>
      </c>
      <c r="C318" s="192" t="s">
        <v>1597</v>
      </c>
      <c r="D318" s="192"/>
      <c r="E318" s="94"/>
      <c r="F318" s="74"/>
      <c r="G318" s="45">
        <f t="shared" si="27"/>
        <v>0</v>
      </c>
      <c r="H318" s="119"/>
      <c r="I318" s="128"/>
      <c r="J318" s="74"/>
      <c r="K318" s="74"/>
      <c r="L318" s="156"/>
      <c r="M318" s="90"/>
      <c r="N318" s="90"/>
      <c r="O318" s="90"/>
      <c r="P318" s="74"/>
      <c r="Q318" s="94">
        <v>8500070996</v>
      </c>
      <c r="R318" s="94">
        <v>5000562758</v>
      </c>
      <c r="S318" s="94"/>
      <c r="T318" s="90" t="s">
        <v>895</v>
      </c>
      <c r="U318" s="90">
        <v>8500070994</v>
      </c>
      <c r="V318" s="90">
        <v>5000562699</v>
      </c>
      <c r="W318" s="109"/>
      <c r="X318" s="106"/>
      <c r="Y318" s="106"/>
      <c r="Z318" s="106"/>
      <c r="AA318" s="106">
        <f t="shared" si="24"/>
        <v>0</v>
      </c>
      <c r="AB318" s="106">
        <f t="shared" si="25"/>
        <v>0</v>
      </c>
      <c r="AC318" s="94" t="s">
        <v>3687</v>
      </c>
      <c r="AD318" s="94"/>
      <c r="AE318" s="94"/>
      <c r="AF318" s="94"/>
      <c r="AG318" s="94"/>
      <c r="AH318" s="263"/>
    </row>
    <row r="319" spans="1:34" ht="32.25" customHeight="1">
      <c r="A319" s="45" t="s">
        <v>240</v>
      </c>
      <c r="B319" s="121">
        <v>6000030395</v>
      </c>
      <c r="C319" s="2" t="s">
        <v>1385</v>
      </c>
      <c r="D319" s="2" t="s">
        <v>3431</v>
      </c>
      <c r="E319" s="94">
        <v>20</v>
      </c>
      <c r="F319" s="74">
        <v>70</v>
      </c>
      <c r="G319" s="45">
        <f t="shared" si="27"/>
        <v>1400</v>
      </c>
      <c r="H319" s="119" t="s">
        <v>46</v>
      </c>
      <c r="I319" s="128" t="s">
        <v>3569</v>
      </c>
      <c r="J319" s="74">
        <f>67+3</f>
        <v>70</v>
      </c>
      <c r="K319" s="74">
        <f>7+1</f>
        <v>8</v>
      </c>
      <c r="L319" s="156">
        <v>45421</v>
      </c>
      <c r="M319" s="90">
        <v>1400</v>
      </c>
      <c r="N319" s="90">
        <v>14</v>
      </c>
      <c r="O319" s="90"/>
      <c r="P319" s="74"/>
      <c r="Q319" s="94"/>
      <c r="R319" s="94"/>
      <c r="S319" s="94"/>
      <c r="T319" s="90" t="s">
        <v>890</v>
      </c>
      <c r="U319" s="90">
        <v>8500070892</v>
      </c>
      <c r="V319" s="90"/>
      <c r="W319" s="109">
        <v>45432</v>
      </c>
      <c r="X319" s="106">
        <v>70</v>
      </c>
      <c r="Y319" s="106">
        <v>1400</v>
      </c>
      <c r="Z319" s="106" t="s">
        <v>800</v>
      </c>
      <c r="AA319" s="106">
        <f t="shared" si="24"/>
        <v>0</v>
      </c>
      <c r="AB319" s="106">
        <f t="shared" si="25"/>
        <v>0</v>
      </c>
      <c r="AC319" s="94"/>
      <c r="AD319" s="94"/>
      <c r="AE319" s="94"/>
      <c r="AF319" s="94"/>
      <c r="AG319" s="94"/>
      <c r="AH319" s="263"/>
    </row>
    <row r="320" spans="1:34" ht="32.25" customHeight="1">
      <c r="A320" s="45" t="s">
        <v>804</v>
      </c>
      <c r="B320" s="121">
        <v>6000028641</v>
      </c>
      <c r="C320" s="192" t="s">
        <v>3539</v>
      </c>
      <c r="D320" s="291">
        <v>6000028641</v>
      </c>
      <c r="E320" s="94">
        <v>10</v>
      </c>
      <c r="F320" s="74">
        <v>1000</v>
      </c>
      <c r="G320" s="45">
        <f t="shared" si="27"/>
        <v>10000</v>
      </c>
      <c r="H320" s="119" t="s">
        <v>46</v>
      </c>
      <c r="I320" s="128">
        <v>45421</v>
      </c>
      <c r="J320" s="74">
        <v>1000</v>
      </c>
      <c r="K320" s="74"/>
      <c r="L320" s="156">
        <v>45421</v>
      </c>
      <c r="M320" s="90">
        <v>10000</v>
      </c>
      <c r="N320" s="90"/>
      <c r="O320" s="90"/>
      <c r="P320" s="94" t="s">
        <v>1666</v>
      </c>
      <c r="Q320" s="94"/>
      <c r="R320" s="94"/>
      <c r="S320" s="94"/>
      <c r="T320" s="90" t="s">
        <v>1666</v>
      </c>
      <c r="U320" s="90"/>
      <c r="V320" s="90"/>
      <c r="W320" s="109">
        <v>45422</v>
      </c>
      <c r="X320" s="106">
        <v>1000</v>
      </c>
      <c r="Y320" s="106">
        <v>10000</v>
      </c>
      <c r="Z320" s="106" t="s">
        <v>1460</v>
      </c>
      <c r="AA320" s="106">
        <f t="shared" si="24"/>
        <v>0</v>
      </c>
      <c r="AB320" s="106">
        <f t="shared" si="25"/>
        <v>0</v>
      </c>
      <c r="AC320" s="94"/>
      <c r="AD320" s="94"/>
      <c r="AE320" s="94"/>
      <c r="AF320" s="94"/>
      <c r="AG320" s="94"/>
      <c r="AH320" s="263"/>
    </row>
    <row r="321" spans="1:34" ht="32.25" customHeight="1">
      <c r="A321" s="45" t="s">
        <v>850</v>
      </c>
      <c r="B321" s="225">
        <v>2000001317</v>
      </c>
      <c r="C321" s="2" t="s">
        <v>3499</v>
      </c>
      <c r="D321" s="291">
        <v>2000001317</v>
      </c>
      <c r="E321" s="94">
        <v>10</v>
      </c>
      <c r="F321" s="74">
        <v>1100</v>
      </c>
      <c r="G321" s="45">
        <f t="shared" si="27"/>
        <v>11000</v>
      </c>
      <c r="H321" s="119" t="s">
        <v>46</v>
      </c>
      <c r="I321" s="128">
        <v>45421</v>
      </c>
      <c r="J321" s="74">
        <v>1100</v>
      </c>
      <c r="K321" s="74"/>
      <c r="L321" s="156">
        <v>45421</v>
      </c>
      <c r="M321" s="90">
        <v>11000</v>
      </c>
      <c r="N321" s="90"/>
      <c r="O321" s="90"/>
      <c r="P321" s="94" t="s">
        <v>1666</v>
      </c>
      <c r="Q321" s="94"/>
      <c r="R321" s="94"/>
      <c r="S321" s="94"/>
      <c r="T321" s="90" t="s">
        <v>1666</v>
      </c>
      <c r="U321" s="90"/>
      <c r="V321" s="90"/>
      <c r="W321" s="109">
        <v>45423</v>
      </c>
      <c r="X321" s="106">
        <v>1100</v>
      </c>
      <c r="Y321" s="106">
        <v>11000</v>
      </c>
      <c r="Z321" s="106" t="s">
        <v>1460</v>
      </c>
      <c r="AA321" s="106">
        <f t="shared" si="24"/>
        <v>0</v>
      </c>
      <c r="AB321" s="106">
        <f t="shared" si="25"/>
        <v>0</v>
      </c>
      <c r="AC321" s="111"/>
      <c r="AD321" s="94"/>
      <c r="AE321" s="94"/>
      <c r="AF321" s="94"/>
      <c r="AG321" s="94"/>
      <c r="AH321" s="263"/>
    </row>
    <row r="322" spans="1:34" ht="32.25" customHeight="1">
      <c r="A322" s="45"/>
      <c r="B322" s="124">
        <v>2000001318</v>
      </c>
      <c r="C322" s="2" t="s">
        <v>3499</v>
      </c>
      <c r="D322" s="291">
        <v>2000001318</v>
      </c>
      <c r="E322" s="94">
        <v>10</v>
      </c>
      <c r="F322" s="74">
        <v>1100</v>
      </c>
      <c r="G322" s="45">
        <f t="shared" si="27"/>
        <v>11000</v>
      </c>
      <c r="H322" s="119" t="s">
        <v>46</v>
      </c>
      <c r="I322" s="128">
        <v>45421</v>
      </c>
      <c r="J322" s="74">
        <v>1100</v>
      </c>
      <c r="K322" s="74"/>
      <c r="L322" s="156">
        <v>45421</v>
      </c>
      <c r="M322" s="90">
        <v>11000</v>
      </c>
      <c r="N322" s="90"/>
      <c r="O322" s="90"/>
      <c r="P322" s="94" t="s">
        <v>1666</v>
      </c>
      <c r="Q322" s="94"/>
      <c r="R322" s="94"/>
      <c r="S322" s="94"/>
      <c r="T322" s="90" t="s">
        <v>1666</v>
      </c>
      <c r="U322" s="90"/>
      <c r="V322" s="90"/>
      <c r="W322" s="109">
        <v>45426</v>
      </c>
      <c r="X322" s="106">
        <v>1100</v>
      </c>
      <c r="Y322" s="106">
        <v>11000</v>
      </c>
      <c r="Z322" s="106" t="s">
        <v>1460</v>
      </c>
      <c r="AA322" s="106">
        <f t="shared" si="24"/>
        <v>0</v>
      </c>
      <c r="AB322" s="106">
        <f t="shared" si="25"/>
        <v>0</v>
      </c>
      <c r="AC322" s="94"/>
      <c r="AD322" s="94"/>
      <c r="AE322" s="94"/>
      <c r="AF322" s="94"/>
      <c r="AG322" s="94"/>
      <c r="AH322" s="263"/>
    </row>
    <row r="323" spans="1:34" ht="32.25" customHeight="1">
      <c r="A323" s="260" t="s">
        <v>3541</v>
      </c>
      <c r="B323" s="121">
        <v>6000029782</v>
      </c>
      <c r="C323" s="192" t="s">
        <v>1689</v>
      </c>
      <c r="D323" s="291">
        <v>6000029782</v>
      </c>
      <c r="E323" s="94">
        <v>10</v>
      </c>
      <c r="F323" s="74">
        <v>1020</v>
      </c>
      <c r="G323" s="45">
        <f t="shared" si="27"/>
        <v>10200</v>
      </c>
      <c r="H323" s="119" t="s">
        <v>722</v>
      </c>
      <c r="I323" s="128">
        <v>45421</v>
      </c>
      <c r="J323" s="74">
        <v>1020</v>
      </c>
      <c r="K323" s="74" t="s">
        <v>3542</v>
      </c>
      <c r="L323" s="156">
        <v>45422</v>
      </c>
      <c r="M323" s="90">
        <v>10200</v>
      </c>
      <c r="N323" s="90"/>
      <c r="O323" s="90"/>
      <c r="P323" s="94" t="s">
        <v>1666</v>
      </c>
      <c r="Q323" s="94"/>
      <c r="R323" s="94"/>
      <c r="S323" s="94"/>
      <c r="T323" s="90" t="s">
        <v>1666</v>
      </c>
      <c r="U323" s="90"/>
      <c r="V323" s="90"/>
      <c r="W323" s="109" t="s">
        <v>3665</v>
      </c>
      <c r="X323" s="106">
        <v>1020</v>
      </c>
      <c r="Y323" s="106">
        <v>10200</v>
      </c>
      <c r="Z323" s="106" t="s">
        <v>1460</v>
      </c>
      <c r="AA323" s="106">
        <f t="shared" si="24"/>
        <v>0</v>
      </c>
      <c r="AB323" s="106">
        <f t="shared" si="25"/>
        <v>0</v>
      </c>
      <c r="AC323" s="94"/>
      <c r="AD323" s="94"/>
      <c r="AE323" s="94"/>
      <c r="AF323" s="94"/>
      <c r="AG323" s="94"/>
      <c r="AH323" s="263"/>
    </row>
    <row r="324" spans="1:34" ht="32.25" customHeight="1">
      <c r="A324" s="260" t="s">
        <v>240</v>
      </c>
      <c r="B324" s="121">
        <v>6000029816</v>
      </c>
      <c r="C324" s="192" t="s">
        <v>3543</v>
      </c>
      <c r="D324" s="117" t="s">
        <v>3544</v>
      </c>
      <c r="E324" s="94">
        <v>30</v>
      </c>
      <c r="F324" s="74">
        <v>350</v>
      </c>
      <c r="G324" s="45">
        <f t="shared" si="27"/>
        <v>10500</v>
      </c>
      <c r="H324" s="119" t="s">
        <v>46</v>
      </c>
      <c r="I324" s="128" t="s">
        <v>3551</v>
      </c>
      <c r="J324" s="74">
        <f>200+150</f>
        <v>350</v>
      </c>
      <c r="K324" s="74"/>
      <c r="L324" s="156">
        <v>45422</v>
      </c>
      <c r="M324" s="90">
        <v>10500</v>
      </c>
      <c r="N324" s="90"/>
      <c r="O324" s="90"/>
      <c r="P324" s="94" t="s">
        <v>1666</v>
      </c>
      <c r="Q324" s="94"/>
      <c r="R324" s="94"/>
      <c r="S324" s="94"/>
      <c r="T324" s="90" t="s">
        <v>1666</v>
      </c>
      <c r="U324" s="90"/>
      <c r="V324" s="90"/>
      <c r="W324" s="109">
        <v>45429</v>
      </c>
      <c r="X324" s="106">
        <v>350</v>
      </c>
      <c r="Y324" s="106">
        <v>10500</v>
      </c>
      <c r="Z324" s="106" t="s">
        <v>1460</v>
      </c>
      <c r="AA324" s="106">
        <f t="shared" si="24"/>
        <v>0</v>
      </c>
      <c r="AB324" s="106">
        <f t="shared" si="25"/>
        <v>0</v>
      </c>
      <c r="AC324" s="94"/>
      <c r="AD324" s="94"/>
      <c r="AE324" s="94"/>
      <c r="AF324" s="94"/>
      <c r="AG324" s="94"/>
      <c r="AH324" s="263"/>
    </row>
    <row r="325" spans="1:34" ht="32.25" customHeight="1">
      <c r="A325" s="260" t="s">
        <v>240</v>
      </c>
      <c r="B325" s="121">
        <v>6000029811</v>
      </c>
      <c r="C325" s="192" t="s">
        <v>3543</v>
      </c>
      <c r="D325" s="117" t="s">
        <v>3545</v>
      </c>
      <c r="E325" s="94">
        <v>30</v>
      </c>
      <c r="F325" s="74">
        <v>330</v>
      </c>
      <c r="G325" s="45">
        <f t="shared" si="27"/>
        <v>9900</v>
      </c>
      <c r="H325" s="119" t="s">
        <v>46</v>
      </c>
      <c r="I325" s="128" t="s">
        <v>3551</v>
      </c>
      <c r="J325" s="74">
        <f>250+80</f>
        <v>330</v>
      </c>
      <c r="K325" s="74"/>
      <c r="L325" s="156">
        <v>45422</v>
      </c>
      <c r="M325" s="90">
        <v>9900</v>
      </c>
      <c r="N325" s="90"/>
      <c r="O325" s="90"/>
      <c r="P325" s="94" t="s">
        <v>1666</v>
      </c>
      <c r="Q325" s="94"/>
      <c r="R325" s="94"/>
      <c r="S325" s="94"/>
      <c r="T325" s="90" t="s">
        <v>1666</v>
      </c>
      <c r="U325" s="90"/>
      <c r="V325" s="90"/>
      <c r="W325" s="109">
        <v>45427</v>
      </c>
      <c r="X325" s="106">
        <v>330</v>
      </c>
      <c r="Y325" s="106">
        <v>9900</v>
      </c>
      <c r="Z325" s="106" t="s">
        <v>1460</v>
      </c>
      <c r="AA325" s="106">
        <f t="shared" si="24"/>
        <v>0</v>
      </c>
      <c r="AB325" s="106">
        <f t="shared" si="25"/>
        <v>0</v>
      </c>
      <c r="AC325" s="94"/>
      <c r="AD325" s="94"/>
      <c r="AE325" s="94"/>
      <c r="AF325" s="94"/>
      <c r="AG325" s="94"/>
      <c r="AH325" s="263"/>
    </row>
    <row r="326" spans="1:34" ht="32.25" customHeight="1">
      <c r="A326" s="260" t="s">
        <v>240</v>
      </c>
      <c r="B326" s="121">
        <v>6000029812</v>
      </c>
      <c r="C326" s="192" t="s">
        <v>3543</v>
      </c>
      <c r="D326" s="117" t="s">
        <v>3546</v>
      </c>
      <c r="E326" s="94">
        <v>30</v>
      </c>
      <c r="F326" s="74">
        <v>330</v>
      </c>
      <c r="G326" s="45">
        <f>F326*E326</f>
        <v>9900</v>
      </c>
      <c r="H326" s="119" t="s">
        <v>46</v>
      </c>
      <c r="I326" s="128" t="s">
        <v>3551</v>
      </c>
      <c r="J326" s="74">
        <f>200+130</f>
        <v>330</v>
      </c>
      <c r="K326" s="74"/>
      <c r="L326" s="156">
        <v>45423</v>
      </c>
      <c r="M326" s="90">
        <v>9900</v>
      </c>
      <c r="N326" s="90"/>
      <c r="O326" s="90"/>
      <c r="P326" s="94" t="s">
        <v>1666</v>
      </c>
      <c r="Q326" s="94"/>
      <c r="R326" s="94"/>
      <c r="S326" s="94"/>
      <c r="T326" s="90" t="s">
        <v>1666</v>
      </c>
      <c r="U326" s="90"/>
      <c r="V326" s="90"/>
      <c r="W326" s="109">
        <v>45427</v>
      </c>
      <c r="X326" s="106">
        <v>330</v>
      </c>
      <c r="Y326" s="106">
        <v>9900</v>
      </c>
      <c r="Z326" s="106" t="s">
        <v>1460</v>
      </c>
      <c r="AA326" s="106">
        <f t="shared" si="24"/>
        <v>0</v>
      </c>
      <c r="AB326" s="106">
        <f t="shared" si="25"/>
        <v>0</v>
      </c>
      <c r="AC326" s="94"/>
      <c r="AD326" s="94"/>
      <c r="AE326" s="94"/>
      <c r="AF326" s="94"/>
      <c r="AG326" s="94"/>
      <c r="AH326" s="263"/>
    </row>
    <row r="327" spans="1:34" ht="32.25" customHeight="1">
      <c r="A327" s="260" t="s">
        <v>240</v>
      </c>
      <c r="B327" s="121">
        <v>6000029814</v>
      </c>
      <c r="C327" s="192" t="s">
        <v>3543</v>
      </c>
      <c r="D327" s="117" t="s">
        <v>3547</v>
      </c>
      <c r="E327" s="94">
        <v>30</v>
      </c>
      <c r="F327" s="74">
        <v>90</v>
      </c>
      <c r="G327" s="45">
        <f t="shared" ref="G327:G373" si="28">F327*E327</f>
        <v>2700</v>
      </c>
      <c r="H327" s="119" t="s">
        <v>46</v>
      </c>
      <c r="I327" s="128">
        <v>45422</v>
      </c>
      <c r="J327" s="74">
        <v>90</v>
      </c>
      <c r="K327" s="74"/>
      <c r="L327" s="156">
        <v>45422</v>
      </c>
      <c r="M327" s="90">
        <v>2700</v>
      </c>
      <c r="N327" s="90"/>
      <c r="O327" s="90"/>
      <c r="P327" s="94" t="s">
        <v>1666</v>
      </c>
      <c r="Q327" s="94"/>
      <c r="R327" s="94"/>
      <c r="S327" s="94"/>
      <c r="T327" s="90" t="s">
        <v>1666</v>
      </c>
      <c r="U327" s="90"/>
      <c r="V327" s="90"/>
      <c r="W327" s="109">
        <v>45429</v>
      </c>
      <c r="X327" s="106">
        <v>90</v>
      </c>
      <c r="Y327" s="106">
        <v>2700</v>
      </c>
      <c r="Z327" s="106" t="s">
        <v>1460</v>
      </c>
      <c r="AA327" s="106">
        <f t="shared" si="24"/>
        <v>0</v>
      </c>
      <c r="AB327" s="106">
        <f t="shared" si="25"/>
        <v>0</v>
      </c>
      <c r="AC327" s="94"/>
      <c r="AD327" s="94"/>
      <c r="AE327" s="94"/>
      <c r="AF327" s="94"/>
      <c r="AG327" s="94"/>
      <c r="AH327" s="263"/>
    </row>
    <row r="328" spans="1:34" ht="32.25" customHeight="1">
      <c r="A328" s="45" t="s">
        <v>254</v>
      </c>
      <c r="B328" s="121">
        <v>6000030177</v>
      </c>
      <c r="C328" s="2" t="s">
        <v>830</v>
      </c>
      <c r="D328" s="117" t="s">
        <v>3554</v>
      </c>
      <c r="E328" s="94">
        <v>30</v>
      </c>
      <c r="F328" s="74">
        <v>370</v>
      </c>
      <c r="G328" s="45">
        <f t="shared" si="28"/>
        <v>11100</v>
      </c>
      <c r="H328" s="119" t="s">
        <v>46</v>
      </c>
      <c r="I328" s="128" t="s">
        <v>3558</v>
      </c>
      <c r="J328" s="74">
        <f>200+170</f>
        <v>370</v>
      </c>
      <c r="K328" s="74"/>
      <c r="L328" s="156">
        <v>45426</v>
      </c>
      <c r="M328" s="90">
        <v>11100</v>
      </c>
      <c r="N328" s="90"/>
      <c r="O328" s="90"/>
      <c r="P328" s="94" t="s">
        <v>1666</v>
      </c>
      <c r="Q328" s="94"/>
      <c r="R328" s="94"/>
      <c r="S328" s="94"/>
      <c r="T328" s="90" t="s">
        <v>1666</v>
      </c>
      <c r="U328" s="90"/>
      <c r="V328" s="90"/>
      <c r="W328" s="109">
        <v>45430</v>
      </c>
      <c r="X328" s="106">
        <v>370</v>
      </c>
      <c r="Y328" s="106">
        <v>11100</v>
      </c>
      <c r="Z328" s="106" t="s">
        <v>1460</v>
      </c>
      <c r="AA328" s="106">
        <f t="shared" si="24"/>
        <v>0</v>
      </c>
      <c r="AB328" s="106">
        <f t="shared" si="25"/>
        <v>0</v>
      </c>
      <c r="AC328" s="94"/>
      <c r="AD328" s="94"/>
      <c r="AE328" s="94"/>
      <c r="AF328" s="94"/>
      <c r="AG328" s="94"/>
      <c r="AH328" s="263"/>
    </row>
    <row r="329" spans="1:34" ht="32.25" customHeight="1">
      <c r="A329" s="45" t="s">
        <v>254</v>
      </c>
      <c r="B329" s="121">
        <v>6000030177</v>
      </c>
      <c r="C329" s="2" t="s">
        <v>830</v>
      </c>
      <c r="D329" s="117" t="s">
        <v>3555</v>
      </c>
      <c r="E329" s="94">
        <v>30</v>
      </c>
      <c r="F329" s="74">
        <v>160</v>
      </c>
      <c r="G329" s="45">
        <f t="shared" si="28"/>
        <v>4800</v>
      </c>
      <c r="H329" s="119" t="s">
        <v>46</v>
      </c>
      <c r="I329" s="128">
        <v>45426</v>
      </c>
      <c r="J329" s="74">
        <v>160</v>
      </c>
      <c r="K329" s="74"/>
      <c r="L329" s="156">
        <v>45429</v>
      </c>
      <c r="M329" s="90">
        <v>4800</v>
      </c>
      <c r="N329" s="90"/>
      <c r="O329" s="90"/>
      <c r="P329" s="94" t="s">
        <v>1666</v>
      </c>
      <c r="Q329" s="94"/>
      <c r="R329" s="94"/>
      <c r="S329" s="94"/>
      <c r="T329" s="90" t="s">
        <v>1666</v>
      </c>
      <c r="U329" s="90"/>
      <c r="V329" s="90"/>
      <c r="W329" s="109">
        <v>45430</v>
      </c>
      <c r="X329" s="106">
        <v>160</v>
      </c>
      <c r="Y329" s="106">
        <v>4800</v>
      </c>
      <c r="Z329" s="106" t="s">
        <v>1460</v>
      </c>
      <c r="AA329" s="106">
        <f t="shared" si="24"/>
        <v>0</v>
      </c>
      <c r="AB329" s="106">
        <f t="shared" si="25"/>
        <v>0</v>
      </c>
      <c r="AC329" s="94"/>
      <c r="AD329" s="94"/>
      <c r="AE329" s="94"/>
      <c r="AF329" s="94"/>
      <c r="AG329" s="94"/>
      <c r="AH329" s="263"/>
    </row>
    <row r="330" spans="1:34" ht="32.25" customHeight="1">
      <c r="A330" s="45" t="s">
        <v>254</v>
      </c>
      <c r="B330" s="121">
        <v>6000030173</v>
      </c>
      <c r="C330" s="2" t="s">
        <v>830</v>
      </c>
      <c r="D330" s="117" t="s">
        <v>3561</v>
      </c>
      <c r="E330" s="94">
        <v>30</v>
      </c>
      <c r="F330" s="74">
        <v>360</v>
      </c>
      <c r="G330" s="45">
        <f t="shared" si="28"/>
        <v>10800</v>
      </c>
      <c r="H330" s="119" t="s">
        <v>46</v>
      </c>
      <c r="I330" s="128" t="s">
        <v>3619</v>
      </c>
      <c r="J330" s="158">
        <f>330+30</f>
        <v>360</v>
      </c>
      <c r="K330" s="74"/>
      <c r="L330" s="156">
        <v>45426</v>
      </c>
      <c r="M330" s="90">
        <v>10800</v>
      </c>
      <c r="N330" s="90"/>
      <c r="O330" s="90"/>
      <c r="P330" s="94" t="s">
        <v>1666</v>
      </c>
      <c r="Q330" s="94"/>
      <c r="R330" s="94"/>
      <c r="S330" s="94"/>
      <c r="T330" s="90" t="s">
        <v>1666</v>
      </c>
      <c r="U330" s="90"/>
      <c r="V330" s="90"/>
      <c r="W330" s="109" t="s">
        <v>3620</v>
      </c>
      <c r="X330" s="106">
        <f>330+30</f>
        <v>360</v>
      </c>
      <c r="Y330" s="106">
        <f>9900+900</f>
        <v>10800</v>
      </c>
      <c r="Z330" s="106" t="s">
        <v>2818</v>
      </c>
      <c r="AA330" s="106">
        <f t="shared" si="24"/>
        <v>0</v>
      </c>
      <c r="AB330" s="106">
        <f t="shared" si="25"/>
        <v>0</v>
      </c>
      <c r="AC330" s="94"/>
      <c r="AD330" s="94"/>
      <c r="AE330" s="94"/>
      <c r="AF330" s="94"/>
      <c r="AG330" s="94"/>
      <c r="AH330" s="263"/>
    </row>
    <row r="331" spans="1:34" ht="32.25" customHeight="1">
      <c r="A331" s="45" t="s">
        <v>254</v>
      </c>
      <c r="B331" s="121">
        <v>6000030175</v>
      </c>
      <c r="C331" s="2" t="s">
        <v>830</v>
      </c>
      <c r="D331" s="366" t="s">
        <v>3556</v>
      </c>
      <c r="E331" s="94">
        <v>30</v>
      </c>
      <c r="F331" s="74">
        <v>350</v>
      </c>
      <c r="G331" s="45">
        <f>F331*E331</f>
        <v>10500</v>
      </c>
      <c r="H331" s="119" t="s">
        <v>46</v>
      </c>
      <c r="I331" s="128">
        <v>45423</v>
      </c>
      <c r="J331" s="158">
        <v>350</v>
      </c>
      <c r="K331" s="74"/>
      <c r="L331" s="156">
        <v>45429</v>
      </c>
      <c r="M331" s="90">
        <v>10500</v>
      </c>
      <c r="N331" s="90"/>
      <c r="O331" s="90"/>
      <c r="P331" s="94" t="s">
        <v>1666</v>
      </c>
      <c r="Q331" s="94"/>
      <c r="R331" s="94"/>
      <c r="S331" s="94"/>
      <c r="T331" s="90" t="s">
        <v>1666</v>
      </c>
      <c r="U331" s="90"/>
      <c r="V331" s="90"/>
      <c r="W331" s="109">
        <v>45434</v>
      </c>
      <c r="X331" s="106">
        <v>350</v>
      </c>
      <c r="Y331" s="106">
        <v>10500</v>
      </c>
      <c r="Z331" s="106" t="s">
        <v>1460</v>
      </c>
      <c r="AA331" s="106">
        <f t="shared" si="24"/>
        <v>0</v>
      </c>
      <c r="AB331" s="106">
        <f t="shared" si="25"/>
        <v>0</v>
      </c>
      <c r="AC331" s="94"/>
      <c r="AD331" s="94"/>
      <c r="AE331" s="94"/>
      <c r="AF331" s="94"/>
      <c r="AG331" s="94"/>
      <c r="AH331" s="263"/>
    </row>
    <row r="332" spans="1:34" ht="32.25" customHeight="1">
      <c r="A332" s="45" t="s">
        <v>254</v>
      </c>
      <c r="B332" s="121">
        <v>6000030175</v>
      </c>
      <c r="C332" s="2" t="s">
        <v>830</v>
      </c>
      <c r="D332" s="117" t="s">
        <v>3557</v>
      </c>
      <c r="E332" s="94">
        <v>30</v>
      </c>
      <c r="F332" s="74">
        <v>160</v>
      </c>
      <c r="G332" s="45">
        <f t="shared" si="28"/>
        <v>4800</v>
      </c>
      <c r="H332" s="119" t="s">
        <v>46</v>
      </c>
      <c r="I332" s="128">
        <v>45429</v>
      </c>
      <c r="J332" s="158">
        <v>160</v>
      </c>
      <c r="K332" s="74"/>
      <c r="L332" s="156">
        <v>45429</v>
      </c>
      <c r="M332" s="90">
        <v>4800</v>
      </c>
      <c r="N332" s="90"/>
      <c r="O332" s="90"/>
      <c r="P332" s="94" t="s">
        <v>1666</v>
      </c>
      <c r="Q332" s="94"/>
      <c r="R332" s="94"/>
      <c r="S332" s="94"/>
      <c r="T332" s="90" t="s">
        <v>1666</v>
      </c>
      <c r="U332" s="90"/>
      <c r="V332" s="90"/>
      <c r="W332" s="109">
        <v>45434</v>
      </c>
      <c r="X332" s="106">
        <v>160</v>
      </c>
      <c r="Y332" s="106">
        <v>4800</v>
      </c>
      <c r="Z332" s="106" t="s">
        <v>1460</v>
      </c>
      <c r="AA332" s="106">
        <f t="shared" si="24"/>
        <v>0</v>
      </c>
      <c r="AB332" s="106">
        <f t="shared" si="25"/>
        <v>0</v>
      </c>
      <c r="AC332" s="94"/>
      <c r="AD332" s="94"/>
      <c r="AE332" s="94"/>
      <c r="AF332" s="94"/>
      <c r="AG332" s="94"/>
      <c r="AH332" s="263"/>
    </row>
    <row r="333" spans="1:34" ht="32.25" customHeight="1">
      <c r="A333" s="260" t="s">
        <v>240</v>
      </c>
      <c r="B333" s="121">
        <v>6000029817</v>
      </c>
      <c r="C333" s="192" t="s">
        <v>3543</v>
      </c>
      <c r="D333" s="192"/>
      <c r="E333" s="94">
        <v>30</v>
      </c>
      <c r="F333" s="74">
        <v>80</v>
      </c>
      <c r="G333" s="45">
        <f t="shared" si="28"/>
        <v>2400</v>
      </c>
      <c r="H333" s="119" t="s">
        <v>46</v>
      </c>
      <c r="I333" s="128">
        <v>45433</v>
      </c>
      <c r="J333" s="74">
        <v>80</v>
      </c>
      <c r="K333" s="74"/>
      <c r="L333" s="156">
        <v>45433</v>
      </c>
      <c r="M333" s="90">
        <v>2400</v>
      </c>
      <c r="N333" s="90"/>
      <c r="O333" s="90"/>
      <c r="P333" s="94" t="s">
        <v>1666</v>
      </c>
      <c r="Q333" s="94"/>
      <c r="R333" s="94"/>
      <c r="S333" s="94"/>
      <c r="T333" s="90" t="s">
        <v>1666</v>
      </c>
      <c r="U333" s="90"/>
      <c r="V333" s="90"/>
      <c r="W333" s="109">
        <v>45435</v>
      </c>
      <c r="X333" s="106">
        <v>80</v>
      </c>
      <c r="Y333" s="106">
        <v>2400</v>
      </c>
      <c r="Z333" s="106" t="s">
        <v>1460</v>
      </c>
      <c r="AA333" s="106">
        <f t="shared" si="24"/>
        <v>0</v>
      </c>
      <c r="AB333" s="106">
        <f t="shared" si="25"/>
        <v>0</v>
      </c>
      <c r="AC333" s="94"/>
      <c r="AD333" s="94"/>
      <c r="AE333" s="94"/>
      <c r="AF333" s="94"/>
      <c r="AG333" s="94"/>
      <c r="AH333" s="263"/>
    </row>
    <row r="334" spans="1:34" ht="32.25" customHeight="1">
      <c r="A334" s="45" t="s">
        <v>254</v>
      </c>
      <c r="B334" s="121">
        <v>6000030174</v>
      </c>
      <c r="C334" s="2" t="s">
        <v>830</v>
      </c>
      <c r="D334" s="373" t="s">
        <v>3602</v>
      </c>
      <c r="E334" s="94">
        <v>30</v>
      </c>
      <c r="F334" s="74">
        <v>50</v>
      </c>
      <c r="G334" s="45">
        <f t="shared" si="28"/>
        <v>1500</v>
      </c>
      <c r="H334" s="119" t="s">
        <v>46</v>
      </c>
      <c r="I334" s="128">
        <v>45433</v>
      </c>
      <c r="J334" s="74">
        <v>50</v>
      </c>
      <c r="K334" s="74"/>
      <c r="L334" s="156">
        <v>45433</v>
      </c>
      <c r="M334" s="90">
        <v>1500</v>
      </c>
      <c r="N334" s="90"/>
      <c r="O334" s="90"/>
      <c r="P334" s="94" t="s">
        <v>1666</v>
      </c>
      <c r="Q334" s="94"/>
      <c r="R334" s="94"/>
      <c r="S334" s="94"/>
      <c r="T334" s="90" t="s">
        <v>1666</v>
      </c>
      <c r="U334" s="90"/>
      <c r="V334" s="90"/>
      <c r="W334" s="109">
        <v>45436</v>
      </c>
      <c r="X334" s="106">
        <v>50</v>
      </c>
      <c r="Y334" s="106">
        <v>1500</v>
      </c>
      <c r="Z334" s="106" t="s">
        <v>1460</v>
      </c>
      <c r="AA334" s="106">
        <f t="shared" si="24"/>
        <v>0</v>
      </c>
      <c r="AB334" s="106">
        <f t="shared" si="25"/>
        <v>0</v>
      </c>
      <c r="AC334" s="94"/>
      <c r="AD334" s="94"/>
      <c r="AE334" s="94"/>
      <c r="AF334" s="94"/>
      <c r="AG334" s="94"/>
      <c r="AH334" s="263"/>
    </row>
    <row r="335" spans="1:34" ht="32.25" customHeight="1">
      <c r="A335" s="45" t="s">
        <v>254</v>
      </c>
      <c r="B335" s="121">
        <v>6000030176</v>
      </c>
      <c r="C335" s="2" t="s">
        <v>830</v>
      </c>
      <c r="D335" s="373" t="s">
        <v>3601</v>
      </c>
      <c r="E335" s="94">
        <v>30</v>
      </c>
      <c r="F335" s="74">
        <v>380</v>
      </c>
      <c r="G335" s="45">
        <f t="shared" si="28"/>
        <v>11400</v>
      </c>
      <c r="H335" s="119" t="s">
        <v>46</v>
      </c>
      <c r="I335" s="128">
        <v>45433</v>
      </c>
      <c r="J335" s="74">
        <v>380</v>
      </c>
      <c r="K335" s="74"/>
      <c r="L335" s="156">
        <v>45433</v>
      </c>
      <c r="M335" s="90">
        <v>11400</v>
      </c>
      <c r="N335" s="90"/>
      <c r="O335" s="90"/>
      <c r="P335" s="94" t="s">
        <v>1666</v>
      </c>
      <c r="Q335" s="94"/>
      <c r="R335" s="94"/>
      <c r="S335" s="94"/>
      <c r="T335" s="90" t="s">
        <v>1666</v>
      </c>
      <c r="U335" s="90"/>
      <c r="V335" s="90"/>
      <c r="W335" s="109">
        <v>45443</v>
      </c>
      <c r="X335" s="106">
        <v>380</v>
      </c>
      <c r="Y335" s="106">
        <v>11400</v>
      </c>
      <c r="Z335" s="106" t="s">
        <v>1460</v>
      </c>
      <c r="AA335" s="106">
        <f t="shared" si="24"/>
        <v>0</v>
      </c>
      <c r="AB335" s="106">
        <f t="shared" si="25"/>
        <v>0</v>
      </c>
      <c r="AC335" s="94"/>
      <c r="AD335" s="94"/>
      <c r="AE335" s="94"/>
      <c r="AF335" s="94"/>
      <c r="AG335" s="94"/>
      <c r="AH335" s="263"/>
    </row>
    <row r="336" spans="1:34" ht="32.25" customHeight="1">
      <c r="A336" s="45" t="s">
        <v>254</v>
      </c>
      <c r="B336" s="121">
        <v>6000030178</v>
      </c>
      <c r="C336" s="2" t="s">
        <v>830</v>
      </c>
      <c r="D336" s="373" t="s">
        <v>3603</v>
      </c>
      <c r="E336" s="94">
        <v>30</v>
      </c>
      <c r="F336" s="74">
        <v>240</v>
      </c>
      <c r="G336" s="45">
        <f t="shared" si="28"/>
        <v>7200</v>
      </c>
      <c r="H336" s="119" t="s">
        <v>46</v>
      </c>
      <c r="I336" s="128">
        <v>45433</v>
      </c>
      <c r="J336" s="74">
        <v>240</v>
      </c>
      <c r="K336" s="74"/>
      <c r="L336" s="156">
        <v>45433</v>
      </c>
      <c r="M336" s="90">
        <v>7200</v>
      </c>
      <c r="N336" s="90"/>
      <c r="O336" s="90"/>
      <c r="P336" s="94" t="s">
        <v>1666</v>
      </c>
      <c r="Q336" s="94"/>
      <c r="R336" s="94"/>
      <c r="S336" s="94"/>
      <c r="T336" s="90" t="s">
        <v>1666</v>
      </c>
      <c r="U336" s="90"/>
      <c r="V336" s="90"/>
      <c r="W336" s="109">
        <v>45437</v>
      </c>
      <c r="X336" s="106">
        <v>240</v>
      </c>
      <c r="Y336" s="106">
        <v>7200</v>
      </c>
      <c r="Z336" s="106" t="s">
        <v>1460</v>
      </c>
      <c r="AA336" s="106">
        <f t="shared" si="24"/>
        <v>0</v>
      </c>
      <c r="AB336" s="106">
        <f t="shared" si="25"/>
        <v>0</v>
      </c>
      <c r="AC336" s="94"/>
      <c r="AD336" s="94"/>
      <c r="AE336" s="94"/>
      <c r="AF336" s="94"/>
      <c r="AG336" s="94"/>
      <c r="AH336" s="263"/>
    </row>
    <row r="337" spans="1:34" ht="32.25" customHeight="1">
      <c r="A337" s="260" t="s">
        <v>240</v>
      </c>
      <c r="B337" s="121">
        <v>6000030386</v>
      </c>
      <c r="C337" s="192" t="s">
        <v>3579</v>
      </c>
      <c r="D337" s="116" t="s">
        <v>3604</v>
      </c>
      <c r="E337" s="94">
        <v>30</v>
      </c>
      <c r="F337" s="74">
        <v>288</v>
      </c>
      <c r="G337" s="45">
        <f t="shared" si="28"/>
        <v>8640</v>
      </c>
      <c r="H337" s="119" t="s">
        <v>46</v>
      </c>
      <c r="I337" s="128">
        <v>45433</v>
      </c>
      <c r="J337" s="158">
        <v>288</v>
      </c>
      <c r="K337" s="74"/>
      <c r="L337" s="156">
        <v>45433</v>
      </c>
      <c r="M337" s="90">
        <v>8640</v>
      </c>
      <c r="N337" s="90"/>
      <c r="O337" s="90"/>
      <c r="P337" s="94" t="s">
        <v>1666</v>
      </c>
      <c r="Q337" s="94"/>
      <c r="R337" s="94"/>
      <c r="S337" s="94"/>
      <c r="T337" s="90" t="s">
        <v>1666</v>
      </c>
      <c r="U337" s="90"/>
      <c r="V337" s="90"/>
      <c r="W337" s="109">
        <v>45436</v>
      </c>
      <c r="X337" s="106">
        <v>288</v>
      </c>
      <c r="Y337" s="106">
        <v>8640</v>
      </c>
      <c r="Z337" s="106" t="s">
        <v>1460</v>
      </c>
      <c r="AA337" s="106">
        <f t="shared" si="24"/>
        <v>0</v>
      </c>
      <c r="AB337" s="106">
        <f t="shared" si="25"/>
        <v>0</v>
      </c>
      <c r="AC337" s="94"/>
      <c r="AD337" s="94"/>
      <c r="AE337" s="94"/>
      <c r="AF337" s="94"/>
      <c r="AG337" s="94"/>
      <c r="AH337" s="263"/>
    </row>
    <row r="338" spans="1:34" ht="32.25" customHeight="1">
      <c r="A338" s="260" t="s">
        <v>240</v>
      </c>
      <c r="B338" s="121">
        <v>6000029818</v>
      </c>
      <c r="C338" s="192" t="s">
        <v>3543</v>
      </c>
      <c r="D338" s="192"/>
      <c r="E338" s="94">
        <v>30</v>
      </c>
      <c r="F338" s="74">
        <v>340</v>
      </c>
      <c r="G338" s="45">
        <f t="shared" si="28"/>
        <v>10200</v>
      </c>
      <c r="H338" s="119" t="s">
        <v>46</v>
      </c>
      <c r="I338" s="128">
        <v>45435</v>
      </c>
      <c r="J338" s="158">
        <v>340</v>
      </c>
      <c r="K338" s="74"/>
      <c r="L338" s="156">
        <v>45435</v>
      </c>
      <c r="M338" s="90">
        <v>10200</v>
      </c>
      <c r="N338" s="90"/>
      <c r="O338" s="259" t="s">
        <v>3611</v>
      </c>
      <c r="P338" s="94" t="s">
        <v>1666</v>
      </c>
      <c r="Q338" s="94"/>
      <c r="R338" s="94"/>
      <c r="S338" s="94"/>
      <c r="T338" s="90" t="s">
        <v>1666</v>
      </c>
      <c r="U338" s="90"/>
      <c r="V338" s="90"/>
      <c r="W338" s="109">
        <v>45444</v>
      </c>
      <c r="X338" s="106">
        <v>340</v>
      </c>
      <c r="Y338" s="106">
        <v>10200</v>
      </c>
      <c r="Z338" s="106" t="s">
        <v>1460</v>
      </c>
      <c r="AA338" s="106">
        <f t="shared" si="24"/>
        <v>0</v>
      </c>
      <c r="AB338" s="106">
        <f t="shared" si="25"/>
        <v>0</v>
      </c>
      <c r="AC338" s="94"/>
      <c r="AD338" s="94"/>
      <c r="AE338" s="94"/>
      <c r="AF338" s="94"/>
      <c r="AG338" s="94"/>
      <c r="AH338" s="263"/>
    </row>
    <row r="339" spans="1:34" ht="32.25" customHeight="1">
      <c r="A339" s="45" t="s">
        <v>1421</v>
      </c>
      <c r="B339" s="121">
        <v>6000030151</v>
      </c>
      <c r="C339" s="192" t="s">
        <v>1422</v>
      </c>
      <c r="D339" s="192"/>
      <c r="E339" s="94">
        <v>20</v>
      </c>
      <c r="F339" s="74">
        <v>400</v>
      </c>
      <c r="G339" s="45">
        <f t="shared" si="28"/>
        <v>8000</v>
      </c>
      <c r="H339" s="119" t="s">
        <v>46</v>
      </c>
      <c r="I339" s="128">
        <v>45435</v>
      </c>
      <c r="J339" s="158">
        <v>400</v>
      </c>
      <c r="K339" s="74"/>
      <c r="L339" s="156">
        <v>45435</v>
      </c>
      <c r="M339" s="90">
        <v>8000</v>
      </c>
      <c r="N339" s="90"/>
      <c r="O339" s="90"/>
      <c r="P339" s="94" t="s">
        <v>1666</v>
      </c>
      <c r="Q339" s="94"/>
      <c r="R339" s="94"/>
      <c r="S339" s="94"/>
      <c r="T339" s="90" t="s">
        <v>1666</v>
      </c>
      <c r="U339" s="90"/>
      <c r="V339" s="90"/>
      <c r="W339" s="109">
        <v>45351</v>
      </c>
      <c r="X339" s="106">
        <v>400</v>
      </c>
      <c r="Y339" s="106">
        <v>8000</v>
      </c>
      <c r="Z339" s="106" t="s">
        <v>267</v>
      </c>
      <c r="AA339" s="106">
        <f t="shared" si="24"/>
        <v>0</v>
      </c>
      <c r="AB339" s="106">
        <f t="shared" si="25"/>
        <v>0</v>
      </c>
      <c r="AC339" s="94"/>
      <c r="AD339" s="94"/>
      <c r="AE339" s="94"/>
      <c r="AF339" s="94"/>
      <c r="AG339" s="94"/>
      <c r="AH339" s="263"/>
    </row>
    <row r="340" spans="1:34" ht="32.25" customHeight="1">
      <c r="A340" s="45" t="s">
        <v>1421</v>
      </c>
      <c r="B340" s="121">
        <v>6000030152</v>
      </c>
      <c r="C340" s="192" t="s">
        <v>1422</v>
      </c>
      <c r="D340" s="192"/>
      <c r="E340" s="94">
        <v>20</v>
      </c>
      <c r="F340" s="74">
        <v>500</v>
      </c>
      <c r="G340" s="45">
        <f t="shared" si="28"/>
        <v>10000</v>
      </c>
      <c r="H340" s="119" t="s">
        <v>46</v>
      </c>
      <c r="I340" s="128">
        <v>45439</v>
      </c>
      <c r="J340" s="158">
        <v>500</v>
      </c>
      <c r="K340" s="74"/>
      <c r="L340" s="156">
        <v>45437</v>
      </c>
      <c r="M340" s="90">
        <v>10000</v>
      </c>
      <c r="N340" s="90"/>
      <c r="O340" s="90"/>
      <c r="P340" s="94"/>
      <c r="Q340" s="94"/>
      <c r="R340" s="94"/>
      <c r="S340" s="94"/>
      <c r="T340" s="90" t="s">
        <v>1666</v>
      </c>
      <c r="U340" s="90"/>
      <c r="V340" s="90"/>
      <c r="W340" s="109">
        <v>45443</v>
      </c>
      <c r="X340" s="106">
        <v>500</v>
      </c>
      <c r="Y340" s="106">
        <v>10000</v>
      </c>
      <c r="Z340" s="106" t="s">
        <v>267</v>
      </c>
      <c r="AA340" s="106">
        <f t="shared" si="24"/>
        <v>0</v>
      </c>
      <c r="AB340" s="106">
        <f t="shared" si="25"/>
        <v>0</v>
      </c>
      <c r="AC340" s="94"/>
      <c r="AD340" s="94"/>
      <c r="AE340" s="94"/>
      <c r="AF340" s="94"/>
      <c r="AG340" s="94"/>
      <c r="AH340" s="263"/>
    </row>
    <row r="341" spans="1:34" ht="32.25" customHeight="1">
      <c r="A341" s="45" t="s">
        <v>1421</v>
      </c>
      <c r="B341" s="121">
        <v>6000030153</v>
      </c>
      <c r="C341" s="192" t="s">
        <v>1422</v>
      </c>
      <c r="D341" s="192"/>
      <c r="E341" s="94">
        <v>20</v>
      </c>
      <c r="F341" s="74">
        <v>550</v>
      </c>
      <c r="G341" s="45">
        <f t="shared" si="28"/>
        <v>11000</v>
      </c>
      <c r="H341" s="119" t="s">
        <v>46</v>
      </c>
      <c r="I341" s="128">
        <v>45439</v>
      </c>
      <c r="J341" s="158">
        <v>550</v>
      </c>
      <c r="K341" s="74"/>
      <c r="L341" s="156">
        <v>45439</v>
      </c>
      <c r="M341" s="90">
        <v>11000</v>
      </c>
      <c r="N341" s="90"/>
      <c r="O341" s="90"/>
      <c r="P341" s="94" t="s">
        <v>1666</v>
      </c>
      <c r="Q341" s="94"/>
      <c r="R341" s="94"/>
      <c r="S341" s="94"/>
      <c r="T341" s="90" t="s">
        <v>1666</v>
      </c>
      <c r="U341" s="90"/>
      <c r="V341" s="90"/>
      <c r="W341" s="109">
        <v>45444</v>
      </c>
      <c r="X341" s="106">
        <v>550</v>
      </c>
      <c r="Y341" s="106">
        <v>11000</v>
      </c>
      <c r="Z341" s="106" t="s">
        <v>267</v>
      </c>
      <c r="AA341" s="106">
        <f t="shared" si="24"/>
        <v>0</v>
      </c>
      <c r="AB341" s="106">
        <f t="shared" si="25"/>
        <v>0</v>
      </c>
      <c r="AC341" s="94"/>
      <c r="AD341" s="94"/>
      <c r="AE341" s="94"/>
      <c r="AF341" s="94"/>
      <c r="AG341" s="94"/>
      <c r="AH341" s="263"/>
    </row>
    <row r="342" spans="1:34" ht="32.25" customHeight="1">
      <c r="A342" s="45" t="s">
        <v>1421</v>
      </c>
      <c r="B342" s="121">
        <v>6000030154</v>
      </c>
      <c r="C342" s="192" t="s">
        <v>1422</v>
      </c>
      <c r="D342" s="192"/>
      <c r="E342" s="94">
        <v>20</v>
      </c>
      <c r="F342" s="74">
        <v>500</v>
      </c>
      <c r="G342" s="45">
        <f t="shared" si="28"/>
        <v>10000</v>
      </c>
      <c r="H342" s="119" t="s">
        <v>46</v>
      </c>
      <c r="I342" s="128">
        <v>45439</v>
      </c>
      <c r="J342" s="158">
        <v>500</v>
      </c>
      <c r="K342" s="74"/>
      <c r="L342" s="156">
        <v>45439</v>
      </c>
      <c r="M342" s="90">
        <v>10000</v>
      </c>
      <c r="N342" s="90"/>
      <c r="O342" s="90"/>
      <c r="P342" s="94" t="s">
        <v>1666</v>
      </c>
      <c r="Q342" s="94"/>
      <c r="R342" s="94"/>
      <c r="S342" s="94"/>
      <c r="T342" s="90" t="s">
        <v>1666</v>
      </c>
      <c r="U342" s="90"/>
      <c r="V342" s="90"/>
      <c r="W342" s="109">
        <v>45444</v>
      </c>
      <c r="X342" s="106">
        <v>500</v>
      </c>
      <c r="Y342" s="106">
        <v>10000</v>
      </c>
      <c r="Z342" s="106" t="s">
        <v>267</v>
      </c>
      <c r="AA342" s="106">
        <f t="shared" si="24"/>
        <v>0</v>
      </c>
      <c r="AB342" s="106">
        <f t="shared" si="25"/>
        <v>0</v>
      </c>
      <c r="AC342" s="94"/>
      <c r="AD342" s="94"/>
      <c r="AE342" s="94"/>
      <c r="AF342" s="94"/>
      <c r="AG342" s="94"/>
      <c r="AH342" s="263"/>
    </row>
    <row r="343" spans="1:34" ht="32.25" customHeight="1">
      <c r="A343" s="45" t="s">
        <v>3115</v>
      </c>
      <c r="B343" s="121">
        <v>6000030397</v>
      </c>
      <c r="C343" s="192" t="s">
        <v>661</v>
      </c>
      <c r="D343" s="349" t="s">
        <v>3605</v>
      </c>
      <c r="E343" s="94">
        <v>40</v>
      </c>
      <c r="F343" s="74">
        <v>365</v>
      </c>
      <c r="G343" s="45">
        <f t="shared" si="28"/>
        <v>14600</v>
      </c>
      <c r="H343" s="119" t="s">
        <v>46</v>
      </c>
      <c r="I343" s="128">
        <v>45435</v>
      </c>
      <c r="J343" s="158">
        <v>365</v>
      </c>
      <c r="K343" s="74"/>
      <c r="L343" s="156">
        <v>45435</v>
      </c>
      <c r="M343" s="90">
        <v>14600</v>
      </c>
      <c r="N343" s="90"/>
      <c r="O343" s="90"/>
      <c r="P343" s="94" t="s">
        <v>1666</v>
      </c>
      <c r="Q343" s="94"/>
      <c r="R343" s="94"/>
      <c r="S343" s="94"/>
      <c r="T343" s="90" t="s">
        <v>1666</v>
      </c>
      <c r="U343" s="90"/>
      <c r="V343" s="90"/>
      <c r="W343" s="109">
        <v>45444</v>
      </c>
      <c r="X343" s="106">
        <v>365</v>
      </c>
      <c r="Y343" s="106">
        <v>14600</v>
      </c>
      <c r="Z343" s="106" t="s">
        <v>1460</v>
      </c>
      <c r="AA343" s="106">
        <f t="shared" si="24"/>
        <v>0</v>
      </c>
      <c r="AB343" s="106">
        <f t="shared" si="25"/>
        <v>0</v>
      </c>
      <c r="AC343" s="94" t="s">
        <v>3666</v>
      </c>
      <c r="AD343" s="94"/>
      <c r="AE343" s="94"/>
      <c r="AF343" s="94"/>
      <c r="AG343" s="94"/>
      <c r="AH343" s="263"/>
    </row>
    <row r="344" spans="1:34" ht="32.25" customHeight="1">
      <c r="A344" s="45"/>
      <c r="B344" s="121"/>
      <c r="C344" s="192"/>
      <c r="D344" s="349"/>
      <c r="E344" s="94" t="s">
        <v>3148</v>
      </c>
      <c r="F344" s="74">
        <v>1460</v>
      </c>
      <c r="G344" s="45"/>
      <c r="H344" s="119" t="s">
        <v>46</v>
      </c>
      <c r="I344" s="128" t="s">
        <v>3610</v>
      </c>
      <c r="J344" s="158">
        <f>160+1300</f>
        <v>1460</v>
      </c>
      <c r="K344" s="74"/>
      <c r="L344" s="162"/>
      <c r="M344" s="90"/>
      <c r="N344" s="90"/>
      <c r="O344" s="90"/>
      <c r="P344" s="94" t="s">
        <v>1666</v>
      </c>
      <c r="Q344" s="94"/>
      <c r="R344" s="94"/>
      <c r="S344" s="94"/>
      <c r="T344" s="90"/>
      <c r="U344" s="90"/>
      <c r="V344" s="90"/>
      <c r="W344" s="105"/>
      <c r="X344" s="106">
        <v>1460</v>
      </c>
      <c r="Y344" s="106"/>
      <c r="Z344" s="106"/>
      <c r="AA344" s="106">
        <f>J344-X344</f>
        <v>0</v>
      </c>
      <c r="AB344" s="106">
        <f>M344-Y344</f>
        <v>0</v>
      </c>
      <c r="AC344" s="94"/>
      <c r="AD344" s="94"/>
      <c r="AE344" s="94"/>
      <c r="AF344" s="94"/>
      <c r="AG344" s="94"/>
      <c r="AH344" s="263"/>
    </row>
    <row r="345" spans="1:34" ht="32.25" customHeight="1">
      <c r="A345" s="45" t="s">
        <v>865</v>
      </c>
      <c r="B345" s="121">
        <v>6000030440</v>
      </c>
      <c r="C345" s="192" t="s">
        <v>3581</v>
      </c>
      <c r="D345" s="121">
        <v>6000030440</v>
      </c>
      <c r="E345" s="94">
        <v>20</v>
      </c>
      <c r="F345" s="74">
        <v>270</v>
      </c>
      <c r="G345" s="45">
        <f t="shared" si="28"/>
        <v>5400</v>
      </c>
      <c r="H345" s="119" t="s">
        <v>46</v>
      </c>
      <c r="I345" s="128">
        <v>45429</v>
      </c>
      <c r="J345" s="158">
        <v>270</v>
      </c>
      <c r="K345" s="74">
        <v>2</v>
      </c>
      <c r="L345" s="156">
        <v>45433</v>
      </c>
      <c r="M345" s="90">
        <v>5400</v>
      </c>
      <c r="N345" s="90" t="s">
        <v>3597</v>
      </c>
      <c r="O345" s="90" t="s">
        <v>1959</v>
      </c>
      <c r="P345" s="94" t="s">
        <v>28</v>
      </c>
      <c r="Q345" s="94">
        <v>8500070973</v>
      </c>
      <c r="R345" s="94"/>
      <c r="S345" s="94"/>
      <c r="T345" s="90" t="s">
        <v>87</v>
      </c>
      <c r="U345" s="90">
        <v>8500070972</v>
      </c>
      <c r="V345" s="90"/>
      <c r="W345" s="109">
        <v>45449</v>
      </c>
      <c r="X345" s="106">
        <v>270</v>
      </c>
      <c r="Y345" s="106">
        <v>5400</v>
      </c>
      <c r="Z345" s="106" t="s">
        <v>1460</v>
      </c>
      <c r="AA345" s="106">
        <f t="shared" ref="AA345:AA359" si="29">J345-X345</f>
        <v>0</v>
      </c>
      <c r="AB345" s="106">
        <f t="shared" ref="AB345:AB359" si="30">M345-Y345</f>
        <v>0</v>
      </c>
      <c r="AC345" s="94"/>
      <c r="AD345" s="94"/>
      <c r="AE345" s="94"/>
      <c r="AF345" s="94"/>
      <c r="AG345" s="94"/>
      <c r="AH345" s="263"/>
    </row>
    <row r="346" spans="1:34" ht="32.25" customHeight="1">
      <c r="A346" s="45" t="s">
        <v>865</v>
      </c>
      <c r="B346" s="121">
        <v>6000030441</v>
      </c>
      <c r="C346" s="192" t="s">
        <v>3581</v>
      </c>
      <c r="D346" s="121">
        <v>6000030441</v>
      </c>
      <c r="E346" s="94">
        <v>20</v>
      </c>
      <c r="F346" s="74">
        <v>600</v>
      </c>
      <c r="G346" s="45">
        <f t="shared" si="28"/>
        <v>12000</v>
      </c>
      <c r="H346" s="119" t="s">
        <v>46</v>
      </c>
      <c r="I346" s="128" t="s">
        <v>3599</v>
      </c>
      <c r="J346" s="158">
        <f>578+22</f>
        <v>600</v>
      </c>
      <c r="K346" s="74">
        <f>6+7</f>
        <v>13</v>
      </c>
      <c r="L346" s="156" t="s">
        <v>3670</v>
      </c>
      <c r="M346" s="90">
        <v>12000</v>
      </c>
      <c r="N346" s="90" t="s">
        <v>3671</v>
      </c>
      <c r="O346" s="90" t="s">
        <v>3672</v>
      </c>
      <c r="P346" s="94" t="s">
        <v>28</v>
      </c>
      <c r="Q346" s="94">
        <v>8500070965</v>
      </c>
      <c r="R346" s="94"/>
      <c r="S346" s="94"/>
      <c r="T346" s="90" t="s">
        <v>87</v>
      </c>
      <c r="U346" s="90">
        <v>8500070968</v>
      </c>
      <c r="V346" s="90"/>
      <c r="W346" s="109">
        <v>45448</v>
      </c>
      <c r="X346" s="106">
        <v>600</v>
      </c>
      <c r="Y346" s="106">
        <v>12000</v>
      </c>
      <c r="Z346" s="106" t="s">
        <v>1460</v>
      </c>
      <c r="AA346" s="106">
        <f t="shared" si="29"/>
        <v>0</v>
      </c>
      <c r="AB346" s="106">
        <f t="shared" si="30"/>
        <v>0</v>
      </c>
      <c r="AC346" s="94"/>
      <c r="AD346" s="94"/>
      <c r="AE346" s="94"/>
      <c r="AF346" s="94"/>
      <c r="AG346" s="94"/>
      <c r="AH346" s="263"/>
    </row>
    <row r="347" spans="1:34" ht="32.25" customHeight="1">
      <c r="A347" s="45" t="s">
        <v>865</v>
      </c>
      <c r="B347" s="121">
        <v>6000030442</v>
      </c>
      <c r="C347" s="192" t="s">
        <v>3581</v>
      </c>
      <c r="D347" s="121">
        <v>6000030442</v>
      </c>
      <c r="E347" s="94">
        <v>20</v>
      </c>
      <c r="F347" s="74">
        <v>325</v>
      </c>
      <c r="G347" s="45">
        <f t="shared" si="28"/>
        <v>6500</v>
      </c>
      <c r="H347" s="119" t="s">
        <v>46</v>
      </c>
      <c r="I347" s="128" t="s">
        <v>3599</v>
      </c>
      <c r="J347" s="158">
        <f>320+5</f>
        <v>325</v>
      </c>
      <c r="K347" s="74">
        <v>1</v>
      </c>
      <c r="L347" s="156">
        <v>45433</v>
      </c>
      <c r="M347" s="90">
        <v>6500</v>
      </c>
      <c r="N347" s="90" t="s">
        <v>3598</v>
      </c>
      <c r="O347" s="90" t="s">
        <v>1663</v>
      </c>
      <c r="P347" s="94" t="s">
        <v>28</v>
      </c>
      <c r="Q347" s="94">
        <v>8500070969</v>
      </c>
      <c r="R347" s="94"/>
      <c r="S347" s="94"/>
      <c r="T347" s="90" t="s">
        <v>87</v>
      </c>
      <c r="U347" s="90">
        <v>8500070964</v>
      </c>
      <c r="V347" s="90"/>
      <c r="W347" s="109">
        <v>45449</v>
      </c>
      <c r="X347" s="106">
        <v>325</v>
      </c>
      <c r="Y347" s="106">
        <v>6500</v>
      </c>
      <c r="Z347" s="106" t="s">
        <v>1460</v>
      </c>
      <c r="AA347" s="106">
        <f t="shared" si="29"/>
        <v>0</v>
      </c>
      <c r="AB347" s="106">
        <f t="shared" si="30"/>
        <v>0</v>
      </c>
      <c r="AC347" s="94"/>
      <c r="AD347" s="94"/>
      <c r="AE347" s="94"/>
      <c r="AF347" s="94"/>
      <c r="AG347" s="94"/>
      <c r="AH347" s="263"/>
    </row>
    <row r="348" spans="1:34" ht="32.25" customHeight="1">
      <c r="A348" s="90" t="s">
        <v>240</v>
      </c>
      <c r="B348" s="121">
        <v>6000030143</v>
      </c>
      <c r="C348" s="192" t="s">
        <v>3582</v>
      </c>
      <c r="D348" s="192"/>
      <c r="E348" s="94">
        <v>30</v>
      </c>
      <c r="F348" s="74">
        <v>260</v>
      </c>
      <c r="G348" s="45">
        <f t="shared" si="28"/>
        <v>7800</v>
      </c>
      <c r="H348" s="119" t="s">
        <v>46</v>
      </c>
      <c r="I348" s="128">
        <v>45435</v>
      </c>
      <c r="J348" s="158">
        <v>260</v>
      </c>
      <c r="K348" s="74"/>
      <c r="L348" s="156">
        <v>45437</v>
      </c>
      <c r="M348" s="90">
        <v>7800</v>
      </c>
      <c r="N348" s="90"/>
      <c r="O348" s="90"/>
      <c r="P348" s="94" t="s">
        <v>1666</v>
      </c>
      <c r="Q348" s="94"/>
      <c r="R348" s="94"/>
      <c r="S348" s="94"/>
      <c r="T348" s="90" t="s">
        <v>1666</v>
      </c>
      <c r="U348" s="90"/>
      <c r="V348" s="90"/>
      <c r="W348" s="109">
        <v>45439</v>
      </c>
      <c r="X348" s="106">
        <v>260</v>
      </c>
      <c r="Y348" s="106">
        <v>7800</v>
      </c>
      <c r="Z348" s="106" t="s">
        <v>1460</v>
      </c>
      <c r="AA348" s="106">
        <f t="shared" si="29"/>
        <v>0</v>
      </c>
      <c r="AB348" s="106">
        <f t="shared" si="30"/>
        <v>0</v>
      </c>
      <c r="AC348" s="94"/>
      <c r="AD348" s="94"/>
      <c r="AE348" s="94"/>
      <c r="AF348" s="94"/>
      <c r="AG348" s="94"/>
      <c r="AH348" s="263"/>
    </row>
    <row r="349" spans="1:34" ht="32.25" customHeight="1">
      <c r="A349" s="90" t="s">
        <v>240</v>
      </c>
      <c r="B349" s="121">
        <v>6000030500</v>
      </c>
      <c r="C349" s="192" t="s">
        <v>3004</v>
      </c>
      <c r="D349" s="2" t="s">
        <v>3617</v>
      </c>
      <c r="E349" s="94">
        <v>20</v>
      </c>
      <c r="F349" s="74">
        <v>244</v>
      </c>
      <c r="G349" s="45">
        <f t="shared" si="28"/>
        <v>4880</v>
      </c>
      <c r="H349" s="119" t="s">
        <v>46</v>
      </c>
      <c r="I349" s="128" t="s">
        <v>3644</v>
      </c>
      <c r="J349" s="158">
        <f>241+3</f>
        <v>244</v>
      </c>
      <c r="K349" s="74"/>
      <c r="L349" s="156">
        <v>45435</v>
      </c>
      <c r="M349" s="90">
        <v>4880</v>
      </c>
      <c r="N349" s="90" t="s">
        <v>3618</v>
      </c>
      <c r="O349" s="90"/>
      <c r="P349" s="94" t="s">
        <v>1666</v>
      </c>
      <c r="Q349" s="94"/>
      <c r="R349" s="94"/>
      <c r="S349" s="94"/>
      <c r="T349" s="90" t="s">
        <v>1666</v>
      </c>
      <c r="U349" s="90"/>
      <c r="V349" s="90"/>
      <c r="W349" s="109">
        <v>45441</v>
      </c>
      <c r="X349" s="106">
        <v>244</v>
      </c>
      <c r="Y349" s="106">
        <v>4880</v>
      </c>
      <c r="Z349" s="114" t="s">
        <v>1460</v>
      </c>
      <c r="AA349" s="106">
        <f t="shared" si="29"/>
        <v>0</v>
      </c>
      <c r="AB349" s="106">
        <f t="shared" si="30"/>
        <v>0</v>
      </c>
      <c r="AC349" s="94"/>
      <c r="AD349" s="94"/>
      <c r="AE349" s="94"/>
      <c r="AF349" s="94"/>
      <c r="AG349" s="94"/>
      <c r="AH349" s="263"/>
    </row>
    <row r="350" spans="1:34" ht="32.25" customHeight="1">
      <c r="A350" s="90" t="s">
        <v>240</v>
      </c>
      <c r="B350" s="121">
        <v>6000030500</v>
      </c>
      <c r="C350" s="192" t="s">
        <v>3583</v>
      </c>
      <c r="D350" s="2" t="s">
        <v>3617</v>
      </c>
      <c r="E350" s="94">
        <v>20</v>
      </c>
      <c r="F350" s="74">
        <v>100</v>
      </c>
      <c r="G350" s="45">
        <f t="shared" si="28"/>
        <v>2000</v>
      </c>
      <c r="H350" s="119" t="s">
        <v>46</v>
      </c>
      <c r="I350" s="128">
        <v>45437</v>
      </c>
      <c r="J350" s="158">
        <v>100</v>
      </c>
      <c r="K350" s="74"/>
      <c r="L350" s="156">
        <v>45437</v>
      </c>
      <c r="M350" s="90">
        <v>2000</v>
      </c>
      <c r="N350" s="90" t="s">
        <v>1362</v>
      </c>
      <c r="O350" s="90"/>
      <c r="P350" s="94" t="s">
        <v>1666</v>
      </c>
      <c r="Q350" s="94"/>
      <c r="R350" s="94"/>
      <c r="S350" s="94"/>
      <c r="T350" s="90" t="s">
        <v>1666</v>
      </c>
      <c r="U350" s="90"/>
      <c r="V350" s="90"/>
      <c r="W350" s="109">
        <v>45442</v>
      </c>
      <c r="X350" s="106">
        <v>100</v>
      </c>
      <c r="Y350" s="106">
        <v>2000</v>
      </c>
      <c r="Z350" s="106" t="s">
        <v>1460</v>
      </c>
      <c r="AA350" s="106">
        <f t="shared" si="29"/>
        <v>0</v>
      </c>
      <c r="AB350" s="106">
        <f t="shared" si="30"/>
        <v>0</v>
      </c>
      <c r="AC350" s="94"/>
      <c r="AD350" s="94"/>
      <c r="AE350" s="94"/>
      <c r="AF350" s="94"/>
      <c r="AG350" s="94"/>
      <c r="AH350" s="263"/>
    </row>
    <row r="351" spans="1:34" ht="32.25" customHeight="1">
      <c r="A351" s="90" t="s">
        <v>240</v>
      </c>
      <c r="B351" s="121">
        <v>6000030519</v>
      </c>
      <c r="C351" s="192" t="s">
        <v>3582</v>
      </c>
      <c r="D351" s="192"/>
      <c r="E351" s="94">
        <v>30</v>
      </c>
      <c r="F351" s="74">
        <v>100</v>
      </c>
      <c r="G351" s="45">
        <f t="shared" si="28"/>
        <v>3000</v>
      </c>
      <c r="H351" s="119" t="s">
        <v>46</v>
      </c>
      <c r="I351" s="128">
        <v>45437</v>
      </c>
      <c r="J351" s="158">
        <v>100</v>
      </c>
      <c r="K351" s="74"/>
      <c r="L351" s="156">
        <v>45437</v>
      </c>
      <c r="M351" s="90">
        <v>3000</v>
      </c>
      <c r="N351" s="90"/>
      <c r="O351" s="90"/>
      <c r="P351" s="94" t="s">
        <v>1666</v>
      </c>
      <c r="Q351" s="94"/>
      <c r="R351" s="94"/>
      <c r="S351" s="94"/>
      <c r="T351" s="90" t="s">
        <v>1666</v>
      </c>
      <c r="U351" s="90"/>
      <c r="V351" s="90"/>
      <c r="W351" s="109">
        <v>45442</v>
      </c>
      <c r="X351" s="106">
        <v>100</v>
      </c>
      <c r="Y351" s="106">
        <v>3000</v>
      </c>
      <c r="Z351" s="106" t="s">
        <v>1460</v>
      </c>
      <c r="AA351" s="106">
        <f t="shared" si="29"/>
        <v>0</v>
      </c>
      <c r="AB351" s="106">
        <f t="shared" si="30"/>
        <v>0</v>
      </c>
      <c r="AC351" s="94"/>
      <c r="AD351" s="94"/>
      <c r="AE351" s="94"/>
      <c r="AF351" s="94"/>
      <c r="AG351" s="94"/>
      <c r="AH351" s="263"/>
    </row>
    <row r="352" spans="1:34" ht="32.25" customHeight="1">
      <c r="A352" s="90" t="s">
        <v>240</v>
      </c>
      <c r="B352" s="121">
        <v>6000030577</v>
      </c>
      <c r="C352" s="192" t="s">
        <v>3582</v>
      </c>
      <c r="D352" s="2" t="s">
        <v>3616</v>
      </c>
      <c r="E352" s="94">
        <v>30</v>
      </c>
      <c r="F352" s="74">
        <v>380</v>
      </c>
      <c r="G352" s="45">
        <f t="shared" si="28"/>
        <v>11400</v>
      </c>
      <c r="H352" s="119" t="s">
        <v>46</v>
      </c>
      <c r="I352" s="128">
        <v>45437</v>
      </c>
      <c r="J352" s="158">
        <v>380</v>
      </c>
      <c r="K352" s="74"/>
      <c r="L352" s="156">
        <v>45437</v>
      </c>
      <c r="M352" s="90">
        <v>11400</v>
      </c>
      <c r="N352" s="90"/>
      <c r="O352" s="90"/>
      <c r="P352" s="94" t="s">
        <v>1666</v>
      </c>
      <c r="Q352" s="94"/>
      <c r="R352" s="94"/>
      <c r="S352" s="94"/>
      <c r="T352" s="90" t="s">
        <v>1666</v>
      </c>
      <c r="U352" s="90"/>
      <c r="V352" s="90"/>
      <c r="W352" s="109">
        <v>45440</v>
      </c>
      <c r="X352" s="106">
        <v>380</v>
      </c>
      <c r="Y352" s="106">
        <v>11400</v>
      </c>
      <c r="Z352" s="114" t="s">
        <v>1460</v>
      </c>
      <c r="AA352" s="106">
        <f t="shared" si="29"/>
        <v>0</v>
      </c>
      <c r="AB352" s="106">
        <f t="shared" si="30"/>
        <v>0</v>
      </c>
      <c r="AC352" s="94"/>
      <c r="AD352" s="94"/>
      <c r="AE352" s="94"/>
      <c r="AF352" s="94"/>
      <c r="AG352" s="94"/>
      <c r="AH352" s="263"/>
    </row>
    <row r="353" spans="1:34" ht="32.25" customHeight="1">
      <c r="A353" s="90" t="s">
        <v>645</v>
      </c>
      <c r="B353" s="121">
        <v>6000030711</v>
      </c>
      <c r="C353" s="192" t="s">
        <v>3637</v>
      </c>
      <c r="D353" s="192"/>
      <c r="E353" s="94">
        <v>10</v>
      </c>
      <c r="F353" s="74">
        <v>473</v>
      </c>
      <c r="G353" s="45">
        <f t="shared" si="28"/>
        <v>4730</v>
      </c>
      <c r="H353" s="119" t="s">
        <v>37</v>
      </c>
      <c r="I353" s="128">
        <v>45446</v>
      </c>
      <c r="J353" s="74">
        <v>473</v>
      </c>
      <c r="K353" s="74">
        <f>10+3</f>
        <v>13</v>
      </c>
      <c r="L353" s="156">
        <v>45416</v>
      </c>
      <c r="M353" s="90">
        <v>4730</v>
      </c>
      <c r="N353" s="90">
        <v>24</v>
      </c>
      <c r="O353" s="90" t="s">
        <v>796</v>
      </c>
      <c r="P353" s="94" t="s">
        <v>160</v>
      </c>
      <c r="Q353" s="94">
        <v>8500072199</v>
      </c>
      <c r="R353" s="94" t="s">
        <v>1980</v>
      </c>
      <c r="S353" s="94"/>
      <c r="T353" s="90" t="s">
        <v>152</v>
      </c>
      <c r="U353" s="90">
        <v>8500072193</v>
      </c>
      <c r="V353" s="94" t="s">
        <v>1980</v>
      </c>
      <c r="W353" s="109">
        <v>45453</v>
      </c>
      <c r="X353" s="106">
        <v>473</v>
      </c>
      <c r="Y353" s="106">
        <v>4730</v>
      </c>
      <c r="Z353" s="106" t="s">
        <v>800</v>
      </c>
      <c r="AA353" s="106">
        <f t="shared" si="29"/>
        <v>0</v>
      </c>
      <c r="AB353" s="106">
        <f t="shared" si="30"/>
        <v>0</v>
      </c>
      <c r="AC353" s="94"/>
      <c r="AD353" s="94"/>
      <c r="AE353" s="94"/>
      <c r="AF353" s="94"/>
      <c r="AG353" s="94"/>
      <c r="AH353" s="263"/>
    </row>
    <row r="354" spans="1:34" ht="32.25" customHeight="1">
      <c r="A354" s="90"/>
      <c r="B354" s="88"/>
      <c r="C354" s="192"/>
      <c r="D354" s="192"/>
      <c r="E354" s="94">
        <v>10</v>
      </c>
      <c r="F354" s="74">
        <v>472</v>
      </c>
      <c r="G354" s="45">
        <f t="shared" si="28"/>
        <v>4720</v>
      </c>
      <c r="H354" s="119" t="s">
        <v>146</v>
      </c>
      <c r="I354" s="128">
        <v>45446</v>
      </c>
      <c r="J354" s="74">
        <v>472</v>
      </c>
      <c r="K354" s="74">
        <v>10</v>
      </c>
      <c r="L354" s="156">
        <v>45416</v>
      </c>
      <c r="M354" s="90">
        <v>4720</v>
      </c>
      <c r="N354" s="90">
        <v>24</v>
      </c>
      <c r="O354" s="90" t="s">
        <v>1566</v>
      </c>
      <c r="P354" s="94" t="s">
        <v>160</v>
      </c>
      <c r="Q354" s="94"/>
      <c r="R354" s="94" t="s">
        <v>1980</v>
      </c>
      <c r="S354" s="94"/>
      <c r="T354" s="90" t="s">
        <v>152</v>
      </c>
      <c r="U354" s="90">
        <v>8500072193</v>
      </c>
      <c r="V354" s="94" t="s">
        <v>1980</v>
      </c>
      <c r="W354" s="109">
        <v>45453</v>
      </c>
      <c r="X354" s="106">
        <v>472</v>
      </c>
      <c r="Y354" s="106">
        <v>4720</v>
      </c>
      <c r="Z354" s="106" t="s">
        <v>800</v>
      </c>
      <c r="AA354" s="106">
        <f t="shared" si="29"/>
        <v>0</v>
      </c>
      <c r="AB354" s="106">
        <f t="shared" si="30"/>
        <v>0</v>
      </c>
      <c r="AC354" s="94"/>
      <c r="AD354" s="94"/>
      <c r="AE354" s="94"/>
      <c r="AF354" s="94"/>
      <c r="AG354" s="94"/>
      <c r="AH354" s="263"/>
    </row>
    <row r="355" spans="1:34" ht="32.25" customHeight="1">
      <c r="A355" s="90" t="s">
        <v>635</v>
      </c>
      <c r="B355" s="121">
        <v>6000031089</v>
      </c>
      <c r="C355" s="94" t="s">
        <v>636</v>
      </c>
      <c r="D355" s="95"/>
      <c r="E355" s="94">
        <v>10</v>
      </c>
      <c r="F355" s="74">
        <v>138</v>
      </c>
      <c r="G355" s="45">
        <f t="shared" si="28"/>
        <v>1380</v>
      </c>
      <c r="H355" s="119" t="s">
        <v>37</v>
      </c>
      <c r="I355" s="128">
        <v>45443</v>
      </c>
      <c r="J355" s="158">
        <v>138</v>
      </c>
      <c r="K355" s="74"/>
      <c r="L355" s="156">
        <v>45454</v>
      </c>
      <c r="M355" s="90">
        <v>1380</v>
      </c>
      <c r="N355" s="90"/>
      <c r="O355" s="90" t="s">
        <v>864</v>
      </c>
      <c r="P355" s="94" t="s">
        <v>1666</v>
      </c>
      <c r="Q355" s="94"/>
      <c r="R355" s="94"/>
      <c r="S355" s="94"/>
      <c r="T355" s="90" t="s">
        <v>1666</v>
      </c>
      <c r="U355" s="90"/>
      <c r="V355" s="90"/>
      <c r="W355" s="109">
        <v>45464</v>
      </c>
      <c r="X355" s="106">
        <v>138</v>
      </c>
      <c r="Y355" s="106">
        <v>1380</v>
      </c>
      <c r="Z355" s="106" t="s">
        <v>800</v>
      </c>
      <c r="AA355" s="106">
        <f t="shared" si="29"/>
        <v>0</v>
      </c>
      <c r="AB355" s="106">
        <f t="shared" si="30"/>
        <v>0</v>
      </c>
      <c r="AC355" s="94"/>
      <c r="AD355" s="94"/>
      <c r="AE355" s="94"/>
      <c r="AF355" s="94"/>
      <c r="AG355" s="94"/>
      <c r="AH355" s="263"/>
    </row>
    <row r="356" spans="1:34" ht="32.25" customHeight="1">
      <c r="A356" s="90" t="s">
        <v>1610</v>
      </c>
      <c r="B356" s="121">
        <v>6000030977</v>
      </c>
      <c r="C356" s="94" t="s">
        <v>1611</v>
      </c>
      <c r="D356" s="95"/>
      <c r="E356" s="94">
        <v>4</v>
      </c>
      <c r="F356" s="74">
        <v>191</v>
      </c>
      <c r="G356" s="45">
        <f t="shared" si="28"/>
        <v>764</v>
      </c>
      <c r="H356" s="119" t="s">
        <v>46</v>
      </c>
      <c r="I356" s="128">
        <v>45443</v>
      </c>
      <c r="J356" s="158">
        <v>191</v>
      </c>
      <c r="K356" s="74"/>
      <c r="L356" s="156">
        <v>45443</v>
      </c>
      <c r="M356" s="90">
        <v>764</v>
      </c>
      <c r="N356" s="90"/>
      <c r="O356" s="90" t="s">
        <v>857</v>
      </c>
      <c r="P356" s="94" t="s">
        <v>1666</v>
      </c>
      <c r="Q356" s="94"/>
      <c r="R356" s="94"/>
      <c r="S356" s="94"/>
      <c r="T356" s="90" t="s">
        <v>1666</v>
      </c>
      <c r="U356" s="90"/>
      <c r="V356" s="90"/>
      <c r="W356" s="109">
        <v>45461</v>
      </c>
      <c r="X356" s="106">
        <v>191</v>
      </c>
      <c r="Y356" s="106">
        <v>764</v>
      </c>
      <c r="Z356" s="106" t="s">
        <v>800</v>
      </c>
      <c r="AA356" s="106">
        <f t="shared" si="29"/>
        <v>0</v>
      </c>
      <c r="AB356" s="106">
        <f t="shared" si="30"/>
        <v>0</v>
      </c>
      <c r="AC356" s="94"/>
      <c r="AD356" s="94"/>
      <c r="AE356" s="94"/>
      <c r="AF356" s="94"/>
      <c r="AG356" s="94"/>
      <c r="AH356" s="263"/>
    </row>
    <row r="357" spans="1:34" ht="32.25" customHeight="1">
      <c r="A357" s="90"/>
      <c r="B357" s="121"/>
      <c r="C357" s="94"/>
      <c r="D357" s="95"/>
      <c r="E357" s="94">
        <v>4</v>
      </c>
      <c r="F357" s="74">
        <v>61</v>
      </c>
      <c r="G357" s="45">
        <f t="shared" si="28"/>
        <v>244</v>
      </c>
      <c r="H357" s="119" t="s">
        <v>37</v>
      </c>
      <c r="I357" s="128">
        <v>45443</v>
      </c>
      <c r="J357" s="158">
        <v>61</v>
      </c>
      <c r="K357" s="74" t="s">
        <v>3661</v>
      </c>
      <c r="L357" s="156">
        <v>45443</v>
      </c>
      <c r="M357" s="90">
        <v>244</v>
      </c>
      <c r="N357" s="90"/>
      <c r="O357" s="90" t="s">
        <v>3661</v>
      </c>
      <c r="P357" s="94" t="s">
        <v>1666</v>
      </c>
      <c r="Q357" s="94"/>
      <c r="R357" s="94"/>
      <c r="S357" s="94"/>
      <c r="T357" s="90" t="s">
        <v>1666</v>
      </c>
      <c r="U357" s="90"/>
      <c r="V357" s="90"/>
      <c r="W357" s="109">
        <v>45461</v>
      </c>
      <c r="X357" s="106">
        <v>61</v>
      </c>
      <c r="Y357" s="106">
        <v>244</v>
      </c>
      <c r="Z357" s="106" t="s">
        <v>800</v>
      </c>
      <c r="AA357" s="106">
        <f t="shared" si="29"/>
        <v>0</v>
      </c>
      <c r="AB357" s="106">
        <f t="shared" si="30"/>
        <v>0</v>
      </c>
      <c r="AC357" s="94"/>
      <c r="AD357" s="94"/>
      <c r="AE357" s="94"/>
      <c r="AF357" s="94"/>
      <c r="AG357" s="94"/>
      <c r="AH357" s="263"/>
    </row>
    <row r="358" spans="1:34" ht="32.25" customHeight="1">
      <c r="A358" s="90" t="s">
        <v>645</v>
      </c>
      <c r="B358" s="121">
        <v>6000031083</v>
      </c>
      <c r="C358" s="94" t="s">
        <v>3638</v>
      </c>
      <c r="D358" s="95"/>
      <c r="E358" s="94">
        <v>10</v>
      </c>
      <c r="F358" s="74">
        <v>155</v>
      </c>
      <c r="G358" s="45">
        <f t="shared" si="28"/>
        <v>1550</v>
      </c>
      <c r="H358" s="119" t="s">
        <v>27</v>
      </c>
      <c r="I358" s="128">
        <v>45446</v>
      </c>
      <c r="J358" s="158">
        <v>155</v>
      </c>
      <c r="K358" s="74">
        <v>8</v>
      </c>
      <c r="L358" s="156">
        <v>45454</v>
      </c>
      <c r="M358" s="90">
        <v>1550</v>
      </c>
      <c r="N358" s="90">
        <v>30</v>
      </c>
      <c r="O358" s="90" t="s">
        <v>1890</v>
      </c>
      <c r="P358" s="94" t="s">
        <v>160</v>
      </c>
      <c r="Q358" s="94">
        <v>8500072360</v>
      </c>
      <c r="R358" s="94"/>
      <c r="S358" s="94"/>
      <c r="T358" s="90" t="s">
        <v>655</v>
      </c>
      <c r="U358" s="90">
        <v>8500072359</v>
      </c>
      <c r="V358" s="90" t="s">
        <v>2112</v>
      </c>
      <c r="W358" s="105" t="s">
        <v>3690</v>
      </c>
      <c r="X358" s="106">
        <v>155</v>
      </c>
      <c r="Y358" s="106">
        <v>1550</v>
      </c>
      <c r="Z358" s="106" t="s">
        <v>800</v>
      </c>
      <c r="AA358" s="106">
        <f t="shared" si="29"/>
        <v>0</v>
      </c>
      <c r="AB358" s="106">
        <f t="shared" si="30"/>
        <v>0</v>
      </c>
      <c r="AC358" s="94" t="s">
        <v>3684</v>
      </c>
      <c r="AD358" s="94"/>
      <c r="AE358" s="94"/>
      <c r="AF358" s="94"/>
      <c r="AG358" s="94"/>
      <c r="AH358" s="263"/>
    </row>
    <row r="359" spans="1:34" ht="42.75" customHeight="1">
      <c r="A359" s="90" t="s">
        <v>3146</v>
      </c>
      <c r="B359" s="121">
        <v>6000030940</v>
      </c>
      <c r="C359" s="192" t="s">
        <v>3145</v>
      </c>
      <c r="D359" s="192"/>
      <c r="E359" s="94">
        <v>10</v>
      </c>
      <c r="F359" s="74">
        <v>190</v>
      </c>
      <c r="G359" s="45">
        <f t="shared" si="28"/>
        <v>1900</v>
      </c>
      <c r="H359" s="119" t="s">
        <v>37</v>
      </c>
      <c r="I359" s="128">
        <v>45449</v>
      </c>
      <c r="J359" s="158">
        <v>190</v>
      </c>
      <c r="K359" s="74"/>
      <c r="L359" s="156">
        <v>45443</v>
      </c>
      <c r="M359" s="90">
        <v>1900</v>
      </c>
      <c r="N359" s="90"/>
      <c r="O359" s="90" t="s">
        <v>857</v>
      </c>
      <c r="P359" s="94" t="s">
        <v>1558</v>
      </c>
      <c r="Q359" s="94">
        <v>8500071958</v>
      </c>
      <c r="R359" s="94"/>
      <c r="S359" s="94"/>
      <c r="T359" s="90" t="s">
        <v>1666</v>
      </c>
      <c r="U359" s="90"/>
      <c r="V359" s="90"/>
      <c r="W359" s="105"/>
      <c r="X359" s="106">
        <v>190</v>
      </c>
      <c r="Y359" s="106">
        <v>1900</v>
      </c>
      <c r="Z359" s="106"/>
      <c r="AA359" s="106">
        <f t="shared" si="29"/>
        <v>0</v>
      </c>
      <c r="AB359" s="106">
        <f t="shared" si="30"/>
        <v>0</v>
      </c>
      <c r="AC359" s="94"/>
      <c r="AD359" s="94"/>
      <c r="AE359" s="94"/>
      <c r="AF359" s="94"/>
      <c r="AG359" s="94"/>
      <c r="AH359" s="263"/>
    </row>
    <row r="360" spans="1:34" ht="32.25" customHeight="1">
      <c r="A360" s="90" t="s">
        <v>707</v>
      </c>
      <c r="B360" s="121">
        <v>2000001346</v>
      </c>
      <c r="C360" s="192" t="s">
        <v>1889</v>
      </c>
      <c r="D360" s="192"/>
      <c r="E360" s="94">
        <v>10</v>
      </c>
      <c r="F360" s="74">
        <v>100</v>
      </c>
      <c r="G360" s="45">
        <f t="shared" si="28"/>
        <v>1000</v>
      </c>
      <c r="H360" s="119" t="s">
        <v>46</v>
      </c>
      <c r="I360" s="128">
        <v>45441</v>
      </c>
      <c r="J360" s="158">
        <v>100</v>
      </c>
      <c r="K360" s="74">
        <v>3</v>
      </c>
      <c r="L360" s="162" t="s">
        <v>895</v>
      </c>
      <c r="M360" s="90"/>
      <c r="N360" s="90"/>
      <c r="O360" s="90"/>
      <c r="P360" s="94" t="s">
        <v>160</v>
      </c>
      <c r="Q360" s="94">
        <v>8500071068</v>
      </c>
      <c r="R360" s="94">
        <v>5000678312</v>
      </c>
      <c r="S360" s="94"/>
      <c r="T360" s="90"/>
      <c r="U360" s="90">
        <v>8500071067</v>
      </c>
      <c r="V360" s="90">
        <v>5000678313</v>
      </c>
      <c r="W360" s="109">
        <v>45444</v>
      </c>
      <c r="X360" s="106">
        <v>100</v>
      </c>
      <c r="Y360" s="106"/>
      <c r="Z360" s="106" t="s">
        <v>1980</v>
      </c>
      <c r="AA360" s="106">
        <f t="shared" ref="AA360:AA369" si="31">J360-X360</f>
        <v>0</v>
      </c>
      <c r="AB360" s="106">
        <f t="shared" ref="AB360:AB369" si="32">M360-Y360</f>
        <v>0</v>
      </c>
      <c r="AC360" s="94"/>
      <c r="AD360" s="94"/>
      <c r="AE360" s="94"/>
      <c r="AF360" s="94"/>
      <c r="AG360" s="94"/>
      <c r="AH360" s="263"/>
    </row>
    <row r="361" spans="1:34" ht="32.25" customHeight="1">
      <c r="A361" s="90" t="s">
        <v>240</v>
      </c>
      <c r="B361" s="121">
        <v>6000030593</v>
      </c>
      <c r="C361" s="192" t="s">
        <v>2888</v>
      </c>
      <c r="D361" s="192" t="s">
        <v>3662</v>
      </c>
      <c r="E361" s="94">
        <v>30</v>
      </c>
      <c r="F361" s="74">
        <v>400</v>
      </c>
      <c r="G361" s="45">
        <f t="shared" si="28"/>
        <v>12000</v>
      </c>
      <c r="H361" s="119" t="s">
        <v>27</v>
      </c>
      <c r="I361" s="128">
        <v>45446</v>
      </c>
      <c r="J361" s="158">
        <v>400</v>
      </c>
      <c r="K361" s="74"/>
      <c r="L361" s="156">
        <v>45446</v>
      </c>
      <c r="M361" s="90">
        <v>12000</v>
      </c>
      <c r="N361" s="90"/>
      <c r="O361" s="90"/>
      <c r="P361" s="94" t="s">
        <v>1666</v>
      </c>
      <c r="Q361" s="94"/>
      <c r="R361" s="94"/>
      <c r="S361" s="94"/>
      <c r="T361" s="90" t="s">
        <v>1666</v>
      </c>
      <c r="U361" s="90"/>
      <c r="V361" s="90"/>
      <c r="W361" s="109">
        <v>45453</v>
      </c>
      <c r="X361" s="106">
        <v>400</v>
      </c>
      <c r="Y361" s="106">
        <v>12000</v>
      </c>
      <c r="Z361" s="106" t="s">
        <v>800</v>
      </c>
      <c r="AA361" s="106">
        <f t="shared" si="31"/>
        <v>0</v>
      </c>
      <c r="AB361" s="106">
        <f t="shared" si="32"/>
        <v>0</v>
      </c>
      <c r="AC361" s="94"/>
      <c r="AD361" s="94"/>
      <c r="AE361" s="94"/>
      <c r="AF361" s="94"/>
      <c r="AG361" s="94"/>
      <c r="AH361" s="263"/>
    </row>
    <row r="362" spans="1:34" ht="32.25" customHeight="1">
      <c r="A362" s="90"/>
      <c r="B362" s="121"/>
      <c r="C362" s="192"/>
      <c r="D362" s="192"/>
      <c r="E362" s="94">
        <v>30</v>
      </c>
      <c r="F362" s="74">
        <v>100</v>
      </c>
      <c r="G362" s="45">
        <f t="shared" si="28"/>
        <v>3000</v>
      </c>
      <c r="H362" s="119" t="s">
        <v>46</v>
      </c>
      <c r="I362" s="128">
        <v>45446</v>
      </c>
      <c r="J362" s="158">
        <v>100</v>
      </c>
      <c r="K362" s="74"/>
      <c r="L362" s="156">
        <v>45446</v>
      </c>
      <c r="M362" s="90">
        <v>3000</v>
      </c>
      <c r="N362" s="90"/>
      <c r="O362" s="90"/>
      <c r="P362" s="94" t="s">
        <v>1666</v>
      </c>
      <c r="Q362" s="94"/>
      <c r="R362" s="94"/>
      <c r="S362" s="94"/>
      <c r="T362" s="90" t="s">
        <v>1666</v>
      </c>
      <c r="U362" s="90"/>
      <c r="V362" s="90"/>
      <c r="W362" s="109">
        <v>45449</v>
      </c>
      <c r="X362" s="106">
        <v>100</v>
      </c>
      <c r="Y362" s="106">
        <v>3000</v>
      </c>
      <c r="Z362" s="106" t="s">
        <v>754</v>
      </c>
      <c r="AA362" s="106">
        <f t="shared" si="31"/>
        <v>0</v>
      </c>
      <c r="AB362" s="106">
        <f t="shared" si="32"/>
        <v>0</v>
      </c>
      <c r="AC362" s="94"/>
      <c r="AD362" s="94"/>
      <c r="AE362" s="94"/>
      <c r="AF362" s="94"/>
      <c r="AG362" s="94"/>
      <c r="AH362" s="263"/>
    </row>
    <row r="363" spans="1:34" ht="32.25" customHeight="1">
      <c r="A363" s="90"/>
      <c r="B363" s="121"/>
      <c r="C363" s="192"/>
      <c r="D363" s="192"/>
      <c r="E363" s="94">
        <v>30</v>
      </c>
      <c r="F363" s="74">
        <v>80</v>
      </c>
      <c r="G363" s="45">
        <f t="shared" si="28"/>
        <v>2400</v>
      </c>
      <c r="H363" s="119" t="s">
        <v>37</v>
      </c>
      <c r="I363" s="128">
        <v>45446</v>
      </c>
      <c r="J363" s="158">
        <v>80</v>
      </c>
      <c r="K363" s="74"/>
      <c r="L363" s="156">
        <v>45446</v>
      </c>
      <c r="M363" s="90">
        <v>2400</v>
      </c>
      <c r="N363" s="90"/>
      <c r="O363" s="90"/>
      <c r="P363" s="94" t="s">
        <v>1666</v>
      </c>
      <c r="Q363" s="94"/>
      <c r="R363" s="94"/>
      <c r="S363" s="94"/>
      <c r="T363" s="90" t="s">
        <v>1666</v>
      </c>
      <c r="U363" s="90"/>
      <c r="V363" s="90"/>
      <c r="W363" s="109">
        <v>45449</v>
      </c>
      <c r="X363" s="106">
        <v>80</v>
      </c>
      <c r="Y363" s="106">
        <v>2400</v>
      </c>
      <c r="Z363" s="106" t="s">
        <v>754</v>
      </c>
      <c r="AA363" s="106">
        <f t="shared" si="31"/>
        <v>0</v>
      </c>
      <c r="AB363" s="106">
        <f t="shared" si="32"/>
        <v>0</v>
      </c>
      <c r="AC363" s="94"/>
      <c r="AD363" s="94"/>
      <c r="AE363" s="94"/>
      <c r="AF363" s="94"/>
      <c r="AG363" s="94"/>
      <c r="AH363" s="263"/>
    </row>
    <row r="364" spans="1:34" ht="32.25" customHeight="1">
      <c r="A364" s="90" t="s">
        <v>240</v>
      </c>
      <c r="B364" s="121">
        <v>6000031112</v>
      </c>
      <c r="C364" s="192" t="s">
        <v>2888</v>
      </c>
      <c r="D364" s="192" t="s">
        <v>3663</v>
      </c>
      <c r="E364" s="94">
        <v>30</v>
      </c>
      <c r="F364" s="74">
        <v>200</v>
      </c>
      <c r="G364" s="45">
        <f t="shared" si="28"/>
        <v>6000</v>
      </c>
      <c r="H364" s="119" t="s">
        <v>27</v>
      </c>
      <c r="I364" s="128">
        <v>45446</v>
      </c>
      <c r="J364" s="74">
        <v>200</v>
      </c>
      <c r="K364" s="74"/>
      <c r="L364" s="156">
        <v>45446</v>
      </c>
      <c r="M364" s="90">
        <v>6000</v>
      </c>
      <c r="N364" s="90"/>
      <c r="O364" s="90"/>
      <c r="P364" s="94" t="s">
        <v>1666</v>
      </c>
      <c r="Q364" s="94"/>
      <c r="R364" s="94"/>
      <c r="S364" s="94"/>
      <c r="T364" s="90" t="s">
        <v>1666</v>
      </c>
      <c r="U364" s="90"/>
      <c r="V364" s="90"/>
      <c r="W364" s="109">
        <v>45449</v>
      </c>
      <c r="X364" s="106">
        <v>200</v>
      </c>
      <c r="Y364" s="106">
        <v>6000</v>
      </c>
      <c r="Z364" s="106" t="s">
        <v>3282</v>
      </c>
      <c r="AA364" s="106">
        <f t="shared" si="31"/>
        <v>0</v>
      </c>
      <c r="AB364" s="106">
        <f t="shared" si="32"/>
        <v>0</v>
      </c>
      <c r="AC364" s="94"/>
      <c r="AD364" s="94"/>
      <c r="AE364" s="94"/>
      <c r="AF364" s="94"/>
      <c r="AG364" s="94"/>
      <c r="AH364" s="263"/>
    </row>
    <row r="365" spans="1:34" ht="32.25" customHeight="1">
      <c r="A365" s="90"/>
      <c r="B365" s="121"/>
      <c r="C365" s="192"/>
      <c r="D365" s="192"/>
      <c r="E365" s="94">
        <v>30</v>
      </c>
      <c r="F365" s="74">
        <v>200</v>
      </c>
      <c r="G365" s="45">
        <f t="shared" si="28"/>
        <v>6000</v>
      </c>
      <c r="H365" s="119" t="s">
        <v>46</v>
      </c>
      <c r="I365" s="128">
        <v>45446</v>
      </c>
      <c r="J365" s="74">
        <v>200</v>
      </c>
      <c r="K365" s="74"/>
      <c r="L365" s="156">
        <v>45446</v>
      </c>
      <c r="M365" s="90">
        <v>6000</v>
      </c>
      <c r="N365" s="90"/>
      <c r="O365" s="90"/>
      <c r="P365" s="94" t="s">
        <v>1666</v>
      </c>
      <c r="Q365" s="94"/>
      <c r="R365" s="94"/>
      <c r="S365" s="94"/>
      <c r="T365" s="90" t="s">
        <v>1666</v>
      </c>
      <c r="U365" s="90"/>
      <c r="V365" s="90"/>
      <c r="W365" s="109">
        <v>45449</v>
      </c>
      <c r="X365" s="106">
        <v>200</v>
      </c>
      <c r="Y365" s="106">
        <v>6000</v>
      </c>
      <c r="Z365" s="106" t="s">
        <v>3651</v>
      </c>
      <c r="AA365" s="106">
        <f t="shared" si="31"/>
        <v>0</v>
      </c>
      <c r="AB365" s="106">
        <f t="shared" si="32"/>
        <v>0</v>
      </c>
      <c r="AC365" s="94"/>
      <c r="AD365" s="94"/>
      <c r="AE365" s="94"/>
      <c r="AF365" s="94"/>
      <c r="AG365" s="94"/>
      <c r="AH365" s="263"/>
    </row>
    <row r="366" spans="1:34" ht="32.25" customHeight="1">
      <c r="A366" s="90"/>
      <c r="B366" s="121"/>
      <c r="C366" s="192"/>
      <c r="D366" s="192"/>
      <c r="E366" s="94">
        <v>30</v>
      </c>
      <c r="F366" s="74">
        <v>80</v>
      </c>
      <c r="G366" s="45">
        <f t="shared" si="28"/>
        <v>2400</v>
      </c>
      <c r="H366" s="119" t="s">
        <v>37</v>
      </c>
      <c r="I366" s="128">
        <v>45450</v>
      </c>
      <c r="J366" s="158">
        <v>80</v>
      </c>
      <c r="K366" s="74"/>
      <c r="L366" s="156">
        <v>45450</v>
      </c>
      <c r="M366" s="90">
        <v>2400</v>
      </c>
      <c r="N366" s="90"/>
      <c r="O366" s="90"/>
      <c r="P366" s="94" t="s">
        <v>1666</v>
      </c>
      <c r="Q366" s="94"/>
      <c r="R366" s="94"/>
      <c r="S366" s="94"/>
      <c r="T366" s="90" t="s">
        <v>1666</v>
      </c>
      <c r="U366" s="90"/>
      <c r="V366" s="90"/>
      <c r="W366" s="109">
        <v>45451</v>
      </c>
      <c r="X366" s="106">
        <v>80</v>
      </c>
      <c r="Y366" s="106">
        <v>2400</v>
      </c>
      <c r="Z366" s="106" t="s">
        <v>800</v>
      </c>
      <c r="AA366" s="106">
        <f t="shared" si="31"/>
        <v>0</v>
      </c>
      <c r="AB366" s="106">
        <f t="shared" si="32"/>
        <v>0</v>
      </c>
      <c r="AC366" s="94"/>
      <c r="AD366" s="94"/>
      <c r="AE366" s="94"/>
      <c r="AF366" s="94"/>
      <c r="AG366" s="94"/>
      <c r="AH366" s="263"/>
    </row>
    <row r="367" spans="1:34" ht="32.25" customHeight="1">
      <c r="A367" s="90" t="s">
        <v>240</v>
      </c>
      <c r="B367" s="121">
        <v>6000030594</v>
      </c>
      <c r="C367" s="192" t="s">
        <v>2888</v>
      </c>
      <c r="D367" s="192" t="s">
        <v>3664</v>
      </c>
      <c r="E367" s="94">
        <v>30</v>
      </c>
      <c r="F367" s="74">
        <v>200</v>
      </c>
      <c r="G367" s="45">
        <f t="shared" si="28"/>
        <v>6000</v>
      </c>
      <c r="H367" s="119" t="s">
        <v>27</v>
      </c>
      <c r="I367" s="128">
        <v>45450</v>
      </c>
      <c r="J367" s="74">
        <v>200</v>
      </c>
      <c r="K367" s="74">
        <v>2</v>
      </c>
      <c r="L367" s="156">
        <v>45450</v>
      </c>
      <c r="M367" s="90">
        <v>6000</v>
      </c>
      <c r="N367" s="90">
        <v>60</v>
      </c>
      <c r="O367" s="90"/>
      <c r="P367" s="94" t="s">
        <v>1666</v>
      </c>
      <c r="Q367" s="94">
        <v>8500073451</v>
      </c>
      <c r="R367" s="94">
        <v>5000748749</v>
      </c>
      <c r="S367" s="94"/>
      <c r="T367" s="90" t="s">
        <v>1666</v>
      </c>
      <c r="U367" s="90">
        <v>8500073450</v>
      </c>
      <c r="V367" s="90">
        <v>5000748747</v>
      </c>
      <c r="W367" s="109">
        <v>45450</v>
      </c>
      <c r="X367" s="106">
        <f>130+70</f>
        <v>200</v>
      </c>
      <c r="Y367" s="106">
        <f>3900+2100</f>
        <v>6000</v>
      </c>
      <c r="Z367" s="106" t="s">
        <v>800</v>
      </c>
      <c r="AA367" s="106">
        <f t="shared" si="31"/>
        <v>0</v>
      </c>
      <c r="AB367" s="106">
        <f t="shared" si="32"/>
        <v>0</v>
      </c>
      <c r="AC367" s="94" t="s">
        <v>3683</v>
      </c>
      <c r="AD367" s="94"/>
      <c r="AE367" s="94"/>
      <c r="AF367" s="94"/>
      <c r="AG367" s="94"/>
      <c r="AH367" s="263"/>
    </row>
    <row r="368" spans="1:34" ht="32.25" customHeight="1">
      <c r="A368" s="90"/>
      <c r="B368" s="88"/>
      <c r="C368" s="192"/>
      <c r="D368" s="192"/>
      <c r="E368" s="94">
        <v>30</v>
      </c>
      <c r="F368" s="74">
        <v>200</v>
      </c>
      <c r="G368" s="45">
        <f t="shared" si="28"/>
        <v>6000</v>
      </c>
      <c r="H368" s="119" t="s">
        <v>46</v>
      </c>
      <c r="I368" s="128">
        <v>45450</v>
      </c>
      <c r="J368" s="74">
        <v>200</v>
      </c>
      <c r="K368" s="74">
        <v>2</v>
      </c>
      <c r="L368" s="156">
        <v>45450</v>
      </c>
      <c r="M368" s="90">
        <v>6000</v>
      </c>
      <c r="N368" s="90">
        <v>60</v>
      </c>
      <c r="O368" s="90"/>
      <c r="P368" s="94" t="s">
        <v>1666</v>
      </c>
      <c r="Q368" s="94">
        <v>8500073451</v>
      </c>
      <c r="R368" s="94">
        <v>5000748749</v>
      </c>
      <c r="S368" s="94"/>
      <c r="T368" s="90" t="s">
        <v>1666</v>
      </c>
      <c r="U368" s="90">
        <v>8500073450</v>
      </c>
      <c r="V368" s="90">
        <v>5000748747</v>
      </c>
      <c r="W368" s="109">
        <v>45450</v>
      </c>
      <c r="X368" s="106">
        <v>200</v>
      </c>
      <c r="Y368" s="106">
        <v>6000</v>
      </c>
      <c r="Z368" s="106" t="s">
        <v>800</v>
      </c>
      <c r="AA368" s="106">
        <f t="shared" si="31"/>
        <v>0</v>
      </c>
      <c r="AB368" s="106">
        <f t="shared" si="32"/>
        <v>0</v>
      </c>
      <c r="AC368" s="94"/>
      <c r="AD368" s="94"/>
      <c r="AE368" s="94"/>
      <c r="AF368" s="94"/>
      <c r="AG368" s="94"/>
      <c r="AH368" s="263"/>
    </row>
    <row r="369" spans="1:34" ht="32.25" customHeight="1">
      <c r="A369" s="90"/>
      <c r="B369" s="88"/>
      <c r="C369" s="192"/>
      <c r="D369" s="192"/>
      <c r="E369" s="94">
        <v>30</v>
      </c>
      <c r="F369" s="74">
        <v>100</v>
      </c>
      <c r="G369" s="45">
        <f t="shared" si="28"/>
        <v>3000</v>
      </c>
      <c r="H369" s="119" t="s">
        <v>37</v>
      </c>
      <c r="I369" s="128">
        <v>45450</v>
      </c>
      <c r="J369" s="74">
        <v>100</v>
      </c>
      <c r="K369" s="74">
        <v>2</v>
      </c>
      <c r="L369" s="156">
        <v>45450</v>
      </c>
      <c r="M369" s="90">
        <v>3000</v>
      </c>
      <c r="N369" s="90">
        <v>30</v>
      </c>
      <c r="O369" s="90"/>
      <c r="P369" s="94" t="s">
        <v>1666</v>
      </c>
      <c r="Q369" s="94">
        <v>8500073451</v>
      </c>
      <c r="R369" s="94">
        <v>5000748749</v>
      </c>
      <c r="S369" s="94"/>
      <c r="T369" s="90" t="s">
        <v>1666</v>
      </c>
      <c r="U369" s="90">
        <v>8500073450</v>
      </c>
      <c r="V369" s="90">
        <v>5000748747</v>
      </c>
      <c r="W369" s="109">
        <v>45450</v>
      </c>
      <c r="X369" s="106">
        <v>100</v>
      </c>
      <c r="Y369" s="106">
        <v>3000</v>
      </c>
      <c r="Z369" s="106" t="s">
        <v>800</v>
      </c>
      <c r="AA369" s="106">
        <f t="shared" si="31"/>
        <v>0</v>
      </c>
      <c r="AB369" s="106">
        <f t="shared" si="32"/>
        <v>0</v>
      </c>
      <c r="AC369" s="94"/>
      <c r="AD369" s="94"/>
      <c r="AE369" s="94"/>
      <c r="AF369" s="94"/>
      <c r="AG369" s="94"/>
      <c r="AH369" s="263"/>
    </row>
    <row r="370" spans="1:34" ht="32.25" customHeight="1">
      <c r="A370" s="90" t="s">
        <v>240</v>
      </c>
      <c r="B370" s="121">
        <v>6000030594</v>
      </c>
      <c r="C370" s="192" t="s">
        <v>2888</v>
      </c>
      <c r="D370" s="192" t="s">
        <v>244</v>
      </c>
      <c r="E370" s="94">
        <v>1</v>
      </c>
      <c r="F370" s="74">
        <v>5</v>
      </c>
      <c r="G370" s="45">
        <f t="shared" si="28"/>
        <v>5</v>
      </c>
      <c r="H370" s="119" t="s">
        <v>27</v>
      </c>
      <c r="I370" s="128">
        <v>45454</v>
      </c>
      <c r="J370" s="74">
        <v>5</v>
      </c>
      <c r="K370" s="74"/>
      <c r="L370" s="156">
        <v>45454</v>
      </c>
      <c r="M370" s="90">
        <v>5</v>
      </c>
      <c r="N370" s="90"/>
      <c r="O370" s="90"/>
      <c r="P370" s="94" t="s">
        <v>1666</v>
      </c>
      <c r="Q370" s="94">
        <v>8500073453</v>
      </c>
      <c r="R370" s="94">
        <v>5000748766</v>
      </c>
      <c r="S370" s="94"/>
      <c r="T370" s="90" t="s">
        <v>1666</v>
      </c>
      <c r="U370" s="90">
        <v>8500073452</v>
      </c>
      <c r="V370" s="90">
        <v>5000748762</v>
      </c>
      <c r="W370" s="109">
        <v>45463</v>
      </c>
      <c r="X370" s="106">
        <v>5</v>
      </c>
      <c r="Y370" s="106">
        <v>5</v>
      </c>
      <c r="Z370" s="106" t="s">
        <v>800</v>
      </c>
      <c r="AA370" s="106">
        <f>J370-X370</f>
        <v>0</v>
      </c>
      <c r="AB370" s="106">
        <f>M370-Y370</f>
        <v>0</v>
      </c>
      <c r="AC370" s="94"/>
      <c r="AD370" s="94"/>
      <c r="AE370" s="94"/>
      <c r="AF370" s="94"/>
      <c r="AG370" s="94"/>
      <c r="AH370" s="263"/>
    </row>
    <row r="371" spans="1:34" ht="32.25" customHeight="1">
      <c r="A371" s="90"/>
      <c r="B371" s="88"/>
      <c r="C371" s="192"/>
      <c r="D371" s="192"/>
      <c r="E371" s="94">
        <v>1</v>
      </c>
      <c r="F371" s="74">
        <v>5</v>
      </c>
      <c r="G371" s="45">
        <f t="shared" si="28"/>
        <v>5</v>
      </c>
      <c r="H371" s="119" t="s">
        <v>46</v>
      </c>
      <c r="I371" s="128">
        <v>45454</v>
      </c>
      <c r="J371" s="74">
        <v>5</v>
      </c>
      <c r="K371" s="74"/>
      <c r="L371" s="156">
        <v>45454</v>
      </c>
      <c r="M371" s="90">
        <v>5</v>
      </c>
      <c r="N371" s="90"/>
      <c r="O371" s="90"/>
      <c r="P371" s="94" t="s">
        <v>1666</v>
      </c>
      <c r="Q371" s="94">
        <v>8500073453</v>
      </c>
      <c r="R371" s="94">
        <v>5000748766</v>
      </c>
      <c r="S371" s="94"/>
      <c r="T371" s="90" t="s">
        <v>1666</v>
      </c>
      <c r="U371" s="90">
        <v>8500073452</v>
      </c>
      <c r="V371" s="90">
        <v>5000748762</v>
      </c>
      <c r="W371" s="109">
        <v>45463</v>
      </c>
      <c r="X371" s="106">
        <v>5</v>
      </c>
      <c r="Y371" s="106">
        <v>5</v>
      </c>
      <c r="Z371" s="106" t="s">
        <v>800</v>
      </c>
      <c r="AA371" s="106">
        <f>J371-X371</f>
        <v>0</v>
      </c>
      <c r="AB371" s="106">
        <f>M371-Y371</f>
        <v>0</v>
      </c>
      <c r="AC371" s="94"/>
      <c r="AD371" s="94"/>
      <c r="AE371" s="94"/>
      <c r="AF371" s="94"/>
      <c r="AG371" s="94"/>
      <c r="AH371" s="263"/>
    </row>
    <row r="372" spans="1:34" ht="32.25" customHeight="1">
      <c r="A372" s="90"/>
      <c r="B372" s="88"/>
      <c r="C372" s="192"/>
      <c r="D372" s="192"/>
      <c r="E372" s="94">
        <v>1</v>
      </c>
      <c r="F372" s="74">
        <v>5</v>
      </c>
      <c r="G372" s="45">
        <f t="shared" si="28"/>
        <v>5</v>
      </c>
      <c r="H372" s="119" t="s">
        <v>37</v>
      </c>
      <c r="I372" s="128">
        <v>45454</v>
      </c>
      <c r="J372" s="74">
        <v>5</v>
      </c>
      <c r="K372" s="74"/>
      <c r="L372" s="156">
        <v>45454</v>
      </c>
      <c r="M372" s="90">
        <v>5</v>
      </c>
      <c r="N372" s="90"/>
      <c r="O372" s="90"/>
      <c r="P372" s="94" t="s">
        <v>1666</v>
      </c>
      <c r="Q372" s="94">
        <v>8500073453</v>
      </c>
      <c r="R372" s="94">
        <v>5000748766</v>
      </c>
      <c r="S372" s="94"/>
      <c r="T372" s="90" t="s">
        <v>1666</v>
      </c>
      <c r="U372" s="90">
        <v>8500073452</v>
      </c>
      <c r="V372" s="90">
        <v>5000748762</v>
      </c>
      <c r="W372" s="109">
        <v>45463</v>
      </c>
      <c r="X372" s="106">
        <v>5</v>
      </c>
      <c r="Y372" s="106">
        <v>5</v>
      </c>
      <c r="Z372" s="106" t="s">
        <v>800</v>
      </c>
      <c r="AA372" s="106">
        <f>J372-X372</f>
        <v>0</v>
      </c>
      <c r="AB372" s="106">
        <f>M372-Y372</f>
        <v>0</v>
      </c>
      <c r="AC372" s="94"/>
      <c r="AD372" s="94"/>
      <c r="AE372" s="94"/>
      <c r="AF372" s="94"/>
      <c r="AG372" s="94"/>
      <c r="AH372" s="263"/>
    </row>
    <row r="373" spans="1:34" ht="32.25" customHeight="1">
      <c r="A373" s="90" t="s">
        <v>1610</v>
      </c>
      <c r="B373" s="88">
        <v>6000030965</v>
      </c>
      <c r="C373" s="192" t="s">
        <v>1752</v>
      </c>
      <c r="D373" s="192"/>
      <c r="E373" s="94">
        <v>4</v>
      </c>
      <c r="F373" s="74">
        <v>259</v>
      </c>
      <c r="G373" s="45">
        <f t="shared" si="28"/>
        <v>1036</v>
      </c>
      <c r="H373" s="119" t="s">
        <v>46</v>
      </c>
      <c r="I373" s="128">
        <v>45454</v>
      </c>
      <c r="J373" s="158">
        <v>259</v>
      </c>
      <c r="K373" s="74" t="s">
        <v>3677</v>
      </c>
      <c r="L373" s="156">
        <v>45454</v>
      </c>
      <c r="M373" s="90">
        <v>1036</v>
      </c>
      <c r="N373" s="90"/>
      <c r="O373" s="90" t="s">
        <v>1871</v>
      </c>
      <c r="P373" s="94"/>
      <c r="Q373" s="94"/>
      <c r="R373" s="94"/>
      <c r="S373" s="94"/>
      <c r="T373" s="90"/>
      <c r="U373" s="90"/>
      <c r="V373" s="90"/>
      <c r="W373" s="109">
        <v>45456</v>
      </c>
      <c r="X373" s="106">
        <v>259</v>
      </c>
      <c r="Y373" s="106">
        <v>1036</v>
      </c>
      <c r="Z373" s="106" t="s">
        <v>800</v>
      </c>
      <c r="AA373" s="106">
        <f>J373-X373</f>
        <v>0</v>
      </c>
      <c r="AB373" s="106">
        <f>M373-Y373</f>
        <v>0</v>
      </c>
      <c r="AC373" s="94"/>
      <c r="AD373" s="94"/>
      <c r="AE373" s="94"/>
      <c r="AF373" s="94"/>
      <c r="AG373" s="94"/>
      <c r="AH373" s="263"/>
    </row>
    <row r="374" spans="1:34" ht="36.75" customHeight="1">
      <c r="A374" s="90"/>
      <c r="B374" s="88"/>
      <c r="C374" s="192"/>
      <c r="D374" s="192"/>
      <c r="E374" s="94"/>
      <c r="F374" s="74"/>
      <c r="G374" s="45"/>
      <c r="H374" s="119"/>
      <c r="I374" s="133"/>
      <c r="J374" s="158"/>
      <c r="K374" s="74"/>
      <c r="L374" s="162"/>
      <c r="M374" s="90"/>
      <c r="N374" s="90"/>
      <c r="O374" s="90"/>
      <c r="P374" s="94"/>
      <c r="Q374" s="94"/>
      <c r="R374" s="94"/>
      <c r="S374" s="94"/>
      <c r="T374" s="90"/>
      <c r="U374" s="90"/>
      <c r="V374" s="90"/>
      <c r="W374" s="105"/>
      <c r="X374" s="106"/>
      <c r="Y374" s="106"/>
      <c r="Z374" s="106"/>
      <c r="AA374" s="106"/>
      <c r="AB374" s="106"/>
      <c r="AC374" s="94"/>
      <c r="AD374" s="94"/>
      <c r="AE374" s="94"/>
      <c r="AF374" s="94"/>
      <c r="AG374" s="94"/>
      <c r="AH374" s="263"/>
    </row>
    <row r="375" spans="1:34" ht="32.25" customHeight="1">
      <c r="A375" s="90"/>
      <c r="B375" s="88"/>
      <c r="C375" s="94"/>
      <c r="D375" s="95"/>
      <c r="E375" s="94"/>
      <c r="F375" s="74"/>
      <c r="G375" s="45"/>
      <c r="H375" s="119"/>
      <c r="I375" s="133"/>
      <c r="J375" s="158"/>
      <c r="K375" s="74"/>
      <c r="L375" s="162"/>
      <c r="M375" s="90"/>
      <c r="N375" s="90"/>
      <c r="O375" s="90"/>
      <c r="P375" s="94"/>
      <c r="Q375" s="94"/>
      <c r="R375" s="94"/>
      <c r="S375" s="94"/>
      <c r="T375" s="90"/>
      <c r="U375" s="90"/>
      <c r="V375" s="90"/>
      <c r="W375" s="105"/>
      <c r="X375" s="106"/>
      <c r="Y375" s="106"/>
      <c r="Z375" s="106"/>
      <c r="AA375" s="106"/>
      <c r="AB375" s="106"/>
      <c r="AC375" s="94"/>
      <c r="AD375" s="94"/>
      <c r="AE375" s="94"/>
      <c r="AF375" s="94"/>
      <c r="AG375" s="94"/>
      <c r="AH375" s="263"/>
    </row>
    <row r="376" spans="1:34" ht="32.25" customHeight="1">
      <c r="A376" s="90"/>
      <c r="B376" s="290"/>
      <c r="C376" s="94"/>
      <c r="D376" s="95"/>
      <c r="E376" s="94"/>
      <c r="F376" s="74"/>
      <c r="G376" s="45"/>
      <c r="H376" s="119"/>
      <c r="I376" s="133"/>
      <c r="J376" s="158"/>
      <c r="K376" s="74"/>
      <c r="L376" s="162"/>
      <c r="M376" s="90"/>
      <c r="N376" s="90"/>
      <c r="O376" s="90"/>
      <c r="P376" s="94"/>
      <c r="Q376" s="94"/>
      <c r="R376" s="94"/>
      <c r="S376" s="94"/>
      <c r="T376" s="90"/>
      <c r="U376" s="90"/>
      <c r="V376" s="90"/>
      <c r="W376" s="105"/>
      <c r="X376" s="106"/>
      <c r="Y376" s="106"/>
      <c r="Z376" s="106"/>
      <c r="AA376" s="106"/>
      <c r="AB376" s="106"/>
      <c r="AC376" s="94"/>
      <c r="AD376" s="94"/>
      <c r="AE376" s="94"/>
      <c r="AF376" s="94"/>
      <c r="AG376" s="94"/>
      <c r="AH376" s="263"/>
    </row>
    <row r="377" spans="1:34" ht="32.25" customHeight="1">
      <c r="A377" s="90"/>
      <c r="B377" s="290"/>
      <c r="C377" s="94"/>
      <c r="D377" s="95"/>
      <c r="E377" s="94"/>
      <c r="F377" s="74"/>
      <c r="G377" s="45"/>
      <c r="H377" s="119"/>
      <c r="I377" s="133"/>
      <c r="J377" s="158"/>
      <c r="K377" s="74"/>
      <c r="L377" s="162"/>
      <c r="M377" s="90"/>
      <c r="N377" s="90"/>
      <c r="O377" s="90"/>
      <c r="P377" s="94"/>
      <c r="Q377" s="94"/>
      <c r="R377" s="94"/>
      <c r="S377" s="94"/>
      <c r="T377" s="90"/>
      <c r="U377" s="90"/>
      <c r="V377" s="90"/>
      <c r="W377" s="105"/>
      <c r="X377" s="106"/>
      <c r="Y377" s="106"/>
      <c r="Z377" s="106"/>
      <c r="AA377" s="106"/>
      <c r="AB377" s="106"/>
      <c r="AC377" s="94"/>
      <c r="AD377" s="94"/>
      <c r="AE377" s="94"/>
      <c r="AF377" s="94"/>
      <c r="AG377" s="94"/>
      <c r="AH377" s="263"/>
    </row>
    <row r="378" spans="1:34" ht="32.25" customHeight="1">
      <c r="AA378" s="106">
        <f>J378-X378</f>
        <v>0</v>
      </c>
      <c r="AB378" s="106">
        <f>M378-Y378</f>
        <v>0</v>
      </c>
    </row>
  </sheetData>
  <mergeCells count="11">
    <mergeCell ref="AC297:AC298"/>
    <mergeCell ref="D242:D243"/>
    <mergeCell ref="AC250:AC251"/>
    <mergeCell ref="K217:P217"/>
    <mergeCell ref="AC90:AC93"/>
    <mergeCell ref="AC291:AC293"/>
    <mergeCell ref="AD227:AD229"/>
    <mergeCell ref="AC133:AC134"/>
    <mergeCell ref="AC167:AC168"/>
    <mergeCell ref="D236:D237"/>
    <mergeCell ref="D239:D240"/>
  </mergeCells>
  <phoneticPr fontId="54" type="noConversion"/>
  <pageMargins left="0.7" right="0.7" top="0.75" bottom="0.75" header="0.3" footer="0.3"/>
  <pageSetup orientation="portrait" r:id="rId1"/>
  <ignoredErrors>
    <ignoredError sqref="K23 K21 K27 K13 K2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8-9.2023,</vt:lpstr>
      <vt:lpstr>11-2023</vt:lpstr>
      <vt:lpstr>12-2023</vt:lpstr>
      <vt:lpstr>01.2024</vt:lpstr>
      <vt:lpstr>02.2024</vt:lpstr>
      <vt:lpstr>03.2024</vt:lpstr>
      <vt:lpstr>chia cont 6000027718</vt:lpstr>
      <vt:lpstr>04.2024</vt:lpstr>
      <vt:lpstr>05.2024</vt:lpstr>
      <vt:lpstr>User</vt:lpstr>
      <vt:lpstr>示意圖</vt:lpstr>
      <vt:lpstr>儲位</vt:lpstr>
      <vt:lpstr>Warehouse</vt:lpstr>
      <vt:lpstr>Area</vt:lpstr>
      <vt:lpstr>Location</vt:lpstr>
      <vt:lpstr>Trang_tính3</vt:lpstr>
      <vt:lpstr>Trang_tính2</vt:lpstr>
      <vt:lpstr>Trang_tính1</vt:lpstr>
      <vt:lpstr>User!Print_Area</vt:lpstr>
      <vt:lpstr>User!Print_Titles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Ray</cp:lastModifiedBy>
  <cp:lastPrinted>2024-11-14T07:04:19Z</cp:lastPrinted>
  <dcterms:created xsi:type="dcterms:W3CDTF">2023-08-01T06:32:24Z</dcterms:created>
  <dcterms:modified xsi:type="dcterms:W3CDTF">2025-03-28T09:35:43Z</dcterms:modified>
</cp:coreProperties>
</file>